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7" activeTab="1"/>
  </bookViews>
  <sheets>
    <sheet name="汇总表及编制说明" sheetId="22" r:id="rId1"/>
    <sheet name="清单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清单!$A$4:$M$1142</definedName>
    <definedName name="__xlfn.BAHTTEXT" hidden="1">#NAME?</definedName>
    <definedName name="_A99999">#REF!</definedName>
    <definedName name="__A99999">#REF!</definedName>
    <definedName name="AccountBase">[1]貨品科目!$B$5:$E$857</definedName>
    <definedName name="CLX">[2]门窗表!$G$2:$G$9</definedName>
    <definedName name="CQU">[3]資料庫!$B$5:$D$846</definedName>
    <definedName name="DATE1">#REF!</definedName>
    <definedName name="f">EVALUATE(#REF!)</definedName>
    <definedName name="fa">#REF!</definedName>
    <definedName name="HDE_P8_G030">#REF!</definedName>
    <definedName name="jsjg">EVALUATE(SUBSTITUTE(SUBSTITUTE(#REF!,"[","*ISTEXT(""["),"]","]"")"))</definedName>
    <definedName name="LYQ">#REF!</definedName>
    <definedName name="MLX">[2]门窗表!$C$2:$C$83</definedName>
    <definedName name="QLX">[2]墙类型!$A$1:$A$8</definedName>
    <definedName name="sl">#N/A</definedName>
    <definedName name="XMLYQ">#REF!</definedName>
    <definedName name="zl">#N/A</definedName>
    <definedName name="產品編號">[4]明細表!$AA$967:$AA$967</definedName>
    <definedName name="单">[5]資料庫!$B$5:$H$1621</definedName>
    <definedName name="单价101">[6]土建工程综合单价表!#REF!</definedName>
    <definedName name="单价102">[6]土建工程综合单价表!#REF!</definedName>
    <definedName name="单价103">[6]土建工程综合单价表!#REF!</definedName>
    <definedName name="单价104">[6]土建工程综合单价表!#REF!</definedName>
    <definedName name="单价105">[6]土建工程综合单价表!#REF!</definedName>
    <definedName name="单价106">[6]土建工程综合单价表!#REF!</definedName>
    <definedName name="单价107">[6]土建工程综合单价表!#REF!</definedName>
    <definedName name="单价108">[6]土建工程综合单价表!#REF!</definedName>
    <definedName name="单价109">[6]土建工程综合单价表!#REF!</definedName>
    <definedName name="单价2001">[6]土建工程综合单价表!#REF!</definedName>
    <definedName name="单价2002">[6]土建工程综合单价表!#REF!</definedName>
    <definedName name="单价2003">[6]土建工程综合单价表!#REF!</definedName>
    <definedName name="单价2004">[6]土建工程综合单价表!#REF!</definedName>
    <definedName name="单价2005">[6]土建工程综合单价表!#REF!</definedName>
    <definedName name="单价20050">[6]土建工程综合单价表!#REF!</definedName>
    <definedName name="单价2006">[6]土建工程综合单价表!#REF!</definedName>
    <definedName name="单价2007">[6]土建工程综合单价表!#REF!</definedName>
    <definedName name="单价2008">[6]土建工程综合单价表!#REF!</definedName>
    <definedName name="单价2009">[6]土建工程综合单价表!#REF!</definedName>
    <definedName name="单价201">[6]土建工程综合单价表!#REF!</definedName>
    <definedName name="单价2010">[6]土建工程综合单价表!#REF!</definedName>
    <definedName name="单价2011">[6]土建工程综合单价表!#REF!</definedName>
    <definedName name="单价2012">[6]土建工程综合单价表!#REF!</definedName>
    <definedName name="单价2013">[6]土建工程综合单价表!#REF!</definedName>
    <definedName name="单价2014">[6]土建工程综合单价表!#REF!</definedName>
    <definedName name="单价2015">[6]土建工程综合单价表!#REF!</definedName>
    <definedName name="单价2016">[6]土建工程综合单价表!#REF!</definedName>
    <definedName name="单价2017">[6]土建工程综合单价表!#REF!</definedName>
    <definedName name="单价2018">[6]土建工程综合单价表!#REF!</definedName>
    <definedName name="单价2019">[6]土建工程综合单价表!#REF!</definedName>
    <definedName name="单价202">[6]土建工程综合单价表!#REF!</definedName>
    <definedName name="单价2020">[6]土建工程综合单价表!#REF!</definedName>
    <definedName name="单价2021">[6]土建工程综合单价表!#REF!</definedName>
    <definedName name="单价2022">[6]土建工程综合单价表!#REF!</definedName>
    <definedName name="单价2023">[6]土建工程综合单价表!#REF!</definedName>
    <definedName name="单价2024">[6]土建工程综合单价表!#REF!</definedName>
    <definedName name="单价2025">[6]土建工程综合单价表!#REF!</definedName>
    <definedName name="单价2026">[6]土建工程综合单价表!#REF!</definedName>
    <definedName name="单价2027">[6]土建工程综合单价表!#REF!</definedName>
    <definedName name="单价2028">[6]土建工程综合单价表!#REF!</definedName>
    <definedName name="单价2029">[6]土建工程综合单价表!#REF!</definedName>
    <definedName name="单价203">[6]土建工程综合单价表!#REF!</definedName>
    <definedName name="单价2030">[6]土建工程综合单价表!#REF!</definedName>
    <definedName name="单价2031">[6]土建工程综合单价表!#REF!</definedName>
    <definedName name="单价2032">[6]土建工程综合单价表!#REF!</definedName>
    <definedName name="单价2033">[6]土建工程综合单价表!#REF!</definedName>
    <definedName name="单价2034">[6]土建工程综合单价表!#REF!</definedName>
    <definedName name="单价2035">[6]土建工程综合单价表!#REF!</definedName>
    <definedName name="单价2036">[6]土建工程综合单价表!#REF!</definedName>
    <definedName name="单价2037">[6]土建工程综合单价表!#REF!</definedName>
    <definedName name="单价2038">[6]土建工程综合单价表!#REF!</definedName>
    <definedName name="单价2039">[6]土建工程综合单价表!#REF!</definedName>
    <definedName name="单价204">[6]土建工程综合单价表!#REF!</definedName>
    <definedName name="单价2040">[6]土建工程综合单价表!#REF!</definedName>
    <definedName name="单价2041">[6]土建工程综合单价表!#REF!</definedName>
    <definedName name="单价205">[6]土建工程综合单价表!#REF!</definedName>
    <definedName name="单价2050">[6]土建工程综合单价表!#REF!</definedName>
    <definedName name="单价206">[6]土建工程综合单价表!#REF!</definedName>
    <definedName name="单价207">[6]土建工程综合单价表!#REF!</definedName>
    <definedName name="单价208">[6]土建工程综合单价表!#REF!</definedName>
    <definedName name="单价209">[6]土建工程综合单价表!#REF!</definedName>
    <definedName name="单价210">[6]土建工程综合单价表!#REF!</definedName>
    <definedName name="单价211">[6]土建工程综合单价表!#REF!</definedName>
    <definedName name="单价212">[6]土建工程综合单价表!#REF!</definedName>
    <definedName name="单价213">[6]土建工程综合单价表!#REF!</definedName>
    <definedName name="单价214">[6]土建工程综合单价表!#REF!</definedName>
    <definedName name="单价215">[6]土建工程综合单价表!#REF!</definedName>
    <definedName name="单价216">[6]土建工程综合单价表!#REF!</definedName>
    <definedName name="单价217">[6]土建工程综合单价表!#REF!</definedName>
    <definedName name="单价2171">[6]土建工程综合单价表!#REF!</definedName>
    <definedName name="单价218">[6]土建工程综合单价表!#REF!</definedName>
    <definedName name="单价219">[6]土建工程综合单价表!#REF!</definedName>
    <definedName name="单价220">[6]土建工程综合单价表!#REF!</definedName>
    <definedName name="单价221">[6]土建工程综合单价表!#REF!</definedName>
    <definedName name="单价222">[6]土建工程综合单价表!#REF!</definedName>
    <definedName name="单价223">[6]土建工程综合单价表!#REF!</definedName>
    <definedName name="单价224">[6]土建工程综合单价表!#REF!</definedName>
    <definedName name="单价225">[6]土建工程综合单价表!#REF!</definedName>
    <definedName name="单价226">[6]土建工程综合单价表!#REF!</definedName>
    <definedName name="单价227">[6]土建工程综合单价表!#REF!</definedName>
    <definedName name="单价228">[6]土建工程综合单价表!#REF!</definedName>
    <definedName name="单价229">[6]土建工程综合单价表!#REF!</definedName>
    <definedName name="单价230">[6]土建工程综合单价表!#REF!</definedName>
    <definedName name="单价231">[6]土建工程综合单价表!#REF!</definedName>
    <definedName name="单价234">[6]土建工程综合单价表!#REF!</definedName>
    <definedName name="单价235">[6]土建工程综合单价表!#REF!</definedName>
    <definedName name="单价236">[6]土建工程综合单价表!#REF!</definedName>
    <definedName name="单价237">[6]土建工程综合单价表!#REF!</definedName>
    <definedName name="单价238">[6]土建工程综合单价表!#REF!</definedName>
    <definedName name="单价239">[6]土建工程综合单价表!#REF!</definedName>
    <definedName name="单价2391">[6]土建工程综合单价表!#REF!</definedName>
    <definedName name="单价240">[6]土建工程综合单价表!#REF!</definedName>
    <definedName name="单价241">[6]土建工程综合单价表!#REF!</definedName>
    <definedName name="单价242">[6]土建工程综合单价表!#REF!</definedName>
    <definedName name="单价243">[6]土建工程综合单价表!#REF!</definedName>
    <definedName name="单价244">[6]土建工程综合单价表!#REF!</definedName>
    <definedName name="单价245">[6]土建工程综合单价表!#REF!</definedName>
    <definedName name="单价246">[6]土建工程综合单价表!#REF!</definedName>
    <definedName name="单价247">[6]土建工程综合单价表!#REF!</definedName>
    <definedName name="单价248">[6]土建工程综合单价表!#REF!</definedName>
    <definedName name="单价249">[6]土建工程综合单价表!#REF!</definedName>
    <definedName name="单价250">[6]土建工程综合单价表!#REF!</definedName>
    <definedName name="单价251">[6]土建工程综合单价表!#REF!</definedName>
    <definedName name="单价254">[6]土建工程综合单价表!#REF!</definedName>
    <definedName name="单价255">[6]土建工程综合单价表!#REF!</definedName>
    <definedName name="单价256">[6]土建工程综合单价表!#REF!</definedName>
    <definedName name="单价257">[6]土建工程综合单价表!#REF!</definedName>
    <definedName name="单价258">[6]土建工程综合单价表!#REF!</definedName>
    <definedName name="单价259">[6]土建工程综合单价表!#REF!</definedName>
    <definedName name="单价281">[6]土建工程综合单价表!#REF!</definedName>
    <definedName name="单价282">[6]土建工程综合单价表!#REF!</definedName>
    <definedName name="单价283">[6]土建工程综合单价表!#REF!</definedName>
    <definedName name="单价284">[6]土建工程综合单价表!#REF!</definedName>
    <definedName name="单价285">[6]土建工程综合单价表!#REF!</definedName>
    <definedName name="单价286">[6]土建工程综合单价表!#REF!</definedName>
    <definedName name="单价287">[6]土建工程综合单价表!#REF!</definedName>
    <definedName name="单价301">[6]土建工程综合单价表!#REF!</definedName>
    <definedName name="单价302">[6]土建工程综合单价表!#REF!</definedName>
    <definedName name="单价303">[6]土建工程综合单价表!#REF!</definedName>
    <definedName name="单价304">[6]土建工程综合单价表!#REF!</definedName>
    <definedName name="单价305">[6]土建工程综合单价表!#REF!</definedName>
    <definedName name="单价306">[6]土建工程综合单价表!#REF!</definedName>
    <definedName name="单价307">[6]土建工程综合单价表!#REF!</definedName>
    <definedName name="单价308">[6]土建工程综合单价表!#REF!</definedName>
    <definedName name="单价309">[6]土建工程综合单价表!#REF!</definedName>
    <definedName name="单价310">[6]土建工程综合单价表!#REF!</definedName>
    <definedName name="单价311">[6]土建工程综合单价表!#REF!</definedName>
    <definedName name="单价312">[6]土建工程综合单价表!#REF!</definedName>
    <definedName name="单价313">[6]土建工程综合单价表!#REF!</definedName>
    <definedName name="单价314">[6]土建工程综合单价表!#REF!</definedName>
    <definedName name="单价315">[6]土建工程综合单价表!#REF!</definedName>
    <definedName name="单价401">[6]土建工程综合单价表!#REF!</definedName>
    <definedName name="单价501">[6]土建工程综合单价表!#REF!</definedName>
    <definedName name="单价502">[6]土建工程综合单价表!#REF!</definedName>
    <definedName name="单价503">[6]土建工程综合单价表!#REF!</definedName>
    <definedName name="单价504">[6]土建工程综合单价表!#REF!</definedName>
    <definedName name="单价505">[6]土建工程综合单价表!#REF!</definedName>
    <definedName name="单价506">[6]土建工程综合单价表!#REF!</definedName>
    <definedName name="单价507">[6]土建工程综合单价表!#REF!</definedName>
    <definedName name="单价508">[6]土建工程综合单价表!#REF!</definedName>
    <definedName name="单价509">[6]土建工程综合单价表!#REF!</definedName>
    <definedName name="单价510">[6]土建工程综合单价表!#REF!</definedName>
    <definedName name="单价511">[6]土建工程综合单价表!#REF!</definedName>
    <definedName name="单价601">[6]土建工程综合单价表!#REF!</definedName>
    <definedName name="单价602">[6]土建工程综合单价表!#REF!</definedName>
    <definedName name="单价603">[6]土建工程综合单价表!#REF!</definedName>
    <definedName name="单价606">[6]土建工程综合单价表!#REF!</definedName>
    <definedName name="单价607">[6]土建工程综合单价表!#REF!</definedName>
    <definedName name="单价608">[6]土建工程综合单价表!#REF!</definedName>
    <definedName name="单价609">[6]土建工程综合单价表!#REF!</definedName>
    <definedName name="单价610">[6]土建工程综合单价表!#REF!</definedName>
    <definedName name="单价611">[6]土建工程综合单价表!#REF!</definedName>
    <definedName name="单价612">[6]土建工程综合单价表!#REF!</definedName>
    <definedName name="单价613">[6]土建工程综合单价表!#REF!</definedName>
    <definedName name="单价614">[6]土建工程综合单价表!#REF!</definedName>
    <definedName name="单价615">[6]土建工程综合单价表!#REF!</definedName>
    <definedName name="单价616">[6]土建工程综合单价表!#REF!</definedName>
    <definedName name="单价621">[6]土建工程综合单价表!#REF!</definedName>
    <definedName name="单价622">[6]土建工程综合单价表!#REF!</definedName>
    <definedName name="单价623">[6]土建工程综合单价表!#REF!</definedName>
    <definedName name="单价631">[6]土建工程综合单价表!#REF!</definedName>
    <definedName name="单价632">[6]土建工程综合单价表!#REF!</definedName>
    <definedName name="单价633">[6]土建工程综合单价表!#REF!</definedName>
    <definedName name="单价634">[6]土建工程综合单价表!#REF!</definedName>
    <definedName name="单价635">[6]土建工程综合单价表!#REF!</definedName>
    <definedName name="单价636">[6]土建工程综合单价表!#REF!</definedName>
    <definedName name="单价637">[6]土建工程综合单价表!#REF!</definedName>
    <definedName name="单价638">[6]土建工程综合单价表!#REF!</definedName>
    <definedName name="单价639">[6]土建工程综合单价表!#REF!</definedName>
    <definedName name="单价645">[6]土建工程综合单价表!#REF!</definedName>
    <definedName name="单价646">[6]土建工程综合单价表!#REF!</definedName>
    <definedName name="单价647">[6]土建工程综合单价表!#REF!</definedName>
    <definedName name="单价648">[6]土建工程综合单价表!#REF!</definedName>
    <definedName name="单价649">[6]土建工程综合单价表!#REF!</definedName>
    <definedName name="单价661">[6]土建工程综合单价表!#REF!</definedName>
    <definedName name="单价662">[6]土建工程综合单价表!#REF!</definedName>
    <definedName name="单价663">[6]土建工程综合单价表!#REF!</definedName>
    <definedName name="单价664">[6]土建工程综合单价表!#REF!</definedName>
    <definedName name="单价665">[6]土建工程综合单价表!#REF!</definedName>
    <definedName name="单价666">[6]土建工程综合单价表!#REF!</definedName>
    <definedName name="单价701">[6]土建工程综合单价表!#REF!</definedName>
    <definedName name="单价703">[6]土建工程综合单价表!#REF!</definedName>
    <definedName name="单价704">[6]土建工程综合单价表!#REF!</definedName>
    <definedName name="单价705">[6]土建工程综合单价表!#REF!</definedName>
    <definedName name="单价706">[6]土建工程综合单价表!#REF!</definedName>
    <definedName name="单价711">[6]土建工程综合单价表!#REF!</definedName>
    <definedName name="单价716">[6]土建工程综合单价表!#REF!</definedName>
    <definedName name="单价721">[6]土建工程综合单价表!#REF!</definedName>
    <definedName name="单价722">[6]土建工程综合单价表!#REF!</definedName>
    <definedName name="单价723">[6]土建工程综合单价表!#REF!</definedName>
    <definedName name="单价724">[6]土建工程综合单价表!#REF!</definedName>
    <definedName name="单价725">[6]土建工程综合单价表!#REF!</definedName>
    <definedName name="单价726">[6]土建工程综合单价表!#REF!</definedName>
    <definedName name="单价727">[6]土建工程综合单价表!#REF!</definedName>
    <definedName name="单价728">[6]土建工程综合单价表!#REF!</definedName>
    <definedName name="单价741">[6]土建工程综合单价表!#REF!</definedName>
    <definedName name="单价742">[6]土建工程综合单价表!#REF!</definedName>
    <definedName name="单价743">[6]土建工程综合单价表!#REF!</definedName>
    <definedName name="单价744">[6]土建工程综合单价表!#REF!</definedName>
    <definedName name="单价745">[6]土建工程综合单价表!#REF!</definedName>
    <definedName name="单价801">[6]土建工程综合单价表!#REF!</definedName>
    <definedName name="单价802">[6]土建工程综合单价表!#REF!</definedName>
    <definedName name="单价803">[6]土建工程综合单价表!#REF!</definedName>
    <definedName name="单价804">[6]土建工程综合单价表!#REF!</definedName>
    <definedName name="单价805">[6]土建工程综合单价表!#REF!</definedName>
    <definedName name="单价806">[6]土建工程综合单价表!#REF!</definedName>
    <definedName name="单价821">[6]土建工程综合单价表!#REF!</definedName>
    <definedName name="单价822">[6]土建工程综合单价表!#REF!</definedName>
    <definedName name="单价823">[6]土建工程综合单价表!#REF!</definedName>
    <definedName name="单价824">[6]土建工程综合单价表!#REF!</definedName>
    <definedName name="单价825">[6]土建工程综合单价表!#REF!</definedName>
    <definedName name="单价826">[6]土建工程综合单价表!#REF!</definedName>
    <definedName name="单价827">[6]土建工程综合单价表!#REF!</definedName>
    <definedName name="单价828">[6]土建工程综合单价表!#REF!</definedName>
    <definedName name="单价829">[6]土建工程综合单价表!#REF!</definedName>
    <definedName name="地址">[7]資料庫!$B$5:$H$1859</definedName>
    <definedName name="发货单元">[8]資料庫!$B$5:$H$1555</definedName>
    <definedName name="钢12">[9]施工参考单价报价表!#REF!</definedName>
    <definedName name="钢3">[9]施工参考单价报价表!#REF!</definedName>
    <definedName name="管理费">#REF!</definedName>
    <definedName name="规费">#REF!</definedName>
    <definedName name="货物说明">#REF!</definedName>
    <definedName name="矩柱模">[9]施工参考单价报价表!#REF!</definedName>
    <definedName name="聚氨酯">[9]施工参考单价报价表!#REF!</definedName>
    <definedName name="利润">#REF!</definedName>
    <definedName name="梁模">[9]施工参考单价报价表!#REF!</definedName>
    <definedName name="零星模">[9]施工参考单价报价表!#REF!</definedName>
    <definedName name="墙200模">[9]施工参考单价报价表!#REF!</definedName>
    <definedName name="墙500模">[9]施工参考单价报价表!#REF!</definedName>
    <definedName name="人工挖土">[9]其它工作项目报价清单!#REF!</definedName>
    <definedName name="审杳">'[10]合格证 (2)'!$B$5:$H$1555</definedName>
    <definedName name="审杳表">#REF!</definedName>
    <definedName name="双方">#REF!</definedName>
    <definedName name="税金">#REF!</definedName>
    <definedName name="天沟">[9]施工参考单价报价表!#REF!</definedName>
    <definedName name="砼10">[9]甲指乙供材料报价表!#REF!</definedName>
    <definedName name="砼15">[9]甲指乙供材料报价表!#REF!</definedName>
    <definedName name="砼20">[9]甲指乙供材料报价表!#REF!</definedName>
    <definedName name="砼25">[9]甲指乙供材料报价表!#REF!</definedName>
    <definedName name="砼30">[9]甲指乙供材料报价表!#REF!</definedName>
    <definedName name="砼35">[9]甲指乙供材料报价表!#REF!</definedName>
    <definedName name="砼40">[9]甲指乙供材料报价表!#REF!</definedName>
    <definedName name="砼45">[9]甲指乙供材料报价表!#REF!</definedName>
    <definedName name="砼50">[9]甲指乙供材料报价表!#REF!</definedName>
    <definedName name="砼55">[9]甲指乙供材料报价表!#REF!</definedName>
    <definedName name="砼浇">[9]施工参考单价报价表!#REF!</definedName>
    <definedName name="土建10001">[6]土建工程综合单价表!#REF!</definedName>
    <definedName name="土建10002">[6]土建工程综合单价表!#REF!</definedName>
    <definedName name="土建10003">[6]土建工程综合单价表!#REF!</definedName>
    <definedName name="土建10004">[6]土建工程综合单价表!#REF!</definedName>
    <definedName name="土建10005">[6]土建工程综合单价表!#REF!</definedName>
    <definedName name="土建10006">[6]土建工程综合单价表!#REF!</definedName>
    <definedName name="土建10007">[6]土建工程综合单价表!#REF!</definedName>
    <definedName name="土建10008">[6]土建工程综合单价表!#REF!</definedName>
    <definedName name="土建10009">[6]土建工程综合单价表!#REF!</definedName>
    <definedName name="土建10010">[6]土建工程综合单价表!#REF!</definedName>
    <definedName name="土建10011">[6]土建工程综合单价表!#REF!</definedName>
    <definedName name="土建2046.">[6]土建工程综合单价组价明细表!#REF!</definedName>
    <definedName name="土建21001">[6]土建工程综合单价表!#REF!</definedName>
    <definedName name="土建21002">[6]土建工程综合单价表!#REF!</definedName>
    <definedName name="土建21003">[6]土建工程综合单价表!#REF!</definedName>
    <definedName name="土建21004">[6]土建工程综合单价表!#REF!</definedName>
    <definedName name="土建21005">[6]土建工程综合单价表!#REF!</definedName>
    <definedName name="土建21006">[6]土建工程综合单价表!#REF!</definedName>
    <definedName name="土建21007">[6]土建工程综合单价表!#REF!</definedName>
    <definedName name="土建21008">[6]土建工程综合单价表!#REF!</definedName>
    <definedName name="土建21009">[6]土建工程综合单价表!#REF!</definedName>
    <definedName name="土建21010">[6]土建工程综合单价表!#REF!</definedName>
    <definedName name="土建21011">[6]土建工程综合单价表!#REF!</definedName>
    <definedName name="土建21012">[6]土建工程综合单价表!#REF!</definedName>
    <definedName name="土建21013">[6]土建工程综合单价表!#REF!</definedName>
    <definedName name="土建21014">[6]土建工程综合单价表!#REF!</definedName>
    <definedName name="土建21015">[6]土建工程综合单价表!#REF!</definedName>
    <definedName name="土建21016">[6]土建工程综合单价表!#REF!</definedName>
    <definedName name="土建21017">[6]土建工程综合单价表!#REF!</definedName>
    <definedName name="土建21018">[6]土建工程综合单价表!#REF!</definedName>
    <definedName name="土建21019">[6]土建工程综合单价表!#REF!</definedName>
    <definedName name="土建21020">[6]土建工程综合单价表!#REF!</definedName>
    <definedName name="土建21021">[6]土建工程综合单价表!#REF!</definedName>
    <definedName name="土建21022">[6]土建工程综合单价表!#REF!</definedName>
    <definedName name="土建21023">[6]土建工程综合单价表!#REF!</definedName>
    <definedName name="土建21024">[6]土建工程综合单价表!#REF!</definedName>
    <definedName name="土建21025">[6]土建工程综合单价表!#REF!</definedName>
    <definedName name="土建21026">[6]土建工程综合单价表!#REF!</definedName>
    <definedName name="土建21027">[6]土建工程综合单价表!#REF!</definedName>
    <definedName name="土建21028">[6]土建工程综合单价表!#REF!</definedName>
    <definedName name="土建21029">[6]土建工程综合单价表!#REF!</definedName>
    <definedName name="土建21030">[6]土建工程综合单价表!#REF!</definedName>
    <definedName name="土建21031">[6]土建工程综合单价表!#REF!</definedName>
    <definedName name="土建21032">[6]土建工程综合单价表!#REF!</definedName>
    <definedName name="土建21033">[6]土建工程综合单价表!#REF!</definedName>
    <definedName name="土建21034">[6]土建工程综合单价表!#REF!</definedName>
    <definedName name="土建21035">[6]土建工程综合单价表!#REF!</definedName>
    <definedName name="土建21036">[6]土建工程综合单价表!#REF!</definedName>
    <definedName name="土建21037">[6]土建工程综合单价表!#REF!</definedName>
    <definedName name="土建21038">[6]土建工程综合单价表!#REF!</definedName>
    <definedName name="土建21039">[6]土建工程综合单价表!#REF!</definedName>
    <definedName name="土建21040">[6]土建工程综合单价表!#REF!</definedName>
    <definedName name="土建21041">[6]土建工程综合单价表!#REF!</definedName>
    <definedName name="土建21042">[6]土建工程综合单价表!#REF!</definedName>
    <definedName name="土建21043">[6]土建工程综合单价表!#REF!</definedName>
    <definedName name="土建21044">[6]土建工程综合单价表!#REF!</definedName>
    <definedName name="土建21045">[6]土建工程综合单价表!#REF!</definedName>
    <definedName name="土建21046">[6]土建工程综合单价表!#REF!</definedName>
    <definedName name="土建21047">[6]土建工程综合单价表!#REF!</definedName>
    <definedName name="土建21048">[6]土建工程综合单价表!#REF!</definedName>
    <definedName name="土建21049">[6]土建工程综合单价表!#REF!</definedName>
    <definedName name="土建21050">[6]土建工程综合单价表!#REF!</definedName>
    <definedName name="土建21051">[6]土建工程综合单价表!#REF!</definedName>
    <definedName name="土建21052">[6]土建工程综合单价表!#REF!</definedName>
    <definedName name="土建21053">[6]土建工程综合单价表!#REF!</definedName>
    <definedName name="土建21054">[6]土建工程综合单价表!#REF!</definedName>
    <definedName name="土建21055">[6]土建工程综合单价表!#REF!</definedName>
    <definedName name="土建21056">[6]土建工程综合单价表!#REF!</definedName>
    <definedName name="土建21057">[6]土建工程综合单价表!#REF!</definedName>
    <definedName name="土建21058">[6]土建工程综合单价表!#REF!</definedName>
    <definedName name="土建21059">[6]土建工程综合单价表!#REF!</definedName>
    <definedName name="土建21060">[6]土建工程综合单价表!#REF!</definedName>
    <definedName name="土建21061">[6]土建工程综合单价表!#REF!</definedName>
    <definedName name="土建21062">[6]土建工程综合单价表!#REF!</definedName>
    <definedName name="土建21063">[6]土建工程综合单价表!#REF!</definedName>
    <definedName name="土建21064">[6]土建工程综合单价表!#REF!</definedName>
    <definedName name="土建21065">[6]土建工程综合单价表!#REF!</definedName>
    <definedName name="土建21066">[6]土建工程综合单价表!#REF!</definedName>
    <definedName name="土建21067">[6]土建工程综合单价表!#REF!</definedName>
    <definedName name="土建21068">[6]土建工程综合单价表!#REF!</definedName>
    <definedName name="土建21069">[6]土建工程综合单价表!#REF!</definedName>
    <definedName name="土建21070">[6]土建工程综合单价表!#REF!</definedName>
    <definedName name="土建21071">[6]土建工程综合单价表!#REF!</definedName>
    <definedName name="土建21072">[6]土建工程综合单价表!#REF!</definedName>
    <definedName name="土建21073">[6]土建工程综合单价表!#REF!</definedName>
    <definedName name="土建21074">[6]土建工程综合单价表!#REF!</definedName>
    <definedName name="土建21075">[6]土建工程综合单价表!#REF!</definedName>
    <definedName name="土建21076">[6]土建工程综合单价表!#REF!</definedName>
    <definedName name="土建21077">[6]土建工程综合单价表!#REF!</definedName>
    <definedName name="土建21078">[6]土建工程综合单价表!#REF!</definedName>
    <definedName name="土建21079">[6]土建工程综合单价表!#REF!</definedName>
    <definedName name="土建21080">[6]土建工程综合单价表!#REF!</definedName>
    <definedName name="土建21081">[6]土建工程综合单价表!#REF!</definedName>
    <definedName name="土建21082">[6]土建工程综合单价表!#REF!</definedName>
    <definedName name="土建21083">[6]土建工程综合单价表!#REF!</definedName>
    <definedName name="土建21084">[6]土建工程综合单价表!#REF!</definedName>
    <definedName name="土建21085">[6]土建工程综合单价表!#REF!</definedName>
    <definedName name="土建21086">[6]土建工程综合单价表!#REF!</definedName>
    <definedName name="土建21087">[6]土建工程综合单价表!#REF!</definedName>
    <definedName name="土建21088">[6]土建工程综合单价表!#REF!</definedName>
    <definedName name="土建21089">[6]土建工程综合单价表!#REF!</definedName>
    <definedName name="土建21090">[6]土建工程综合单价表!#REF!</definedName>
    <definedName name="土建21091">[6]土建工程综合单价表!#REF!</definedName>
    <definedName name="土建21092">[6]土建工程综合单价表!#REF!</definedName>
    <definedName name="土建21093">[6]土建工程综合单价表!#REF!</definedName>
    <definedName name="土建21094">[6]土建工程综合单价表!#REF!</definedName>
    <definedName name="土建21095">[6]土建工程综合单价表!#REF!</definedName>
    <definedName name="土建21096">[6]土建工程综合单价表!#REF!</definedName>
    <definedName name="土建21097">[6]土建工程综合单价表!#REF!</definedName>
    <definedName name="土建21098">[6]土建工程综合单价表!#REF!</definedName>
    <definedName name="土建21099">[6]土建工程综合单价表!#REF!</definedName>
    <definedName name="土建21100">[6]土建工程综合单价表!#REF!</definedName>
    <definedName name="土建21101">[6]土建工程综合单价组价明细表!#REF!</definedName>
    <definedName name="土建21101.">[6]土建工程综合单价组价明细表!#REF!</definedName>
    <definedName name="土建22001">[6]土建工程综合单价表!#REF!</definedName>
    <definedName name="土建22002">[6]土建工程综合单价表!#REF!</definedName>
    <definedName name="土建22003">[6]土建工程综合单价表!#REF!</definedName>
    <definedName name="土建22004">[6]土建工程综合单价表!#REF!</definedName>
    <definedName name="土建22005">[6]土建工程综合单价表!#REF!</definedName>
    <definedName name="土建22006">[6]土建工程综合单价表!#REF!</definedName>
    <definedName name="土建22007">[6]土建工程综合单价表!#REF!</definedName>
    <definedName name="土建22008">[6]土建工程综合单价表!#REF!</definedName>
    <definedName name="土建22009">[6]土建工程综合单价表!#REF!</definedName>
    <definedName name="土建22010">[6]土建工程综合单价表!#REF!</definedName>
    <definedName name="土建23001">[6]土建工程综合单价表!#REF!</definedName>
    <definedName name="土建23002">[6]土建工程综合单价表!#REF!</definedName>
    <definedName name="土建23003">[6]土建工程综合单价表!#REF!</definedName>
    <definedName name="土建23004">[6]土建工程综合单价表!#REF!</definedName>
    <definedName name="土建23005">[6]土建工程综合单价表!#REF!</definedName>
    <definedName name="土建23006">[6]土建工程综合单价表!#REF!</definedName>
    <definedName name="土建23007">[6]土建工程综合单价表!#REF!</definedName>
    <definedName name="土建23008">[6]土建工程综合单价表!#REF!</definedName>
    <definedName name="土建23009">[6]土建工程综合单价表!#REF!</definedName>
    <definedName name="土建23010">[6]土建工程综合单价表!#REF!</definedName>
    <definedName name="土建23011">[6]土建工程综合单价表!#REF!</definedName>
    <definedName name="土建23012">[6]土建工程综合单价表!#REF!</definedName>
    <definedName name="土建23013">[6]土建工程综合单价表!#REF!</definedName>
    <definedName name="土建23014">[6]土建工程综合单价表!#REF!</definedName>
    <definedName name="土建23015">[6]土建工程综合单价表!#REF!</definedName>
    <definedName name="土建23016">[6]土建工程综合单价表!#REF!</definedName>
    <definedName name="土建23017">[6]土建工程综合单价表!#REF!</definedName>
    <definedName name="土建23018">[6]土建工程综合单价表!#REF!</definedName>
    <definedName name="土建23019">[6]土建工程综合单价表!#REF!</definedName>
    <definedName name="土建23020">[6]土建工程综合单价表!#REF!</definedName>
    <definedName name="土建23021">[6]土建工程综合单价表!#REF!</definedName>
    <definedName name="土建23022">[6]土建工程综合单价表!#REF!</definedName>
    <definedName name="土建23023">[6]土建工程综合单价表!#REF!</definedName>
    <definedName name="土建23024">[6]土建工程综合单价表!#REF!</definedName>
    <definedName name="土建23025">[6]土建工程综合单价表!#REF!</definedName>
    <definedName name="土建23026">[6]土建工程综合单价表!#REF!</definedName>
    <definedName name="土建23027">[6]土建工程综合单价表!#REF!</definedName>
    <definedName name="土建23028">[6]土建工程综合单价表!#REF!</definedName>
    <definedName name="土建23029">[6]土建工程综合单价表!#REF!</definedName>
    <definedName name="土建23030">[6]土建工程综合单价表!#REF!</definedName>
    <definedName name="土建23031">[6]土建工程综合单价表!#REF!</definedName>
    <definedName name="土建23032">[6]土建工程综合单价表!#REF!</definedName>
    <definedName name="土建23033">[6]土建工程综合单价表!#REF!</definedName>
    <definedName name="土建23034">[6]土建工程综合单价表!#REF!</definedName>
    <definedName name="土建23035">[6]土建工程综合单价表!#REF!</definedName>
    <definedName name="土建23036">[6]土建工程综合单价表!#REF!</definedName>
    <definedName name="土建23037">[6]土建工程综合单价表!#REF!</definedName>
    <definedName name="土建23038">[6]土建工程综合单价表!#REF!</definedName>
    <definedName name="土建23039">[6]土建工程综合单价表!#REF!</definedName>
    <definedName name="土建23040">[6]土建工程综合单价表!#REF!</definedName>
    <definedName name="土建23041">[6]土建工程综合单价表!#REF!</definedName>
    <definedName name="土建23042">[6]土建工程综合单价表!#REF!</definedName>
    <definedName name="土建23043">[6]土建工程综合单价组价明细表!#REF!</definedName>
    <definedName name="土建23043.">[6]土建工程综合单价表!#REF!</definedName>
    <definedName name="土建23043。">[6]土建工程综合单价组价明细表!#REF!</definedName>
    <definedName name="土建23044">[6]土建工程综合单价组价明细表!#REF!</definedName>
    <definedName name="土建23044.">[6]土建工程综合单价表!#REF!</definedName>
    <definedName name="土建23045">[6]土建工程综合单价组价明细表!#REF!</definedName>
    <definedName name="土建23045.">[6]土建工程综合单价表!#REF!</definedName>
    <definedName name="土建23046">[6]土建工程综合单价组价明细表!#REF!</definedName>
    <definedName name="土建23046.">[6]土建工程综合单价表!#REF!</definedName>
    <definedName name="土建23047">[6]土建工程综合单价组价明细表!#REF!</definedName>
    <definedName name="土建23047.">[6]土建工程综合单价表!#REF!</definedName>
    <definedName name="土建23048">[6]土建工程综合单价组价明细表!#REF!</definedName>
    <definedName name="土建23048.">[6]土建工程综合单价表!#REF!</definedName>
    <definedName name="土建23049">[6]土建工程综合单价组价明细表!#REF!</definedName>
    <definedName name="土建23049.">[6]土建工程综合单价表!#REF!</definedName>
    <definedName name="土建23050">[6]土建工程综合单价组价明细表!#REF!</definedName>
    <definedName name="土建23050.">[6]土建工程综合单价表!#REF!</definedName>
    <definedName name="土建23051">[6]土建工程综合单价组价明细表!#REF!</definedName>
    <definedName name="土建23051.">[6]土建工程综合单价表!#REF!</definedName>
    <definedName name="土建23052">[6]土建工程综合单价组价明细表!#REF!</definedName>
    <definedName name="土建23052.">[6]土建工程综合单价表!#REF!</definedName>
    <definedName name="土建30001">[6]土建工程综合单价表!#REF!</definedName>
    <definedName name="土建30002">[6]土建工程综合单价表!#REF!</definedName>
    <definedName name="土建30003">[6]土建工程综合单价表!#REF!</definedName>
    <definedName name="土建30004">[6]土建工程综合单价表!#REF!</definedName>
    <definedName name="土建30005">[6]土建工程综合单价表!#REF!</definedName>
    <definedName name="土建30006">[6]土建工程综合单价表!#REF!</definedName>
    <definedName name="土建30007">[6]土建工程综合单价表!#REF!</definedName>
    <definedName name="土建30008">[6]土建工程综合单价表!#REF!</definedName>
    <definedName name="土建30009">[6]土建工程综合单价表!#REF!</definedName>
    <definedName name="土建30010">[6]土建工程综合单价表!#REF!</definedName>
    <definedName name="土建30011">[6]土建工程综合单价表!#REF!</definedName>
    <definedName name="土建30012">[6]土建工程综合单价表!#REF!</definedName>
    <definedName name="土建30013">[6]土建工程综合单价表!#REF!</definedName>
    <definedName name="土建30014">[6]土建工程综合单价表!#REF!</definedName>
    <definedName name="土建30015">[6]土建工程综合单价表!#REF!</definedName>
    <definedName name="土建30016">[6]土建工程综合单价表!#REF!</definedName>
    <definedName name="土建30017">[6]土建工程综合单价表!#REF!</definedName>
    <definedName name="土建30018">[6]土建工程综合单价表!#REF!</definedName>
    <definedName name="土建30019">[6]土建工程综合单价表!#REF!</definedName>
    <definedName name="土建30020">[6]土建工程综合单价表!#REF!</definedName>
    <definedName name="土建30021">[6]土建工程综合单价表!#REF!</definedName>
    <definedName name="土建30022">[6]土建工程综合单价表!#REF!</definedName>
    <definedName name="土建30023">[6]土建工程综合单价表!#REF!</definedName>
    <definedName name="土建30024">[6]土建工程综合单价表!#REF!</definedName>
    <definedName name="土建30025">[6]土建工程综合单价表!#REF!</definedName>
    <definedName name="土建30026">[6]土建工程综合单价表!#REF!</definedName>
    <definedName name="土建30027">[6]土建工程综合单价表!#REF!</definedName>
    <definedName name="土建30028">[6]土建工程综合单价表!#REF!</definedName>
    <definedName name="土建30029">[6]土建工程综合单价表!#REF!</definedName>
    <definedName name="土建40001">[6]土建工程综合单价表!#REF!</definedName>
    <definedName name="土建50001">[6]土建工程综合单价表!#REF!</definedName>
    <definedName name="土建50002">[6]土建工程综合单价表!#REF!</definedName>
    <definedName name="土建50003">[6]土建工程综合单价表!#REF!</definedName>
    <definedName name="土建50004">[6]土建工程综合单价表!#REF!</definedName>
    <definedName name="土建50005">[6]土建工程综合单价表!#REF!</definedName>
    <definedName name="土建50006">[6]土建工程综合单价表!#REF!</definedName>
    <definedName name="土建50007">[6]土建工程综合单价表!#REF!</definedName>
    <definedName name="土建50008">[6]土建工程综合单价表!#REF!</definedName>
    <definedName name="土建50009">[6]土建工程综合单价表!#REF!</definedName>
    <definedName name="土建50010">[6]土建工程综合单价表!#REF!</definedName>
    <definedName name="土建50010.">[6]土建工程综合单价表!#REF!</definedName>
    <definedName name="土建50011">[6]土建工程综合单价表!#REF!</definedName>
    <definedName name="土建50012">[6]土建工程综合单价表!#REF!</definedName>
    <definedName name="土建50013">[6]土建工程综合单价表!#REF!</definedName>
    <definedName name="土建50014">[6]土建工程综合单价表!#REF!</definedName>
    <definedName name="土建50015">[6]土建工程综合单价表!#REF!</definedName>
    <definedName name="土建50016">[6]土建工程综合单价表!#REF!</definedName>
    <definedName name="土建5010">[6]土建工程综合单价表!#REF!</definedName>
    <definedName name="土建60001">[6]土建工程综合单价表!#REF!</definedName>
    <definedName name="土建60002">[6]土建工程综合单价表!#REF!</definedName>
    <definedName name="土建60003">[6]土建工程综合单价表!#REF!</definedName>
    <definedName name="土建60004">[6]土建工程综合单价表!#REF!</definedName>
    <definedName name="土建60005">[6]土建工程综合单价表!#REF!</definedName>
    <definedName name="土建60006">[6]土建工程综合单价表!#REF!</definedName>
    <definedName name="土建60007">[6]土建工程综合单价表!#REF!</definedName>
    <definedName name="土建60008">[6]土建工程综合单价表!#REF!</definedName>
    <definedName name="土建60009">[6]土建工程综合单价表!#REF!</definedName>
    <definedName name="土建60010">[6]土建工程综合单价表!#REF!</definedName>
    <definedName name="土建60011">[6]土建工程综合单价表!#REF!</definedName>
    <definedName name="土建60012">[6]土建工程综合单价表!#REF!</definedName>
    <definedName name="土建60013">[6]土建工程综合单价表!#REF!</definedName>
    <definedName name="土建60014">[6]土建工程综合单价表!#REF!</definedName>
    <definedName name="土建60015">[6]土建工程综合单价表!#REF!</definedName>
    <definedName name="土建60016">[6]土建工程综合单价表!#REF!</definedName>
    <definedName name="土建60017">[6]土建工程综合单价表!#REF!</definedName>
    <definedName name="土建60018">[6]土建工程综合单价表!#REF!</definedName>
    <definedName name="土建60019">[6]土建工程综合单价表!#REF!</definedName>
    <definedName name="土建60020">[6]土建工程综合单价表!#REF!</definedName>
    <definedName name="土建60021">[6]土建工程综合单价表!#REF!</definedName>
    <definedName name="土建60022">[6]土建工程综合单价表!#REF!</definedName>
    <definedName name="土建60023">[6]土建工程综合单价表!#REF!</definedName>
    <definedName name="土建60024">[6]土建工程综合单价表!#REF!</definedName>
    <definedName name="土建60025">[6]土建工程综合单价表!#REF!</definedName>
    <definedName name="土建60026">[6]土建工程综合单价表!#REF!</definedName>
    <definedName name="土建60027">[6]土建工程综合单价表!#REF!</definedName>
    <definedName name="土建60028">[6]土建工程综合单价表!#REF!</definedName>
    <definedName name="土建60029">[6]土建工程综合单价表!#REF!</definedName>
    <definedName name="土建60030">[6]土建工程综合单价表!#REF!</definedName>
    <definedName name="土建60031">[6]土建工程综合单价表!#REF!</definedName>
    <definedName name="土建60032">[6]土建工程综合单价表!#REF!</definedName>
    <definedName name="土建60033">[6]土建工程综合单价表!#REF!</definedName>
    <definedName name="土建60034">[6]土建工程综合单价表!#REF!</definedName>
    <definedName name="土建60035">[6]土建工程综合单价表!#REF!</definedName>
    <definedName name="土建60036">[6]土建工程综合单价表!#REF!</definedName>
    <definedName name="土建60037">[6]土建工程综合单价表!#REF!</definedName>
    <definedName name="土建60038">[6]土建工程综合单价表!#REF!</definedName>
    <definedName name="土建60039">[6]土建工程综合单价表!#REF!</definedName>
    <definedName name="土建60040">[6]土建工程综合单价表!#REF!</definedName>
    <definedName name="土建60041">[6]土建工程综合单价表!#REF!</definedName>
    <definedName name="土建60042">[6]土建工程综合单价表!#REF!</definedName>
    <definedName name="土建60043">[6]土建工程综合单价表!#REF!</definedName>
    <definedName name="土建60044">[6]土建工程综合单价表!#REF!</definedName>
    <definedName name="土建60045">[6]土建工程综合单价表!#REF!</definedName>
    <definedName name="土建60046">[6]土建工程综合单价表!#REF!</definedName>
    <definedName name="土建60047">[6]土建工程综合单价表!#REF!</definedName>
    <definedName name="土建60048">[6]土建工程综合单价表!#REF!</definedName>
    <definedName name="土建60049">[6]土建工程综合单价表!#REF!</definedName>
    <definedName name="土建60050">[6]土建工程综合单价表!#REF!</definedName>
    <definedName name="土建60051">[6]土建工程综合单价表!#REF!</definedName>
    <definedName name="土建60052">[6]土建工程综合单价表!#REF!</definedName>
    <definedName name="土建60053">[6]土建工程综合单价表!#REF!</definedName>
    <definedName name="土建60054">[6]土建工程综合单价表!#REF!</definedName>
    <definedName name="土建60055">[6]土建工程综合单价表!#REF!</definedName>
    <definedName name="土建60056">[6]土建工程综合单价表!#REF!</definedName>
    <definedName name="土建60057">[6]土建工程综合单价表!#REF!</definedName>
    <definedName name="土建60058">[6]土建工程综合单价表!#REF!</definedName>
    <definedName name="土建60059">[6]土建工程综合单价表!#REF!</definedName>
    <definedName name="土建60060">[6]土建工程综合单价表!#REF!</definedName>
    <definedName name="土建60061">[6]土建工程综合单价表!#REF!</definedName>
    <definedName name="土建60062">[6]土建工程综合单价表!#REF!</definedName>
    <definedName name="土建60063">[6]土建工程综合单价表!#REF!</definedName>
    <definedName name="土建60064">[6]土建工程综合单价表!#REF!</definedName>
    <definedName name="土建60065">[6]土建工程综合单价表!#REF!</definedName>
    <definedName name="土建60066">[6]土建工程综合单价表!#REF!</definedName>
    <definedName name="土建60067">[6]土建工程综合单价表!#REF!</definedName>
    <definedName name="土建60068">[6]土建工程综合单价表!#REF!</definedName>
    <definedName name="土建60069">[6]土建工程综合单价表!#REF!</definedName>
    <definedName name="土建60070">[6]土建工程综合单价表!#REF!</definedName>
    <definedName name="土建60071">[6]土建工程综合单价表!#REF!</definedName>
    <definedName name="土建60072">[6]土建工程综合单价表!#REF!</definedName>
    <definedName name="土建60073">[6]土建工程综合单价表!#REF!</definedName>
    <definedName name="土建60074">[6]土建工程综合单价表!#REF!</definedName>
    <definedName name="土建60075">[6]土建工程综合单价表!#REF!</definedName>
    <definedName name="土建60076">[6]土建工程综合单价表!#REF!</definedName>
    <definedName name="土建60077">[6]土建工程综合单价表!#REF!</definedName>
    <definedName name="土建70001">[6]土建工程综合单价表!#REF!</definedName>
    <definedName name="土建70002">[6]土建工程综合单价表!#REF!</definedName>
    <definedName name="土建70003">[6]土建工程综合单价表!#REF!</definedName>
    <definedName name="土建70004">[6]土建工程综合单价表!#REF!</definedName>
    <definedName name="土建70005">[6]土建工程综合单价表!#REF!</definedName>
    <definedName name="土建70006">[6]土建工程综合单价表!#REF!</definedName>
    <definedName name="土建70007">[6]土建工程综合单价表!#REF!</definedName>
    <definedName name="土建70008">[6]土建工程综合单价表!#REF!</definedName>
    <definedName name="土建70009">[6]土建工程综合单价表!#REF!</definedName>
    <definedName name="土建70010">[6]土建工程综合单价表!#REF!</definedName>
    <definedName name="土建70011">[6]土建工程综合单价表!#REF!</definedName>
    <definedName name="土建70012">[6]土建工程综合单价表!#REF!</definedName>
    <definedName name="土建70013">[6]土建工程综合单价表!#REF!</definedName>
    <definedName name="土建70014">[6]土建工程综合单价表!#REF!</definedName>
    <definedName name="土建70015">[6]土建工程综合单价表!#REF!</definedName>
    <definedName name="土建70016">[6]土建工程综合单价表!#REF!</definedName>
    <definedName name="土建70017">[6]土建工程综合单价表!#REF!</definedName>
    <definedName name="土建70018">[6]土建工程综合单价表!#REF!</definedName>
    <definedName name="土建70019">[6]土建工程综合单价表!#REF!</definedName>
    <definedName name="土建70020">[6]土建工程综合单价表!#REF!</definedName>
    <definedName name="土建70021">[6]土建工程综合单价表!#REF!</definedName>
    <definedName name="土建70022">[6]土建工程综合单价表!#REF!</definedName>
    <definedName name="土建70023">[6]土建工程综合单价表!#REF!</definedName>
    <definedName name="土建70024">[6]土建工程综合单价表!#REF!</definedName>
    <definedName name="土建70025">[6]土建工程综合单价表!#REF!</definedName>
    <definedName name="土建70026">[6]土建工程综合单价表!#REF!</definedName>
    <definedName name="土建70027">[6]土建工程综合单价表!#REF!</definedName>
    <definedName name="土建80001">[6]土建工程综合单价表!#REF!</definedName>
    <definedName name="土建80002">[6]土建工程综合单价表!#REF!</definedName>
    <definedName name="土建80003">[6]土建工程综合单价表!#REF!</definedName>
    <definedName name="土建80004">[6]土建工程综合单价表!#REF!</definedName>
    <definedName name="土建80005">[6]土建工程综合单价表!#REF!</definedName>
    <definedName name="土建80006">[6]土建工程综合单价表!#REF!</definedName>
    <definedName name="土建80007">[6]土建工程综合单价表!#REF!</definedName>
    <definedName name="土建80008">[6]土建工程综合单价表!#REF!</definedName>
    <definedName name="土建80009">[6]土建工程综合单价表!#REF!</definedName>
    <definedName name="土建80010">[6]土建工程综合单价表!#REF!</definedName>
    <definedName name="土建80011">[6]土建工程综合单价表!#REF!</definedName>
    <definedName name="土建80012">[6]土建工程综合单价表!#REF!</definedName>
    <definedName name="土建80013">[6]土建工程综合单价表!#REF!</definedName>
    <definedName name="土建80014">[6]土建工程综合单价表!#REF!</definedName>
    <definedName name="土建80015">[6]土建工程综合单价表!#REF!</definedName>
    <definedName name="土建80016">[6]土建工程综合单价表!#REF!</definedName>
    <definedName name="土建80017">[6]土建工程综合单价表!#REF!</definedName>
    <definedName name="外面砖">[9]施工参考单价报价表!#REF!</definedName>
    <definedName name="外涂">[9]施工参考单价报价表!#REF!</definedName>
    <definedName name="样办单">[11]明細表!$AA$967:$AA$967</definedName>
    <definedName name="样办送">[11]明細表!$AA$967:$AA$967</definedName>
    <definedName name="样办送货单">#REF!</definedName>
    <definedName name="样办送货单1">[12]資料庫!$B$5:$H$2024</definedName>
    <definedName name="以">[5]資料庫!$B$5:$H$1621</definedName>
    <definedName name="异柱模">[9]施工参考单价报价表!#REF!</definedName>
    <definedName name="中建">[13]資料庫!$B$5:$AT$753</definedName>
    <definedName name="桩模">[9]施工参考单价报价表!#REF!</definedName>
    <definedName name="資料庫">[12]資料庫!$B$5:$H$2024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<sst xmlns="http://schemas.openxmlformats.org/spreadsheetml/2006/main" count="4344" uniqueCount="686">
  <si>
    <t>栾川山水文苑项目S7地块一期消防工程清单汇总表（单位：元）</t>
  </si>
  <si>
    <t>序号</t>
  </si>
  <si>
    <t>项目名称</t>
  </si>
  <si>
    <t>造价（元）</t>
  </si>
  <si>
    <t>说明</t>
  </si>
  <si>
    <t>21#消防工程</t>
  </si>
  <si>
    <t>固定总价包干，详见后附工程量清单明细</t>
  </si>
  <si>
    <t>28#消防工程</t>
  </si>
  <si>
    <t>29#消防工程</t>
  </si>
  <si>
    <t>30#消防工程</t>
  </si>
  <si>
    <t>31#消防工程</t>
  </si>
  <si>
    <t>36#消防工程</t>
  </si>
  <si>
    <t>37#消防工程</t>
  </si>
  <si>
    <t>38#消防工程</t>
  </si>
  <si>
    <t>39#消防工程</t>
  </si>
  <si>
    <t>50#消防工程</t>
  </si>
  <si>
    <t>车库</t>
  </si>
  <si>
    <t>抗震支架</t>
  </si>
  <si>
    <r>
      <rPr>
        <sz val="10"/>
        <rFont val="宋体"/>
        <charset val="134"/>
      </rPr>
      <t>固定总价包干，详见后附工程量清单明细，</t>
    </r>
    <r>
      <rPr>
        <sz val="10"/>
        <color rgb="FFFF0000"/>
        <rFont val="宋体"/>
        <charset val="134"/>
      </rPr>
      <t>抗震支架报价明细表待中标后，由厂家深化设计后提供</t>
    </r>
    <r>
      <rPr>
        <sz val="10"/>
        <rFont val="宋体"/>
        <charset val="134"/>
      </rPr>
      <t>。</t>
    </r>
  </si>
  <si>
    <t>室外管网</t>
  </si>
  <si>
    <t>P1#</t>
  </si>
  <si>
    <t>P2#</t>
  </si>
  <si>
    <t>合计</t>
  </si>
  <si>
    <t xml:space="preserve">编制说明：
一、共性：
1、地下车库与主楼地下室灭火器、消火栓同一位置的原则上计入主楼，不同位置的分别计入对应主楼及车库；
2、各楼的消防电系统配线从消防控制室引出，此部分配线计入各楼；22#楼消防工程不在本次范围，但22#楼的消防电配线需从消防控制室施工至22#楼负一次电井木块内，且含22#楼的对接工作及调试；
3、地下风井等若设计内衬镀锌钢板的统一不做，主楼风井内衬镀锌钢板计入；
4、消火栓钢管均采用普通热浸镀锌钢管，非加厚；
5、消火栓选用原则：大堂、合用前室、独立前室的采用组合柜、楼梯间采用丁型、前室单独的消火栓采用普通型；灭火器选用原则：主楼地下及电梯机房采用3KG,其他采用1KG；
6、从车库出的围绕主楼附近的补风井上面的防雨百叶，详建施风井大样，不在本次范围；
7、竖向配线均按规范上下翻配管内配线，顶不留盒考虑，若后期穿线按顶部留盒单向配管穿线施工，结算据实调整竖向配线工程量；
8、整个地块消防的标识标牌的制作安装费用统一计入车库分部内；
9、每栋楼的消防套管及封堵费用统一计入各楼的消火栓分部内；
10、防火卷帘电源箱（不含）至控制箱（含）的配管、配线，控制箱（含）至按钮的配管、配线，按钮及防火卷帘门在本次招标范围；控制箱至设备之间的电气线缆部分（风机、消火栓泵、喷淋泵、稳压泵等），含明配线管或局部桥架、接线、调试等，均在招标范围内。
二、各楼栋：
1、28#XL-2c、XL-4c按图计入，分界以主楼外墙皮为界；
2、28.29.30#防火门系统区域分机按每个单元设置一个，区域分机至EB配线采用WDZN-RYJS-2x1.5；
3、28.29.30#均按出口指示灯计入；
4、28.29.30#按红外人体感应+光控节能灯计入；
5、29#火灾自动报警及消防联动系统穿线线型参考28#；
6、39#屋顶从自来水水表后截止阀后至消防水箱，此段工程在消防施工范围；
7、车库采用减压稳压单栓窄型消火栓(顶上进水)(700高*500宽*240厚mm)；车库灭火器采用4KG，灭火器单独放置在灭火器箱内；
8、一氧化碳探测器与空气质量控制器数量一一对应；
9、车库防火卷帘门系统与二期交界处的图纸显示的都在本次范围；
10、室外消火栓按地上式室外栓计入；
11、p1#p2#排气扇不在本次招标范围内；
12、22#28#29#30#楼变更已计入。
备注：报价清单中没有说明或列项的，但在合同施工范围及/或施工图纸范围内的所有工作，均应视为已包含在合同总价内，若乙方未施工或未完全施工的，甲方有权在合同总价中扣除，扣除依据河南省通用安装工程预算定额（2016）计价原则扣除，若定额无对应子目的，双方协商确定，无法协商一致的，以甲方认质认价的金额为准。
</t>
  </si>
  <si>
    <t>栾川山水文苑项目S7地块一期消防工程清单计价表</t>
  </si>
  <si>
    <t>名称</t>
  </si>
  <si>
    <t>项目特征</t>
  </si>
  <si>
    <t>单位</t>
  </si>
  <si>
    <t>工程量（A）</t>
  </si>
  <si>
    <t>其中：各子项构成（元）</t>
  </si>
  <si>
    <t>含税综合单价(元)
f=(a+b+c+d+e)</t>
  </si>
  <si>
    <t>合价(元)=g*f</t>
  </si>
  <si>
    <t>品牌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</si>
  <si>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</si>
  <si>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</si>
  <si>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</si>
  <si>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</si>
  <si>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</si>
  <si>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</si>
  <si>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21#消火栓系统</t>
  </si>
  <si>
    <t>消火栓钢管</t>
  </si>
  <si>
    <t>1.名称:热浸镀锌钢管
2.规格:DN100
3.连接形式:沟槽连接
4.含压力试验及冲洗，含管件管卡制作安装
5.其它未尽事宜详见图纸（含与之相关的一切费用）</t>
  </si>
  <si>
    <t>m</t>
  </si>
  <si>
    <t>天津“利达”、天津“友发”</t>
  </si>
  <si>
    <t>1.名称:热浸镀锌钢管
2.规格:DN65
3.连接形式:沟槽连接
4.含压力试验及冲洗，含管件管卡制作安装
5.其它未尽事宜详见图纸（含与之相关的一切费用）</t>
  </si>
  <si>
    <t>管道支架制作安装及刷漆</t>
  </si>
  <si>
    <t>1.名称:管道支架制作安装及刷漆
2.消防支架应符合图纸及相关技术规范的要求
3.刷漆及防腐:详见图纸设计</t>
  </si>
  <si>
    <t>kg</t>
  </si>
  <si>
    <t>天津亿达</t>
  </si>
  <si>
    <t>消火栓</t>
  </si>
  <si>
    <t>1.名称:薄型单栓带消防软管卷盘组合式消防柜
2.型号、规格:1800X700X160，详图集15S202-21
3.其它未尽事宜详见图纸（含与之相关的一切费用）</t>
  </si>
  <si>
    <t>套</t>
  </si>
  <si>
    <t>郑州“柳成”、天津“鼎力”</t>
  </si>
  <si>
    <t>1.名称:试验消火栓箱
2.型号、规格:详见图纸设计
3.其它未尽事宜详见图纸（含与之相关的一切费用）</t>
  </si>
  <si>
    <t>灭火器</t>
  </si>
  <si>
    <t>1.名称:手提式灭火器
2.规格、型号:MF/ABC5
3.其它未尽事宜详见图纸（含与之相关的一切费用）</t>
  </si>
  <si>
    <t>具</t>
  </si>
  <si>
    <t>郑州“柳成”、“净瓶“</t>
  </si>
  <si>
    <t>焊接法兰阀门</t>
  </si>
  <si>
    <t>1.名称:蝶阀
2.规格、型号:DN100
3.其它未尽事宜详见图纸设计</t>
  </si>
  <si>
    <t>个</t>
  </si>
  <si>
    <t>天津“鼎力”、“远大、沪航”</t>
  </si>
  <si>
    <t>法兰</t>
  </si>
  <si>
    <t>1.名称:法兰
2.规格、型号:DN100
3.其它未尽事宜详见图纸设计</t>
  </si>
  <si>
    <t>副</t>
  </si>
  <si>
    <t>自动排气阀</t>
  </si>
  <si>
    <t>1.名称:自动排气阀
2.规格:DN25
3.其它未尽事宜详见图纸（含与之相关的一切费用）</t>
  </si>
  <si>
    <t>截止阀</t>
  </si>
  <si>
    <t>1.名称:截止阀
2.规格:DN25
3.其它未尽事宜详见图纸（含与之相关的一切费用）</t>
  </si>
  <si>
    <t>套管及封堵</t>
  </si>
  <si>
    <t>1、名称：穿楼板套管及穿砌体墙套管的制作安装及其套管、所有消防管道的封堵，消防箱、风管穿墙、水管穿墙等周边封堵</t>
  </si>
  <si>
    <t>项</t>
  </si>
  <si>
    <t>调试</t>
  </si>
  <si>
    <t>1.名称:消火栓灭火系统调试</t>
  </si>
  <si>
    <t>二</t>
  </si>
  <si>
    <t>21#喷淋系统</t>
  </si>
  <si>
    <t>水喷淋钢管</t>
  </si>
  <si>
    <t>1.名称:内外热浸镀锌钢管
2.规格:DN100
3.连接形式:沟槽连接
4.含压力试验及冲洗，含管件管卡制作安装
5.其它未尽事宜详见图纸（含与之相关的一切费用）</t>
  </si>
  <si>
    <t>1.名称:内外热浸镀锌钢管
2.规格:DN80
3.连接形式:沟槽连接
4.含压力试验及冲洗，含管件管卡制作安装
5.其它未尽事宜详见图纸（含与之相关的一切费用）</t>
  </si>
  <si>
    <t>1.名称:内外热浸镀锌钢管
2.规格:DN65
3.连接形式:沟槽连接
4.含压力试验及冲洗，含管件管卡制作安装
5.其它未尽事宜详见图纸（含与之相关的一切费用）</t>
  </si>
  <si>
    <t>1.名称:内外热浸镀锌钢管
2.规格:DN50
3.连接形式:螺纹连接
4.含压力试验及冲洗，含管件管卡制作安装
5.其它未尽事宜详见图纸（含与之相关的一切费用）</t>
  </si>
  <si>
    <t>1.名称:内外热浸镀锌钢管
2.规格:DN40
3.连接形式:螺纹连接
4.含压力试验及冲洗，含管件管卡制作安装
5.其它未尽事宜详见图纸（含与之相关的一切费用）</t>
  </si>
  <si>
    <t>1.名称:内外热浸镀锌钢管
2.规格:DN32
3.连接形式:螺纹连接
4.含压力试验及冲洗，含管件管卡制作安装
5.其它未尽事宜详见图纸（含与之相关的一切费用）</t>
  </si>
  <si>
    <t>1.名称:内外壁热镀锌钢管
2.规格:DN25
3.连接形式:螺纹连接
4.含压力试验及冲洗，含管件管卡制作安装
5.其它未尽事宜详见图纸（含与之相关的一切费用）</t>
  </si>
  <si>
    <t>水喷淋(雾）喷头</t>
  </si>
  <si>
    <t>1.名称:快速响应玻璃球喷头
2.材质、型号、规格:K-ZSTZ-15-68℃（含10个备用）
3.其它未尽事宜详见图纸（含与之相关的一切费用）</t>
  </si>
  <si>
    <t>上海“金盾”、四川“川消”</t>
  </si>
  <si>
    <t>1.名称:快速响应玻璃球喷头
2.材质、型号、规格:K-ZSTZ-15-93℃，用于厨房间（含10个备用）
3.其它未尽事宜详见图纸（含与之相关的一切费用）</t>
  </si>
  <si>
    <t>水流指示器</t>
  </si>
  <si>
    <t>1.名称:水流指示器
2.规格:DN100
3.连接形式:法兰连接
4.其它未尽事宜详见图纸（含与之相关的一切费用）</t>
  </si>
  <si>
    <t>1.名称:信号蝶阀
2.规格:DN100
3.连接形式:法兰连接
4.其它未尽事宜详见图纸设计</t>
  </si>
  <si>
    <t>1.名称:减压孔板φ70/67/62
2.规格:DN00
3.连接形式:法兰连接
4.其它未尽事宜详见图纸设计</t>
  </si>
  <si>
    <t>末端试水装置</t>
  </si>
  <si>
    <t>1.名称：末端试水装置
2.规格:DN25
3.其它未尽事宜详见图纸（含与之相关的一切费用）</t>
  </si>
  <si>
    <t>组</t>
  </si>
  <si>
    <t>末端试水阀</t>
  </si>
  <si>
    <t>1.名称：末端试水阀
2.规格:DN25
3.其它未尽事宜详见图纸（含与之相关的一切费用）</t>
  </si>
  <si>
    <t>水灭火控制装置调试</t>
  </si>
  <si>
    <t>1.名称:调试</t>
  </si>
  <si>
    <t>三</t>
  </si>
  <si>
    <t>21#通风及防排烟系统</t>
  </si>
  <si>
    <t>斜混型轴流风机</t>
  </si>
  <si>
    <t>1.名称:斜混型轴流风机
2.型号:JSF-GM-I-No500-Ex(防爆型风机)，风量:7702m3/h，全压:390Pa，功率:1.1kW，转速:1450r/min
3.设备及支架制作、安装、防腐等，要求:按图纸及规范要求
4.调试
5.其它未尽事宜详见图纸（含与之相关的一切费用）</t>
  </si>
  <si>
    <t>台</t>
  </si>
  <si>
    <t>郑州“锦瀚”、山东“亚太”</t>
  </si>
  <si>
    <t>排油烟柜式离心机(电机外置型)</t>
  </si>
  <si>
    <t>1.名称:排油烟柜式离心机(电机外置型)
2.型号:HTFC-I-15A-2型，风量:9775m3/h，全压:562Pa，功率:3.0kW，转速:1450r/min
3.设备及支架制作、安装、防腐等，要求:按图纸及规范要求
4.调试
5.其它未尽事宜详见图纸（含与之相关的一切费用）</t>
  </si>
  <si>
    <t>CF型油烟净化器</t>
  </si>
  <si>
    <t>1.名称:CF型油烟净化器
2.型号:CF-8，油烟处理量:10000m3/h，设备阻力:120Pa，功率:160W
3.设备及支架制作、安装、防腐等，要求:按图纸及规范要求
4.调试
5.其它未尽事宜详见图纸（含与之相关的一切费用）</t>
  </si>
  <si>
    <t>BLD型房间通风器</t>
  </si>
  <si>
    <t>1.名称:BLD型房间通风器
2.型号:BLD-300，风量:300m3/h，风压:220Pa，功率:40W
3.设备及支架制作、安装、防腐等，要求:按图纸及规范要求
4.调试
5.其它未尽事宜详见图纸（含与之相关的一切费用）</t>
  </si>
  <si>
    <t>1.名称:BLD型房间通风器
2.型号:BLD-700，风量:700m3/h，风压:100Pa，功率:40W
3.设备及支架制作、安装、防腐等，要求:按图纸及规范要求
4.调试
5.其它未尽事宜详见图纸（含与之相关的一切费用）</t>
  </si>
  <si>
    <t>正压单向流新风机</t>
  </si>
  <si>
    <t>1.名称:正压单向流新风机
2.型号:多重过滤型，风量:800m3/h，功率:80W，电压:220V
3.设备及支架制作、安装、防腐等，要求:按图纸及规范要求
4.调试
5.其它未尽事宜详见图纸（含与之相关的一切费用）</t>
  </si>
  <si>
    <t>柔性接口</t>
  </si>
  <si>
    <t>1.名称:软接口
2.材质:不燃软接头
2.其它未尽事宜详见图纸（含与之相关的一切费用）</t>
  </si>
  <si>
    <t>m2</t>
  </si>
  <si>
    <t>碳钢通风管道</t>
  </si>
  <si>
    <t>1.名称:圆形风管
2.材质:镀锌钢板
3.形状:圆形
4.规格:0mm＜直径≤320mm
5.板材厚度:0.5mm
6.管件、法兰等附件及支架设计要求:按图纸设计及规范要求
7.与其他专业之间的避让、翻弯
8.其它未尽事宜详见图纸（含与之相关的一切费用）</t>
  </si>
  <si>
    <t>安钢</t>
  </si>
  <si>
    <t>1.名称:矩形风管
2.材质:镀锌钢板
3.形状:矩形
4.规格:450mm＜长边长≤1000mm
5.板材厚度:0.75mm
6.管件、法兰等附件及支架设计要求:按图纸设计及规范要求
7.与其他专业之间的避让、翻弯
8.其它未尽事宜详见图纸（含与之相关的一切费用）</t>
  </si>
  <si>
    <t>排油烟风管管道</t>
  </si>
  <si>
    <t>1.名称:矩形风管
2.材质:不锈钢板
3.形状:矩形
4.规格:450mm＜长边长≤1000mm
5.板材厚度:0.75mm
6.管件、法兰等附件及支架设计要求:按图纸设计及规范要求
7.与其他专业之间的避让、翻弯
8.其它未尽事宜详见图纸（含与之相关的一切费用）</t>
  </si>
  <si>
    <t>碳钢风口、散流器、百叶窗</t>
  </si>
  <si>
    <t>1.名称:防雨百叶
2.规格:800×320
3.其它未尽事宜详见图纸（含与之相关的一切费用）</t>
  </si>
  <si>
    <t>1.名称:钢制单层百叶风口
2.规格:500X500
3.其它未尽事宜详见图纸（含与之相关的一切费用）</t>
  </si>
  <si>
    <t>1.名称:圆形新风口
2.规格:Φ200
3.其它未尽事宜详见图纸（含与之相关的一切费用）</t>
  </si>
  <si>
    <t>碳钢阀门</t>
  </si>
  <si>
    <t>1.名称:70℃常开防火阀
2.规格:φ200
3.其它未尽事宜详见图纸及规范要求（含与之相关的一切费用）</t>
  </si>
  <si>
    <t>1.名称:70℃常开防火阀
2.规格:800*320
3.其它未尽事宜详见图纸及规范要求（含与之相关的一切费用）</t>
  </si>
  <si>
    <t>1.名称:150℃常开防火阀
2.规格:800*320
3.其它未尽事宜详见图纸及规范要求（含与之相关的一切费用）</t>
  </si>
  <si>
    <t>1.名称:止回阀
2.规格:φ160
3.其它未尽事宜详见图纸及规范要求（含与之相关的一切费用）</t>
  </si>
  <si>
    <t>1.名称:止回阀
2.规格:φ200
3.其它未尽事宜详见图纸及规范要求（含与之相关的一切费用）</t>
  </si>
  <si>
    <t>1.名称:止回阀
2.规格:800*320
3.其它未尽事宜详见图纸及规范要求（含与之相关的一切费用）</t>
  </si>
  <si>
    <t>防雨帽</t>
  </si>
  <si>
    <t>1.名称:不锈钢防雨帽
2.规格:φ160
3.其它未尽事宜详见图纸及规范要求（含与之相关的一切费用）</t>
  </si>
  <si>
    <t>1.名称:不锈钢防雨帽
2.规格:φ200
3.其它未尽事宜详见图纸及规范要求（含与之相关的一切费用）</t>
  </si>
  <si>
    <t>挡烟垂壁</t>
  </si>
  <si>
    <t>1.名称:挡烟垂壁
2.材质:镀锌钢板
3.其它未尽事宜详见图纸及规范要求（含与之相关的一切费用）</t>
  </si>
  <si>
    <t>郑州中盾</t>
  </si>
  <si>
    <t>至风机配电</t>
  </si>
  <si>
    <t>1.名称:NH-YJV-4X4
2.配线形式:穿管或桥架敷设
3.含电缆头及端子制作安装
4.其它未尽事宜详见图纸（含与之相关的一切费用）</t>
  </si>
  <si>
    <t>郑州“恒天”、 郑州“金水”</t>
  </si>
  <si>
    <t>至风机按钮</t>
  </si>
  <si>
    <t>1.名称:WDZN-BYJ-2.5
2.配线形式:穿管或桥架敷设
3.含电缆头及端子制作安装
4.其它未尽事宜详见图纸（含与之相关的一切费用）</t>
  </si>
  <si>
    <t>1.名称:NH-KVV-5x1.5
2.配线形式:穿管或桥架敷设
3.含电缆头及端子制作安装
4.其它未尽事宜详见图纸（含与之相关的一切费用）</t>
  </si>
  <si>
    <t>至油烟净化器配电</t>
  </si>
  <si>
    <t>1.名称:WDZ-YJY-3x4
2.配线形式:穿管或桥架敷设
3.含电缆头及端子制作安装
4.其它未尽事宜详见图纸（含与之相关的一切费用）</t>
  </si>
  <si>
    <t>至油烟机配电</t>
  </si>
  <si>
    <t>1.名称:WDZ-YJY-5x6
2.配线形式:穿管或桥架敷设
3.含电缆头及端子制作安装
4.其它未尽事宜详见图纸（含与之相关的一切费用）</t>
  </si>
  <si>
    <t>风机启停按钮</t>
  </si>
  <si>
    <t>1.名称:风机启停按钮
2.其它未尽事宜详见图纸（含与之相关的一切费用）</t>
  </si>
  <si>
    <t>四</t>
  </si>
  <si>
    <t>21#消防电源监控系统</t>
  </si>
  <si>
    <t>配线</t>
  </si>
  <si>
    <t>1.名称:NH-RVS-2*1.5(通讯线)
2.配线形式:穿管或桥架敷设
3..配线部位:暗配
4.其它未尽事宜详见图纸（含与之相关的一切费用）</t>
  </si>
  <si>
    <t>1.名称:NH-BV-2.5(电源线)
2.配线形式:穿管或桥架敷设
3..配线部位:暗配
4.其它未尽事宜详见图纸（含与之相关的一切费用）</t>
  </si>
  <si>
    <t>模块</t>
  </si>
  <si>
    <t>1.名称:三相四线电压信号传感器
2.其它未尽事宜详见图纸（含与之相关的一切费用）</t>
  </si>
  <si>
    <t>北大“青鸟”、青岛 “海湾”</t>
  </si>
  <si>
    <t>五</t>
  </si>
  <si>
    <t>21#电气火灾监控系统</t>
  </si>
  <si>
    <t>1.名称:通讯总线ZR.RVSP-4x1.5
2.配线形式:穿管或桥架敷设
3..配线部位:暗配
4.其它未尽事宜详见图纸（含与之相关的一切费用）</t>
  </si>
  <si>
    <t>1.名称:电气火灾监控模块
2.其它未尽事宜详见图纸（含与之相关的一切费用）</t>
  </si>
  <si>
    <t>六</t>
  </si>
  <si>
    <t>21#火灾自动报警及消防联动系统</t>
  </si>
  <si>
    <t>1.名称:信号二总线（干线）
2.配线形式:穿管或桥架敷设
3.型号:ZN.RVS-2x2.5
4.配线部位:暗配
5.其它未尽事宜详见图纸（含与之相关的一切费用）</t>
  </si>
  <si>
    <t>1.名称:电源二总线（干线）
2.配线形式:穿管或桥架敷设
3.型号:WDZN.BYJ-4.0
4.配线部位:暗配
5.其它未尽事宜详见图纸（含与之相关的一切费用）</t>
  </si>
  <si>
    <t>1.名称:消防广播线（干线）
2.配线形式:穿管或桥架敷设
3.型号:ZR.RVSP-2x2.5
4.配线部位:暗配
5.其它未尽事宜详见图纸（含与之相关的一切费用）</t>
  </si>
  <si>
    <t>1.名称:消防电话二总线（干线）
2.配线形式:穿管或桥架敷设
3.型号:ZR.RVSP-2x1.5
4.配线部位:暗配
5.其它未尽事宜详见图纸（含与之相关的一切费用）</t>
  </si>
  <si>
    <t>1.名称:信号二总线
2.配线形式:穿管或桥架敷设
3.型号:ZN.RVS-2X1.5
4.配线部位:暗配
5.其它未尽事宜详见图纸（含与之相关的一切费用）</t>
  </si>
  <si>
    <t>1.名称:电源二总线
2.配线形式:穿管或桥架敷设
3.型号:WDZN.BYJ2.5
4.配线部位:暗配
5.其它未尽事宜详见图纸（含与之相关的一切费用）</t>
  </si>
  <si>
    <t>1.名称:消防广播线
2.配线形式:穿管或桥架敷设
3.型号:ZR.RVSP-2X1.5
4.配线部位:暗配
5.其它未尽事宜详见图纸（含与之相关的一切费用）</t>
  </si>
  <si>
    <t>1.名称:消防电话二总线
2.配线形式:穿管或桥架敷设
3.型号:ZR.RVSP-2X1.0
4.配线部位:暗配
5.其它未尽事宜详见图纸（含与之相关的一切费用）</t>
  </si>
  <si>
    <t>总线隔离器</t>
  </si>
  <si>
    <t>1.总线隔离器
2.其它未尽事宜详见图纸（含与之相关的一切费用）</t>
  </si>
  <si>
    <t>感烟探测器</t>
  </si>
  <si>
    <t>1.名称:感烟探测器
2.其它未尽事宜详见图纸（含与之相关的一切费用）</t>
  </si>
  <si>
    <t>感温探测器</t>
  </si>
  <si>
    <t>1.名称:感温探测器
2.其它未尽事宜详见图纸（含与之相关的一切费用）</t>
  </si>
  <si>
    <t>带电话插孔的手动报警按钮</t>
  </si>
  <si>
    <t>1.名称:编码手动报警按钮（含电话插孔）
2.其它未尽事宜详见图纸（含与之相关的一切费用）</t>
  </si>
  <si>
    <t>火灾声光警报器</t>
  </si>
  <si>
    <t>1.名称:火灾声光警报器
2.其它未尽事宜详见图纸（含与之相关的一切费用）</t>
  </si>
  <si>
    <t>消火栓按钮</t>
  </si>
  <si>
    <t>1.名称:消火栓按钮
2.其它未尽事宜详见图纸（含与之相关的一切费用）</t>
  </si>
  <si>
    <t>吸顶式紧急广播音箱</t>
  </si>
  <si>
    <t>1.名称:吸顶式紧急广播音箱
2.其它未尽事宜详见图纸（含与之相关的一切费用）</t>
  </si>
  <si>
    <t>消防端子箱</t>
  </si>
  <si>
    <t>1.名称:消防端子箱
2.其它未尽事宜详见图纸（含与之相关的一切费用）</t>
  </si>
  <si>
    <t>输入模块</t>
  </si>
  <si>
    <t>1.名称:输入模块
2.其它未尽事宜详见图纸（含与之相关的一切费用）</t>
  </si>
  <si>
    <t>输入/输出模块</t>
  </si>
  <si>
    <t>1.名称:输入/输出模块
2.其它未尽事宜详见图纸（含与之相关的一切费用）</t>
  </si>
  <si>
    <t>火灾显示盘</t>
  </si>
  <si>
    <t>1.名称:火灾显示盘
2.其它未尽事宜详见图纸（含与之相关的一切费用）</t>
  </si>
  <si>
    <t>七</t>
  </si>
  <si>
    <t>21#应急照明系统</t>
  </si>
  <si>
    <t>配电箱</t>
  </si>
  <si>
    <t>1.名称:应急照明集中电源PD1
2.其它未尽事宜详见图纸（含与之相关的一切费用）</t>
  </si>
  <si>
    <t>应急灯具</t>
  </si>
  <si>
    <t>1.名称:自带蓄电池应急灯
2.规格型号：~36V,5W
3.安装方式：吸顶安装
4.其它未尽事宜详见图纸（含与之相关的一切费用）</t>
  </si>
  <si>
    <t>东君</t>
  </si>
  <si>
    <t>1.名称:安全出口灯
2.规格型号：~36V,2.5W
3.安装方式：门框上方0.1米;门洞处吊装,距地2.3米
4.其它未尽事宜详见图纸（含与之相关的一切费用）</t>
  </si>
  <si>
    <t>1.名称:疏散指示灯
2.规格型号：~36V,2.5W
3.安装方式：距地0.5m
4.其它未尽事宜详见图纸（含与之相关的一切费用）</t>
  </si>
  <si>
    <t>1.名称:楼层显示器
2.规格型号：~36V,2.5W
3.安装方式：壁装,距地2.3m
4.其它未尽事宜详见图纸（含与之相关的一切费用）</t>
  </si>
  <si>
    <t>1.名称:WDZN-BYJ-2.5
2.配线形式:穿管或桥架敷设
3..配线部位:暗配
4.其它未尽事宜详见图纸（含与之相关的一切费用）</t>
  </si>
  <si>
    <t>八</t>
  </si>
  <si>
    <t>21#小计</t>
  </si>
  <si>
    <t>28#消火栓系统</t>
  </si>
  <si>
    <t>1.名称:管道支架制作安装及刷漆
2.消防支架应符合图纸及相关技术规范的要求
3.刷漆及防腐:管道支架除锈后刷樟丹二道,灰色调和漆二道</t>
  </si>
  <si>
    <t>管道保温</t>
  </si>
  <si>
    <t>1.名称:楼梯间消火栓管道保温
2.刷漆及防腐:采用40mm厚B1级橡塑材料保温</t>
  </si>
  <si>
    <t>m3</t>
  </si>
  <si>
    <t>1.名称:薄型单栓带轻便消防水龙组合式消防柜(铝合金柜式箱)
2.型号、规格:1600x700x160，箱内配SNZW65消火栓一个,配置DN65mm,L=25m衬胶水带一条,DN19水枪一支
3.其它未尽事宜详见图纸（含与之相关的一切费用）</t>
  </si>
  <si>
    <t>1.名称:丁型单栓室内消火栓箱(铝合金柜式箱)
2.型号、规格:650x500x160，箱内配SNZW65消火栓一个,配置DN65mm,L=25m衬胶水带一条,DN19水枪一支
3.其它未尽事宜详见图纸（含与之相关的一切费用）</t>
  </si>
  <si>
    <t>1.名称:试验用消火栓箱(铝合金柜式箱)
2.型号、规格:800x650x160，箱内配DN65消火栓一个,配置DN65mm,L=25m衬胶水带一条,DN19水枪一支,压力表1个
3.其它未尽事宜详见图纸（含与之相关的一切费用）</t>
  </si>
  <si>
    <t>1.名称:磷酸铵盐干粉灭火器
2.规格、型号:MF/ABC1
3.其它未尽事宜详见图纸（含与之相关的一切费用）</t>
  </si>
  <si>
    <t>1.名称:磷酸铵盐干粉灭火器
2.规格、型号:MF/ABC3
3.其它未尽事宜详见图纸（含与之相关的一切费用）</t>
  </si>
  <si>
    <t>灭火器箱</t>
  </si>
  <si>
    <t>1.名称:灭火器箱
2.其它未尽事宜详见图纸（含与之相关的一切费用）</t>
  </si>
  <si>
    <t>28#通风及防排烟系统</t>
  </si>
  <si>
    <t>壁式排风机</t>
  </si>
  <si>
    <t>1.名称:壁式排风机
2.型号:PF:JVF-AM-250E4，风量:1000m3/h，全压:50Pa，功率:50W，转速:1380r/min
3.设备及支架制作、安装、防腐等，要求:按图纸及规范要求
4.调试
5.其它未尽事宜详见图纸（含与之相关的一切费用）</t>
  </si>
  <si>
    <t>1.名称:壁式排风机
2.型号:BLB-20 壁式通风器 配70℃防火阀，风量：500m3/h，全压:50Pa，功率:40W
3.设备及支架制作、安装、防腐等，要求:按图纸及规范要求
4.调试
5.其它未尽事宜详见图纸（含与之相关的一切费用）</t>
  </si>
  <si>
    <t>1.名称:防火风口（内设70℃防火阀）
2.规格:300x300
3.其它未尽事宜详见图纸（含与之相关的一切费用）</t>
  </si>
  <si>
    <t>28#消防电源监控系统</t>
  </si>
  <si>
    <t>1.名称:NH-RVS2x1.5(通讯线)
2.配线形式:穿管或桥架敷设
3..配线部位:暗配
4.其它未尽事宜详见图纸（含与之相关的一切费用）</t>
  </si>
  <si>
    <t>1.名称:NH-BV2.5(电源线)
2.配线形式:穿管或桥架敷设
3..配线部位:暗配
4.其它未尽事宜详见图纸（含与之相关的一切费用）</t>
  </si>
  <si>
    <t>28#电气火灾监控系统</t>
  </si>
  <si>
    <t>1.名称:ZR-RVVSP2*1.0
2.配线形式:穿管或桥架敷设
3..配线部位:暗配
4.其它未尽事宜详见图纸（含与之相关的一切费用）</t>
  </si>
  <si>
    <t>28#火灾自动报警及消防联动系统</t>
  </si>
  <si>
    <t>1.名称:电源二总线（干线）
2.配线形式:穿管或桥架敷设
3.型号:NHBV-4.0
4.配线部位:暗配
5.其它未尽事宜详见图纸（含与之相关的一切费用）</t>
  </si>
  <si>
    <t>1.名称:电源二总线
2.配线形式:穿管或桥架敷设
3.型号:NHBV-2.5
4.配线部位:暗配
5.其它未尽事宜详见图纸（含与之相关的一切费用）</t>
  </si>
  <si>
    <t>广播模块</t>
  </si>
  <si>
    <t>1.名称:广播模块
2.其它未尽事宜详见图纸（含与之相关的一切费用）</t>
  </si>
  <si>
    <t>电话模块</t>
  </si>
  <si>
    <t>1.名称:电话模块
2.其它未尽事宜详见图纸（含与之相关的一切费用）</t>
  </si>
  <si>
    <t>报警电话</t>
  </si>
  <si>
    <t>1.名称:报警电话
2.其它未尽事宜详见图纸（含与之相关的一切费用）</t>
  </si>
  <si>
    <t>28#防火门监控系统</t>
  </si>
  <si>
    <t>1.名称:WDZN-RYJS-2x1.5
2.配线形式:穿管或桥架敷设
3..配线部位:暗配
4.其它未尽事宜详见图纸（含与之相关的一切费用）</t>
  </si>
  <si>
    <t>1.名称:防火门监控模块EB
2.其它未尽事宜详见图纸（含与之相关的一切费用）</t>
  </si>
  <si>
    <t>1.名称:FD AC220V区域分机
2.其它未尽事宜详见图纸（含与之相关的一切费用）</t>
  </si>
  <si>
    <t>28#应急照明系统</t>
  </si>
  <si>
    <t>1.名称:应急照明集中电源PD
2.其它未尽事宜详见图纸（含与之相关的一切费用）</t>
  </si>
  <si>
    <t>1.名称:出口指示灯
2.规格型号：DC36V 2W/自带蓄电池  
3.安装方式：壁装,门框上0.1m
4.其它未尽事宜详见图纸（含与之相关的一切费用）</t>
  </si>
  <si>
    <t>1.名称:红外人体感应+光控节能灯
2.规格型号：DC36V  LED/自带蓄电池   
3.安装方式：吸顶
4.其它未尽事宜详见图纸（含与之相关的一切费用）</t>
  </si>
  <si>
    <t>1.名称:单向单面疏散指示灯
2.规格型号：DC36V 2W/自带蓄电池 
3.安装方式：距地0.5m
4.其它未尽事宜详见图纸（含与之相关的一切费用）</t>
  </si>
  <si>
    <t>1.名称:楼层指示灯
2.规格型号：DC36V 2W/自带蓄电池 
3.安装方式：壁装,门框上0.1m
4.其它未尽事宜详见图纸（含与之相关的一切费用）</t>
  </si>
  <si>
    <t>1.名称:集中电源疏散照明灯(A型)
2.规格型号：DC36V 5W/自带蓄电池  
3.安装方式：底边距地2.5m挂装
4.其它未尽事宜详见图纸（含与之相关的一切费用）</t>
  </si>
  <si>
    <t>28#小计</t>
  </si>
  <si>
    <t>29#消火栓系统</t>
  </si>
  <si>
    <t>1.名称:薄型单栓室内消火栓箱(铝合金柜式箱)
2.型号、规格:800x650x160，箱内配DN65消火栓一个，配置DN65mm,L=25m衬胶水带一条，DN19水枪一支
3.其它未尽事宜详见图纸（含与之相关的一切费用）</t>
  </si>
  <si>
    <t>1.名称:蝶阀
2.规格、型号:DN65
3.其它未尽事宜详见图纸设计</t>
  </si>
  <si>
    <t>1.名称:法兰
2.规格、型号:DN65
3.其它未尽事宜详见图纸设计</t>
  </si>
  <si>
    <t>29#通风及防排烟系统</t>
  </si>
  <si>
    <t>1.名称:斜混型轴流风机
2.型号:JY1/2:JSF-GM-I-No800，风量:41256m3/h，全压:560Pa，功率:11.0kW，转速:1450r/min
3.设备及支架制作、安装、防腐等，要求:按图纸及规范要求
4.调试
5.其它未尽事宜详见图纸（含与之相关的一切费用）</t>
  </si>
  <si>
    <t>1.名称:壁式排风机
2.型号:PF:JAF-AM-250E4，风量:1000m3/h，全压:50Pa，功率:50W，转速:1380r/min
3.设备及支架制作、安装、防腐等，要求:按图纸及规范要求
4.调试
5.其它未尽事宜详见图纸（含与之相关的一切费用）</t>
  </si>
  <si>
    <t>1.名称:壁式排风机
2.型号:BLB-20 壁式通风器 配70℃防火阀，风量：600m3/h，全压:40Pa，功率:25W
3.设备及支架制作、安装、防腐等，要求:按图纸及规范要求
4.调试
5.其它未尽事宜详见图纸（含与之相关的一切费用）</t>
  </si>
  <si>
    <t>1.名称:圆形风管
2.材质:镀锌钢板
3.形状:圆形
4.规格:450mm＜直径≤1000mm
5.板材厚度:0.75mm
6.管件、法兰等附件及支架设计要求:按图纸设计及规范要求
7.与其他专业之间的避让、翻弯
8.其它未尽事宜详见图纸（含与之相关的一切费用）</t>
  </si>
  <si>
    <t>1.名称:矩形风管
2.材质:镀锌钢板
3.形状:矩形
4.规格:1000mm＜长边长≤1250mm
5.板材厚度:1.0mm
6.管件、法兰等附件及支架设计要求:按图纸设计及规范要求
7.与其他专业之间的避让、翻弯
8.其它未尽事宜详见图纸（含与之相关的一切费用）</t>
  </si>
  <si>
    <t>1.名称:矩形风管（风井）
2.材质:镀锌钢板
3.形状:矩形
4.规格:630mm＜长边长≤1000mm
5.板材厚度:0.75mm
6.管件、法兰等附件及支架设计要求:按图纸设计及规范要求
7.与其他专业之间的避让、翻弯
8.其它未尽事宜详见图纸（含与之相关的一切费用）</t>
  </si>
  <si>
    <t>1.名称:多页送风口,具有70℃防火功能（执行器下置）
2.规格:500X（1500+250）
3.其它未尽事宜详见图纸（含与之相关的一切费用）</t>
  </si>
  <si>
    <t>1.名称:防火余压阀，内设70℃防火阀
2.规格:700x400
3.其它未尽事宜详见图纸及规范要求（含与之相关的一切费用）</t>
  </si>
  <si>
    <t>1.名称:电动调节阀
2.规格:630x630
3.其它未尽事宜详见图纸及规范要求（含与之相关的一切费用）</t>
  </si>
  <si>
    <t>1.名称:70℃防火阀
2.规格:1000*630
3.其它未尽事宜详见图纸及规范要求（含与之相关的一切费用）</t>
  </si>
  <si>
    <t>1.名称:70℃防火阀
2.规格:500*1250
3.其它未尽事宜详见图纸及规范要求（含与之相关的一切费用）</t>
  </si>
  <si>
    <t>1.名称:70℃防火阀
2.规格:900*800
3.其它未尽事宜详见图纸及规范要求（含与之相关的一切费用）</t>
  </si>
  <si>
    <t>1.名称:70℃防火阀
2.规格:φ800
3.其它未尽事宜详见图纸及规范要求（含与之相关的一切费用）</t>
  </si>
  <si>
    <t>1.名称:止回阀
2.规格:φ800
3.其它未尽事宜详见图纸及规范要求（含与之相关的一切费用）</t>
  </si>
  <si>
    <t>压力传感器</t>
  </si>
  <si>
    <t>1.名称:压力传感器
2.其它未尽事宜详见图纸及规范要求（含与之相关的一切费用）</t>
  </si>
  <si>
    <t>至压力传感器配电</t>
  </si>
  <si>
    <t>1.名称:至压力传感器配电
2.配线形式:穿管或桥架敷设
3.含电缆头及端子制作安装
4.其它未尽事宜详见图纸（含与之相关的一切费用）</t>
  </si>
  <si>
    <t>至加压风机配电</t>
  </si>
  <si>
    <t>1.名称:WDZN-BYJ-6
2.配线形式:穿管或桥架敷设
3.含电缆头及端子制作安装
4.其它未尽事宜详见图纸（含与之相关的一切费用）</t>
  </si>
  <si>
    <t>至消防控制室控制按钮</t>
  </si>
  <si>
    <t>1.名称:NH-KVV-3x1.5
2.配线形式:穿管或桥架敷设
3.含电缆头及端子制作安装
4.其它未尽事宜详见图纸（含与之相关的一切费用）</t>
  </si>
  <si>
    <t>至风机启停按钮</t>
  </si>
  <si>
    <t>1.名称:NH-KVV-4x1.5
2.配线形式:穿管或桥架敷设
3.含电缆头及端子制作安装
4.其它未尽事宜详见图纸（含与之相关的一切费用）</t>
  </si>
  <si>
    <t>29#消防电源监控系统</t>
  </si>
  <si>
    <t>1.名称:ZC-RVV-2x1.5
2.配线形式:穿管或桥架敷设
3..配线部位:暗配
4.其它未尽事宜详见图纸（含与之相关的一切费用）</t>
  </si>
  <si>
    <t>1.名称:ZC-RVSP-2x1.0
2.配线形式:穿管或桥架敷设
3..配线部位:暗配
4.其它未尽事宜详见图纸（含与之相关的一切费用）</t>
  </si>
  <si>
    <t>1.名称:电源监控模块
2.其它未尽事宜详见图纸（含与之相关的一切费用）</t>
  </si>
  <si>
    <t>29#火灾自动报警及消防联动系统</t>
  </si>
  <si>
    <t>模块箱</t>
  </si>
  <si>
    <t>1.名称:模块箱
2.其它未尽事宜详见图纸（含与之相关的一切费用）</t>
  </si>
  <si>
    <t>29#防火门监控系统</t>
  </si>
  <si>
    <t>1.名称:防火门监控模块RXPM MC
2.其它未尽事宜详见图纸（含与之相关的一切费用）</t>
  </si>
  <si>
    <t>29#应急照明系统</t>
  </si>
  <si>
    <t>1.名称:应急照明集中电源ALEG
2.其它未尽事宜详见图纸（含与之相关的一切费用）</t>
  </si>
  <si>
    <t>1.名称:疏散照明灯
2.规格型号：DC36V 5W/自带蓄电池   
3.安装方式：壁装,2.2m
4.其它未尽事宜详见图纸（含与之相关的一切费用）</t>
  </si>
  <si>
    <t>29#小计</t>
  </si>
  <si>
    <t>30#消火栓系统</t>
  </si>
  <si>
    <t>30#通风及防排烟系统</t>
  </si>
  <si>
    <t>1.名称:斜混型轴流风机
2.型号:JY1/2:JSF-GM-I-No710，风量:19020m3/h，全压:587Pa，功率:4.0kW，转速:1450r/min
3.设备及支架制作、安装、防腐等，要求:按图纸及规范要求
4.调试
5.其它未尽事宜详见图纸（含与之相关的一切费用）</t>
  </si>
  <si>
    <t>1.名称:钢制单层百叶风口
2.规格:1200X650
3.其它未尽事宜详见图纸（含与之相关的一切费用）</t>
  </si>
  <si>
    <t>1.名称:钢制单层百叶风口
2.规格:700X600
3.其它未尽事宜详见图纸（含与之相关的一切费用）</t>
  </si>
  <si>
    <t>1.名称:多页送风口,(执行器上置)
2.规格:800X(800+250)
3.其它未尽事宜详见图纸（含与之相关的一切费用）</t>
  </si>
  <si>
    <t>1.名称:电动调节阀
2.规格:800*320
3.其它未尽事宜详见图纸及规范要求（含与之相关的一切费用）</t>
  </si>
  <si>
    <t>1.名称:70℃防火阀
2.规格:800*320
3.其它未尽事宜详见图纸及规范要求（含与之相关的一切费用）</t>
  </si>
  <si>
    <t>1.名称:70℃防火阀
2.规格:800*400
3.其它未尽事宜详见图纸及规范要求（含与之相关的一切费用）</t>
  </si>
  <si>
    <t>至机房风机配电</t>
  </si>
  <si>
    <t>1.名称:WDZ-BYJ-2.5
2.配线形式:穿管或桥架敷设
3.含电缆头及端子制作安装
4.其它未尽事宜详见图纸（含与之相关的一切费用）</t>
  </si>
  <si>
    <t>30#消防电源监控系统</t>
  </si>
  <si>
    <t>1.名称:消防电源监控模块
2.其它未尽事宜详见图纸（含与之相关的一切费用）</t>
  </si>
  <si>
    <t>30#电气火灾监控系统</t>
  </si>
  <si>
    <t>1.名称:RVSP2X1.5
2.配线形式:穿管或桥架敷设
3..配线部位:暗配
4.其它未尽事宜详见图纸（含与之相关的一切费用）</t>
  </si>
  <si>
    <t>30#火灾自动报警及消防联动系统</t>
  </si>
  <si>
    <t>1.名称:电源二总线
2.配线形式:穿管或桥架敷设
3.型号:WDZN.BYJ-2.5
4.配线部位:暗配
5.其它未尽事宜详见图纸（含与之相关的一切费用）</t>
  </si>
  <si>
    <t>30#防火门监控系统</t>
  </si>
  <si>
    <t>1.名称:NH-RVSP-2X1.5
2.配线形式:穿管或桥架敷设
3..配线部位:暗配
4.其它未尽事宜详见图纸（含与之相关的一切费用）</t>
  </si>
  <si>
    <t>1.名称:防火门监控模块
2.其它未尽事宜详见图纸（含与之相关的一切费用）</t>
  </si>
  <si>
    <t>30#应急照明系统</t>
  </si>
  <si>
    <t>1.名称:红外人体感应+光控节能灯
2.规格型号：36V,2.5W/LED自带电池  
3.安装方式：壁装2.2m/吸顶
4.其它未尽事宜详见图纸（含与之相关的一切费用）</t>
  </si>
  <si>
    <t>1.名称:LED节能灯
2.规格型号：36V,2.5W/LED自带电池  
3.安装方式：吸顶
4.其它未尽事宜详见图纸（含与之相关的一切费用）</t>
  </si>
  <si>
    <t>30#小计</t>
  </si>
  <si>
    <t>31#消火栓系统</t>
  </si>
  <si>
    <t>31#通风及防排烟系统</t>
  </si>
  <si>
    <t>加压送风混流风机</t>
  </si>
  <si>
    <t>1.名称:加压送风混流风机
2.型号:SWF-Ⅰ-8型，风量:27500m3/h，全压:1109Pa，功率:15KW，转速:1460r/min
3.设备及支架制作、安装、防腐等，要求:按图纸及规范要求
4.调试
5.其它未尽事宜详见图纸（含与之相关的一切费用）</t>
  </si>
  <si>
    <t>1.名称:加压送风混流风机
2.型号:SWF-Ⅰ-9型，风量:43000m3/h，全压:1000Pa，功率:18.5KW，转速:1470r/min
3.设备及支架制作、安装、防腐等，要求:按图纸及规范要求
4.调试
5.其它未尽事宜详见图纸（含与之相关的一切费用）</t>
  </si>
  <si>
    <t>设备小间排风</t>
  </si>
  <si>
    <t>1.名称:设备小间排风
2.型号:PF-1，风量:288m3/h，全压:50Pa，功率:24W，配70℃防火阀(FD)
3.设备及支架制作、安装、防腐等，要求:按图纸及规范要求
4.调试
5.其它未尽事宜详见图纸（含与之相关的一切费用）</t>
  </si>
  <si>
    <t>方正、江宏</t>
  </si>
  <si>
    <t>电梯机房排风机</t>
  </si>
  <si>
    <t>1.名称:电梯机房排风机
2.型号:PF-JF，风量：1250m3/h，全压:50Pa，功率:60W，自带防雨百叶
3.设备及支架制作、安装、防腐等，要求:按图纸及规范要求
4.调试
5.其它未尽事宜详见图纸（含与之相关的一切费用）</t>
  </si>
  <si>
    <t>1.名称:矩形风管（风井）
2.材质:镀锌钢板
3.形状:矩形
4.规格:1000mm＜长边长≤1500mm
5.板材厚度:1.0mm
6.管件、法兰等附件及支架设计要求:按图纸设计及规范要求
7.与其他专业之间的避让、翻弯
8.其它未尽事宜详见图纸（含与之相关的一切费用）</t>
  </si>
  <si>
    <t>风箱</t>
  </si>
  <si>
    <t>1.名称:风箱
2.规格:900X600X1700h
3.其它未尽事宜详见图纸（含与之相关的一切费用）</t>
  </si>
  <si>
    <t>1.名称:风箱
2.规格:1050X600X1700h
3.其它未尽事宜详见图纸（含与之相关的一切费用）</t>
  </si>
  <si>
    <t>1.名称:远控常闭多叶送风口
2.规格:800*（1000+250）
3.其它未尽事宜详见图纸（含与之相关的一切费用）</t>
  </si>
  <si>
    <t>1.名称:常闭多叶送风口
2.规格:400x(1450+250)
3.其它未尽事宜详见图纸（含与之相关的一切费用）</t>
  </si>
  <si>
    <t>1.名称:钢制百叶送风口（设置风量调节阀）
2.规格:400X450
3.其它未尽事宜详见图纸（含与之相关的一切费用）</t>
  </si>
  <si>
    <t>1.名称:防雨百叶
2.规格:300X500
3.其它未尽事宜详见图纸（含与之相关的一切费用）</t>
  </si>
  <si>
    <t>1.名称:70℃防火阀
2.规格:φ900
3.其它未尽事宜详见图纸及规范要求（含与之相关的一切费用）</t>
  </si>
  <si>
    <t>1.名称:70℃防火阀
2.规格:800*450
3.其它未尽事宜详见图纸及规范要求（含与之相关的一切费用）</t>
  </si>
  <si>
    <t>1.名称:70℃防火阀
2.规格:950*320
3.其它未尽事宜详见图纸及规范要求（含与之相关的一切费用）</t>
  </si>
  <si>
    <t>1.名称:70℃防火阀
2.规格:950*630
3.其它未尽事宜详见图纸及规范要求（含与之相关的一切费用）</t>
  </si>
  <si>
    <t>1.名称:止回阀
2.规格:800*450
3.其它未尽事宜详见图纸及规范要求（含与之相关的一切费用）</t>
  </si>
  <si>
    <t>1.名称:止回阀
2.规格:950*320
3.其它未尽事宜详见图纸及规范要求（含与之相关的一切费用）</t>
  </si>
  <si>
    <t>余压控制器</t>
  </si>
  <si>
    <t>1.名称:余压控制器
2.其它未尽事宜详见图纸及规范要求（含与之相关的一切费用）</t>
  </si>
  <si>
    <t>余压传感器</t>
  </si>
  <si>
    <t>1.名称:余压传感器
2.其它未尽事宜详见图纸及规范要求（含与之相关的一切费用）</t>
  </si>
  <si>
    <t>至余压传感器配电</t>
  </si>
  <si>
    <t>1.名称:至余压传感器配电
2.配线形式:穿管或桥架敷设
3.含电缆头及端子制作安装
4.其它未尽事宜详见图纸（含与之相关的一切费用）</t>
  </si>
  <si>
    <t>31#消防电源监控系统</t>
  </si>
  <si>
    <t>1.名称:WDZN-RYJS-2X1.5
2.配线形式:穿管或桥架敷设
3..配线部位:暗配
4.其它未尽事宜详见图纸（含与之相关的一切费用）</t>
  </si>
  <si>
    <t>31#电气火灾监控系统</t>
  </si>
  <si>
    <t>1.名称:ZR-RVS-2X1.5
2.配线形式:穿管或桥架敷设
3..配线部位:暗配
4.其它未尽事宜详见图纸（含与之相关的一切费用）</t>
  </si>
  <si>
    <t>31#火灾自动报警及消防联动系统</t>
  </si>
  <si>
    <t>1.名称:信号二总线（干线）
2.配线形式:穿管或桥架敷设
3.型号:ZN-RVS-2X1.5
4.配线部位:暗配
5.其它未尽事宜详见图纸（含与之相关的一切费用）</t>
  </si>
  <si>
    <t>1.名称:消防广播线（干线）
2.配线形式:穿管或桥架敷设
3.型号:WDZN-RYJS-2X2.5
4.配线部位:暗配
5.其它未尽事宜详见图纸（含与之相关的一切费用）</t>
  </si>
  <si>
    <t>1.名称:消防电话二总线（干线）
2.配线形式:穿管或桥架敷设
3.型号:WDZN-RYJSP-2X1.5
4.配线部位:暗配
5.其它未尽事宜详见图纸（含与之相关的一切费用）</t>
  </si>
  <si>
    <t>1.名称:消防广播线
2.配线形式:穿管或桥架敷设
3.型号:WDZN-RYJS-2X1.5
4.配线部位:暗配
5.其它未尽事宜详见图纸（含与之相关的一切费用）</t>
  </si>
  <si>
    <t>1.名称:消防电话二总线
2.配线形式:穿管或桥架敷设
3.型号:WDZN-RYJSP-2X1.5
4.配线部位:暗配
5.其它未尽事宜详见图纸（含与之相关的一切费用）</t>
  </si>
  <si>
    <t>31#防火门监控系统</t>
  </si>
  <si>
    <t>1.名称:ZN-RVSP-2X1.5
2.配线形式:穿管或桥架敷设
3..配线部位:暗配
4.其它未尽事宜详见图纸（含与之相关的一切费用）</t>
  </si>
  <si>
    <t>1.名称:ZN-RVS-2X2.5
2.配线形式:穿管或桥架敷设
3..配线部位:暗配
4.其它未尽事宜详见图纸（含与之相关的一切费用）</t>
  </si>
  <si>
    <t>31#应急照明系统</t>
  </si>
  <si>
    <t>1.名称:消防应急标志灯具-安全出口
2.规格型号：LED  2W DC36V  
3.安装方式：门框上方0.2m挂装
4.其它未尽事宜详见图纸（含与之相关的一切费用）</t>
  </si>
  <si>
    <t>1.名称:消防应急照明灯具-声光控制
2.规格型号：LED  12W DC36V(潮湿场所IP65,室外IP67)  
3.安装方式：吸顶安装
4.其它未尽事宜详见图纸（含与之相关的一切费用）</t>
  </si>
  <si>
    <t>1.名称:消防应急标志灯具-单面
2.规格型号：LED  2W DC36V 
3.安装方式：距地0.5m
4.其它未尽事宜详见图纸（含与之相关的一切费用）</t>
  </si>
  <si>
    <t>1.名称:消防应急标志灯具-楼层
2.规格型号：LED  2W DC36V 
3.安装方式：底边距地2.4m挂装
4.其它未尽事宜详见图纸（含与之相关的一切费用）</t>
  </si>
  <si>
    <t>1.名称:消防应急标志灯具-疏散出口
2.规格型号：LED  2W DC36V(潮湿场所IP65)   
3.安装方式：门框上方0.2m挂装
4.其它未尽事宜详见图纸（含与之相关的一切费用）</t>
  </si>
  <si>
    <t>1.名称:消防应急照明灯具
2.规格型号：LED  8W DC36V(潮湿场所IP65,室外IP67) 
3.安装方式：底距地2.3m挂装
4.其它未尽事宜详见图纸（含与之相关的一切费用）</t>
  </si>
  <si>
    <t>31#小计</t>
  </si>
  <si>
    <t>36#消火栓系统</t>
  </si>
  <si>
    <t>36#通风及防排烟系统</t>
  </si>
  <si>
    <t>1.名称:加压送风混流风机
2.型号:SWF-Ⅰ-11型，风量:53530m3/h，全压:1000Pa，功率:22KW，转速:1470r/min
3.设备及支架制作、安装、防腐等，要求:按图纸及规范要求
4.调试
5.其它未尽事宜详见图纸（含与之相关的一切费用）</t>
  </si>
  <si>
    <t>1.名称:加压送风混流风机
2.型号:SWF-Ⅰ-8型，风量:33500m3/h，全压:1000Pa，功率:15KW，转速:1460r/min
3.设备及支架制作、安装、防腐等，要求:按图纸及规范要求
4.调试
5.其它未尽事宜详见图纸（含与之相关的一切费用）</t>
  </si>
  <si>
    <t>1.名称:圆形风管
2.材质:镀锌钢板
3.形状:圆形
4.规格:1000mm＜直径≤1500mm
5.板材厚度:1.0mm
6.管件、法兰等附件及支架设计要求:按图纸设计及规范要求
7.与其他专业之间的避让、翻弯
8.其它未尽事宜详见图纸（含与之相关的一切费用）</t>
  </si>
  <si>
    <t>1.名称:风箱
2.规格:1550X600X1800
3.其它未尽事宜详见图纸（含与之相关的一切费用）</t>
  </si>
  <si>
    <t>1.名称:风箱
2.规格:1200X600X2000
3.其它未尽事宜详见图纸（含与之相关的一切费用）</t>
  </si>
  <si>
    <t>1.名称:远控多叶送风口（含手动执行机构）
2.规格:750*（750+250）
3.其它未尽事宜详见图纸（含与之相关的一切费用）</t>
  </si>
  <si>
    <t>1.名称:远控多叶送风口（含手动执行机构）
2.规格:800*（1000+250）
3.其它未尽事宜详见图纸（含与之相关的一切费用）</t>
  </si>
  <si>
    <t>1.名称:常闭多叶送风口
2.规格:750x(750+250)
3.其它未尽事宜详见图纸（含与之相关的一切费用）</t>
  </si>
  <si>
    <t>1.名称:钢制百叶送风口（设置风量调节风）
2.规格:400X450
3.其它未尽事宜详见图纸（含与之相关的一切费用）</t>
  </si>
  <si>
    <t>1.名称:钢制百叶送风口（设置风量调节风）
2.规格:550X550
3.其它未尽事宜详见图纸（含与之相关的一切费用）</t>
  </si>
  <si>
    <t>1.名称:70℃防火阀
2.规格:φ250
3.其它未尽事宜详见图纸及规范要求（含与之相关的一切费用）</t>
  </si>
  <si>
    <t>1.名称:70℃防火阀
2.规格:φ1100
3.其它未尽事宜详见图纸及规范要求（含与之相关的一切费用）</t>
  </si>
  <si>
    <t>1.名称:70℃防火阀
2.规格:400*1250
3.其它未尽事宜详见图纸及规范要求（含与之相关的一切费用）</t>
  </si>
  <si>
    <t>1.名称:70℃防火阀
2.规格:800*850
3.其它未尽事宜详见图纸及规范要求（含与之相关的一切费用）</t>
  </si>
  <si>
    <t>1.名称:70℃防火阀
2.规格:850*600
3.其它未尽事宜详见图纸及规范要求（含与之相关的一切费用）</t>
  </si>
  <si>
    <t>1.名称:70℃防火阀
2.规格:900*450
3.其它未尽事宜详见图纸及规范要求（含与之相关的一切费用）</t>
  </si>
  <si>
    <t>1.名称:70℃防火阀
2.规格:1000*500
3.其它未尽事宜详见图纸及规范要求（含与之相关的一切费用）</t>
  </si>
  <si>
    <t>1.名称:70℃防火阀
2.规格:1000*600
3.其它未尽事宜详见图纸及规范要求（含与之相关的一切费用）</t>
  </si>
  <si>
    <t>1.名称:止回阀
2.规格:φ900
3.其它未尽事宜详见图纸及规范要求（含与之相关的一切费用）</t>
  </si>
  <si>
    <t>1.名称:止回阀
2.规格:φ1100
3.其它未尽事宜详见图纸及规范要求（含与之相关的一切费用）</t>
  </si>
  <si>
    <t>1.名称:电动对开多叶调节阀
2.规格:φ250
3.其它未尽事宜详见图纸及规范要求（含与之相关的一切费用）</t>
  </si>
  <si>
    <t>压差传感器</t>
  </si>
  <si>
    <t>1.名称:压差传感器
2.其它未尽事宜详见图纸及规范要求（含与之相关的一切费用）</t>
  </si>
  <si>
    <t>至压差传感器配电</t>
  </si>
  <si>
    <t>1.名称:至压差传感器配电
2.配线形式:穿管或桥架敷设
3.含电缆头及端子制作安装
4.其它未尽事宜详见图纸（含与之相关的一切费用）</t>
  </si>
  <si>
    <t>36#消防电源监控系统</t>
  </si>
  <si>
    <t>36#电气火灾监控系统</t>
  </si>
  <si>
    <t>36#火灾自动报警及消防联动系统</t>
  </si>
  <si>
    <t>36#防火门监控系统</t>
  </si>
  <si>
    <t>36#应急照明系统</t>
  </si>
  <si>
    <t>36#小计</t>
  </si>
  <si>
    <t>37#消火栓系统</t>
  </si>
  <si>
    <t>37#通风及防排烟系统</t>
  </si>
  <si>
    <t>1.名称:风箱
2.规格:1300X600X1800
3.其它未尽事宜详见图纸（含与之相关的一切费用）</t>
  </si>
  <si>
    <t>1.名称:风箱
2.规格:1250X600X2900
3.其它未尽事宜详见图纸（含与之相关的一切费用）</t>
  </si>
  <si>
    <t>1.名称:钢制百叶送风口（设置风量调节阀）
2.规格:350X550
3.其它未尽事宜详见图纸（含与之相关的一切费用）</t>
  </si>
  <si>
    <t>1.名称:70℃防火阀
2.规格:800*500
3.其它未尽事宜详见图纸及规范要求（含与之相关的一切费用）</t>
  </si>
  <si>
    <t>1.名称:止回阀
2.规格:1000*600
3.其它未尽事宜详见图纸及规范要求（含与之相关的一切费用）</t>
  </si>
  <si>
    <t>37#消防电源监控系统</t>
  </si>
  <si>
    <t>37#电气火灾监控系统</t>
  </si>
  <si>
    <t>37#火灾自动报警及消防联动系统</t>
  </si>
  <si>
    <t>37#防火门监控系统</t>
  </si>
  <si>
    <t>37#应急照明系统</t>
  </si>
  <si>
    <t>37#小计</t>
  </si>
  <si>
    <t>38#消火栓系统</t>
  </si>
  <si>
    <t>38#通风及防排烟系统</t>
  </si>
  <si>
    <t>1.名称:风箱
2.规格:1200X600X1800
3.其它未尽事宜详见图纸（含与之相关的一切费用）</t>
  </si>
  <si>
    <t>1.名称:70℃防火阀
2.规格:1250*400
3.其它未尽事宜详见图纸及规范要求（含与之相关的一切费用）</t>
  </si>
  <si>
    <t>1.名称:止回阀
2.规格:800*850
3.其它未尽事宜详见图纸及规范要求（含与之相关的一切费用）</t>
  </si>
  <si>
    <t>1.名称:止回阀
2.规格:900*450
3.其它未尽事宜详见图纸及规范要求（含与之相关的一切费用）</t>
  </si>
  <si>
    <t>1.名称:止回阀
2.规格:1250*400
3.其它未尽事宜详见图纸及规范要求（含与之相关的一切费用）</t>
  </si>
  <si>
    <t>38#消防电源监控系统</t>
  </si>
  <si>
    <t>38#电气火灾监控系统</t>
  </si>
  <si>
    <t>38#火灾自动报警及消防联动系统</t>
  </si>
  <si>
    <t>38#防火门监控系统</t>
  </si>
  <si>
    <t>38#应急照明系统</t>
  </si>
  <si>
    <t>38#小计</t>
  </si>
  <si>
    <t>39#消火栓系统</t>
  </si>
  <si>
    <t>39#水箱间消火栓、喷淋、给水系统</t>
  </si>
  <si>
    <t>消火栓、喷淋钢管</t>
  </si>
  <si>
    <t>1.名称:热浸镀锌钢管
2.规格:DN50
3.连接形式:螺纹连接
4.含压力试验及冲洗，含管件管卡制作安装
5.其它未尽事宜详见图纸（含与之相关的一切费用）</t>
  </si>
  <si>
    <t>给水管道</t>
  </si>
  <si>
    <t>1.名称:衬塑复合钢管
2.规格:DN50
3.连接形式:螺纹连接
4.含压力试验及冲洗，含管件管卡制作安装
5.其它未尽事宜详见图纸（含与之相关的一切费用）</t>
  </si>
  <si>
    <t>正大、华岐</t>
  </si>
  <si>
    <t>1.名称:衬塑复合钢管
2.规格:DN15
3.连接形式:螺纹连接
4.含压力试验及冲洗，含管件管卡制作安装
5.其它未尽事宜详见图纸（含与之相关的一切费用）</t>
  </si>
  <si>
    <t>1.名称:室外架空给水、消防管道保温
2.刷漆及防腐:采用自调控电伴热及难燃B1级橡塑保温</t>
  </si>
  <si>
    <t>1.名称:闸阀
2.规格、型号:DN100
3.其它未尽事宜详见图纸设计</t>
  </si>
  <si>
    <t>1.名称:止回阀
2.规格、型号:DN100
3.其它未尽事宜详见图纸设计</t>
  </si>
  <si>
    <t>1.名称:流量开关
2.其它未尽事宜详见图纸设计</t>
  </si>
  <si>
    <t>1.名称:自动排气阀
2.规格:DN15
3.其它未尽事宜详见图纸（含与之相关的一切费用）</t>
  </si>
  <si>
    <t>1.名称:截止阀
2.规格:DN15
3.其它未尽事宜详见图纸（含与之相关的一切费用）</t>
  </si>
  <si>
    <t>浮球阀</t>
  </si>
  <si>
    <t>1.名称:浮球阀
2.规格:DN15
3.其它未尽事宜详见图纸（含与之相关的一切费用）</t>
  </si>
  <si>
    <t>稳压泵</t>
  </si>
  <si>
    <t>1.名称:稳压泵
2.其它未尽事宜详见图纸（含与之相关的一切费用）</t>
  </si>
  <si>
    <t>上海“连成”、上海“东方”</t>
  </si>
  <si>
    <t>稳压罐</t>
  </si>
  <si>
    <t>1.名称:稳压罐
2.其它未尽事宜详见图纸（含与之相关的一切费用）</t>
  </si>
  <si>
    <t>消防水箱</t>
  </si>
  <si>
    <t>1.名称:消防水箱
2.规格：装配式不锈钢水箱，5.5mX2.5mX2m 有效容积18m³
3.其它未尽事宜详见图纸（含与之相关的一切费用）</t>
  </si>
  <si>
    <t>39#通风及防排烟系统</t>
  </si>
  <si>
    <t>水箱间排风机</t>
  </si>
  <si>
    <t>1.名称:水箱间排风机
2.型号:PF-SXJ，风量：1250m3/h，全压:54Pa，功率:60W，自带防雨百叶
3.设备及支架制作、安装、防腐等，要求:按图纸及规范要求
4.调试
5.其它未尽事宜详见图纸（含与之相关的一切费用）</t>
  </si>
  <si>
    <t>1.名称:防雨百叶（含手动风阀）
2.规格:300X500
3.其它未尽事宜详见图纸（含与之相关的一切费用）</t>
  </si>
  <si>
    <t>39#消防电源监控系统</t>
  </si>
  <si>
    <t>39#电气火灾监控系统</t>
  </si>
  <si>
    <t>39#火灾自动报警及消防联动系统</t>
  </si>
  <si>
    <t>流量开关连锁启泵线</t>
  </si>
  <si>
    <t>液位信号线</t>
  </si>
  <si>
    <t>液位信号探测器</t>
  </si>
  <si>
    <t>1.名称:液位信号探测器
2.其它未尽事宜详见图纸（含与之相关的一切费用）</t>
  </si>
  <si>
    <t>39#防火门监控系统</t>
  </si>
  <si>
    <t>39#应急照明系统</t>
  </si>
  <si>
    <t>1.名称:消防应急照明灯具
2.规格型号：LED  8W DC36V(潮湿场所IP65,室外IP67) 
3.安装方式：底距地2.3m挂装/吸顶
4.其它未尽事宜详见图纸（含与之相关的一切费用）</t>
  </si>
  <si>
    <t>九</t>
  </si>
  <si>
    <t>39#小计</t>
  </si>
  <si>
    <t>50#消火栓系统</t>
  </si>
  <si>
    <t>50#通风及防排烟系统</t>
  </si>
  <si>
    <t>50#消防电源监控系统</t>
  </si>
  <si>
    <t>50#电气火灾监控系统</t>
  </si>
  <si>
    <t>50#火灾自动报警及消防联动系统</t>
  </si>
  <si>
    <t>50#防火门监控系统</t>
  </si>
  <si>
    <t>50#应急照明系统</t>
  </si>
  <si>
    <t>50#小计</t>
  </si>
  <si>
    <t>车库喷淋系统</t>
  </si>
  <si>
    <t>1.名称:内外热浸镀锌钢管
2.规格:DN150
3.连接形式:沟槽连接
4.含压力试验及冲洗，含管件管卡制作安装
5.其它未尽事宜详见图纸（含与之相关的一切费用）</t>
  </si>
  <si>
    <t>泄水管</t>
  </si>
  <si>
    <t>1.名称:内外壁热镀锌钢管
2.规格:DN50
3.连接形式:螺纹连接
4.含压力试验及冲洗，含管件管卡制作安装
5.其它未尽事宜详见图纸（含与之相关的一切费用）</t>
  </si>
  <si>
    <t>1.名称:直立型喷头
2.材质、型号、规格:详见图纸设计（含10个备用）
3.其它未尽事宜详见图纸（含与之相关的一切费用）</t>
  </si>
  <si>
    <t>下喷头</t>
  </si>
  <si>
    <t>1.车库配合障碍物（如风管、桥架等）边长＞1200mm时，增加的下喷头</t>
  </si>
  <si>
    <t>1.名称:水流指示器
2.规格:DN150
3.连接形式:法兰连接
4.其它未尽事宜详见图纸（含与之相关的一切费用）</t>
  </si>
  <si>
    <t>1.名称:信号蝶阀
2.规格:DN150
3.连接形式:法兰连接
4.其它未尽事宜详见图纸设计</t>
  </si>
  <si>
    <t>1.名称:减压孔板φ57/66
2.规格:DN150
3.连接形式:法兰连接
4.其它未尽事宜详见图纸设计</t>
  </si>
  <si>
    <t>1.名称:蝶阀
2.规格:DN150
3.连接形式:法兰连接
4.其它未尽事宜详见图纸设计</t>
  </si>
  <si>
    <t>1.名称:蝶阀
2.规格:DN100
3.连接形式:法兰连接
4.其它未尽事宜详见图纸设计</t>
  </si>
  <si>
    <t>1.名称:法兰
2.规格、型号:DN150
3.其它未尽事宜详见图纸设计</t>
  </si>
  <si>
    <t>阀门</t>
  </si>
  <si>
    <t>1.名称:泄水阀
2.规格:DN50
3.连接形式:螺纹连接
4.其它未尽事宜详见图纸设计</t>
  </si>
  <si>
    <t>1.名称：末端试水装置（包括试水阀、压力表、试水接头）
2.规格:DN25
3.其它未尽事宜详见图纸（含与之相关的一切费用）</t>
  </si>
  <si>
    <t>湿式报警阀组</t>
  </si>
  <si>
    <t>1.安装部位:湿式报警阀组
2.型号、规格:DN150
3.其它未尽事宜详见图纸（含与之相关的一切费用）</t>
  </si>
  <si>
    <t>车库消火栓系统</t>
  </si>
  <si>
    <t>室内消火栓</t>
  </si>
  <si>
    <t>1.名称:减压稳压单栓窄型消火栓(顶上进水)
2.型号、规格:700高*500宽*240厚mm，直径DN65消火栓栓口1个,φ19口径水枪1支,25m长衬胶水带1个
3.其它未尽事宜详见图纸（含与之相关的一切费用）</t>
  </si>
  <si>
    <t>1.形式:手提式磷酸铵盐灭火器
2.规格、型号:MF/ABC4
3.其它未尽事宜详见图纸（含与之相关的一切费用）</t>
  </si>
  <si>
    <t>1.名称:灭火器箱
2.规格、型号:箱内放2具灭火器
3.其它未尽事宜详见图纸（含与之相关的一切费用）</t>
  </si>
  <si>
    <t>1.名称:蝶阀
2.规格、型号:DN150
3.其它未尽事宜详见图纸设计</t>
  </si>
  <si>
    <t>车库通风及防排烟系统</t>
  </si>
  <si>
    <t>消防高温排烟轴流风机 HTF-Ⅳ-9A型</t>
  </si>
  <si>
    <t>1.名称:消防高温排烟轴流风机 HTF-Ⅳ-9A型
2.型号:P(Y)-1-1~2，风量:37800/24500m3/h，全压:900/467Pa
3.设备及支架制作、安装、防腐等，要求:按图纸及规范要求
4.调试
5.其它未尽事宜详见图纸（含与之相关的一切费用）</t>
  </si>
  <si>
    <t>1.名称:消防高温排烟轴流风机 HTF-Ⅳ-9A型
2.型号:P(Y)-5-1~3，风量:37800/24500m3/h，全压:900/467Pa
3.设备及支架制作、安装、防腐等，要求:按图纸及规范要求
4.调试
5.其它未尽事宜详见图纸（含与之相关的一切费用）</t>
  </si>
  <si>
    <t>1.名称:消防高温排烟轴流风机 HTF-Ⅳ-9A型
2.型号:P(Y)-6-1~2，风量:37800/24500m3/h，全压:900/467Pa
3.设备及支架制作、安装、防腐等，要求:按图纸及规范要求
4.调试
5.其它未尽事宜详见图纸（含与之相关的一切费用）</t>
  </si>
  <si>
    <t>1.名称:消防高温排烟轴流风机 HTF-Ⅳ-9A型
2.型号:P(Y)-7-1~2，风量:37800/24500m3/h，全压:900/467Pa
3.设备及支架制作、安装、防腐等，要求:按图纸及规范要求
4.调试
5.其它未尽事宜详见图纸（含与之相关的一切费用）</t>
  </si>
  <si>
    <t>1.名称:消防高温排烟轴流风机 HTF-Ⅳ-9A型
2.型号:P(Y)-8-1~2，风量:37800/24500m3/h，全压:900/467Pa
3.设备及支架制作、安装、防腐等，要求:按图纸及规范要求
4.调试
5.其它未尽事宜详见图纸（含与之相关的一切费用）</t>
  </si>
  <si>
    <t>1.名称:消防高温排烟轴流风机 HTF-Ⅳ-9A型
2.型号:P(Y)-11-1~2，风量:37800/24500m3/h，全压:900/467Pa
3.设备及支架制作、安装、防腐等，要求:按图纸及规范要求
4.调试
5.其它未尽事宜详见图纸（含与之相关的一切费用）</t>
  </si>
  <si>
    <t>XBDZ-5型壁式轴流风机</t>
  </si>
  <si>
    <t>1.名称:XBDZ-5型壁式轴流风机
2.型号:PF-6-1，含70度防火阀580*580
3.设备及支架制作、安装、防腐等，要求:按图纸及规范要求
4.调试
5.其它未尽事宜详见图纸（含与之相关的一切费用）</t>
  </si>
  <si>
    <t>1.名称:XBDZ-5型壁式轴流风机
2.型号:PF-8-1，含70度防火阀580*580
3.设备及支架制作、安装、防腐等，要求:按图纸及规范要求
4.调试
5.其它未尽事宜详见图纸（含与之相关的一切费用）</t>
  </si>
  <si>
    <t>GDF-3.0-4离心式管道风机</t>
  </si>
  <si>
    <t>1.名称:GDF-3.0-4离心式管道风机
2.型号:PF-6-2，风量:2000m3/h，全压:515Pa
3.设备及支架制作、安装、防腐等，要求:按图纸及规范要求
4.调试
5.其它未尽事宜详见图纸（含与之相关的一切费用）</t>
  </si>
  <si>
    <t>XF-物业用房</t>
  </si>
  <si>
    <t>1.名称:XF-物业用房
2.型号:DPT型静音管道风机，风量:360m3/h，全压:125Pa
3.设备及支架制作、安装、防腐等，要求:按图纸及规范要求
4.调试
5.其它未尽事宜详见图纸（含与之相关的一切费用）</t>
  </si>
  <si>
    <t>1.名称:圆形风管
2.材质:镀锌钢板
3.形状:圆形
4.规格:450mm＜直径≤1000mm
5.板材厚度:1.0mm
6.管件、法兰等附件及支架设计要求:按图纸设计及规范要求
7.与其他专业之间的避让、翻弯
8.其它未尽事宜详见图纸（含与之相关的一切费用）</t>
  </si>
  <si>
    <t>1.名称:矩形风管
2.材质:镀锌钢板
3.形状:矩形
4.规格:0mm＜长边长≤320mm
5.板材厚度:0.5mm
6.管件、法兰等附件及支架设计要求:按图纸设计及规范要求
7.与其他专业之间的避让、翻弯
8.其它未尽事宜详见图纸（含与之相关的一切费用）</t>
  </si>
  <si>
    <t>1.名称:矩形风管
2.材质:镀锌钢板
3.形状:矩形
4.规格:320mm＜长边长≤450mm
5.板材厚度:0.6mm
6.管件、法兰等附件及支架设计要求:按图纸设计及规范要求
7.与其他专业之间的避让、翻弯
8.其它未尽事宜详见图纸（含与之相关的一切费用）</t>
  </si>
  <si>
    <t>1.名称:矩形风管
2.材质:镀锌钢板
3.形状:矩形
4.规格:450mm＜长边长≤1000mm
5.板材厚度:1.0mm
6.管件、法兰等附件及支架设计要求:按图纸设计及规范要求
7.与其他专业之间的避让、翻弯
8.其它未尽事宜详见图纸（含与之相关的一切费用）</t>
  </si>
  <si>
    <t>1.名称:矩形风管
2.材质:镀锌钢板
3.形状:矩形
4.规格:1000mm＜长边长≤1250mm
5.板材厚度:1.2mm
6.管件、法兰等附件及支架设计要求:按图纸设计及规范要求
7.与其他专业之间的避让、翻弯
8.其它未尽事宜详见图纸（含与之相关的一切费用）</t>
  </si>
  <si>
    <t>1.名称:矩形风管
2.材质:镀锌钢板
3.形状:矩形
4.规格:1500mm＜长边长≤2000mm
5.板材厚度:1.5mm
6.管件、法兰等附件及支架设计要求:按图纸设计及规范要求
7.与其他专业之间的避让、翻弯
8.其它未尽事宜详见图纸（含与之相关的一切费用）</t>
  </si>
  <si>
    <t>1.名称:70℃防火风口
2.规格:平时常开（设金属防虫鼠网）1000*1000，70℃自动关闭
3.其它未尽事宜详见图纸（含与之相关的一切费用）</t>
  </si>
  <si>
    <t>1.名称:70℃防火风口
2.规格:平时常开（设金属防虫鼠网）500*500，70℃自动关闭
3.其它未尽事宜详见图纸（含与之相关的一切费用）</t>
  </si>
  <si>
    <t>1.名称:单层百叶风口
2.规格:320X320
3.其它未尽事宜详见图纸（含与之相关的一切费用）</t>
  </si>
  <si>
    <t>1.名称:钢制单层百叶风口(设置风量调节阀)
2.规格:550X400
3.其它未尽事宜详见图纸（含与之相关的一切费用）</t>
  </si>
  <si>
    <t>1.名称:钢制单层百叶风口
2.规格:150X150
3.其它未尽事宜详见图纸（含与之相关的一切费用）</t>
  </si>
  <si>
    <t>1.名称:70℃防火阀
2.规格:φ200
3.其它未尽事宜详见图纸及规范要求（含与之相关的一切费用）</t>
  </si>
  <si>
    <t>1.名称:70℃防火阀
2.规格:400*250
3.其它未尽事宜详见图纸及规范要求（含与之相关的一切费用）</t>
  </si>
  <si>
    <t>1.名称:280℃排烟防火阀
2.规格:φ900
3.其它未尽事宜详见图纸及规范要求（含与之相关的一切费用）</t>
  </si>
  <si>
    <t>1.名称:280℃排烟防火阀
2.规格:1600*400
3.其它未尽事宜详见图纸及规范要求（含与之相关的一切费用）</t>
  </si>
  <si>
    <t>1.名称:280℃排烟防火阀
2.规格:1250*500
3.其它未尽事宜详见图纸及规范要求（含与之相关的一切费用）</t>
  </si>
  <si>
    <t>1.名称:280℃排烟防火阀
2.规格:1700*500
3.其它未尽事宜详见图纸及规范要求（含与之相关的一切费用）</t>
  </si>
  <si>
    <t>1.名称:排烟阀BECH
2.规格:1000*320
3.其它未尽事宜详见图纸及规范要求（含与之相关的一切费用）</t>
  </si>
  <si>
    <t>1.名称:排烟阀BECH
2.规格:1000*400
3.其它未尽事宜详见图纸及规范要求（含与之相关的一切费用）</t>
  </si>
  <si>
    <t>1.名称:排烟阀BECH
2.规格:630*320
3.其它未尽事宜详见图纸及规范要求（含与之相关的一切费用）</t>
  </si>
  <si>
    <t>1.名称:排烟阀BECH
2.规格:800*320
3.其它未尽事宜详见图纸及规范要求（含与之相关的一切费用）</t>
  </si>
  <si>
    <t>点型探测器</t>
  </si>
  <si>
    <t>1.名称:一氧化碳探测器
2.其它未尽事宜详见图纸及规范要求（含与之相关的一切费用）</t>
  </si>
  <si>
    <t>1.名称:空气质量控制器
2.其它未尽事宜详见图纸及规范要求（含与之相关的一切费用）</t>
  </si>
  <si>
    <t>配管</t>
  </si>
  <si>
    <t>1.名称:JDG20
2.部位:明配
3.其它未尽事宜详见图纸（含与之相关的一切费用）</t>
  </si>
  <si>
    <t>联塑、祥利盛</t>
  </si>
  <si>
    <t>1.名称:JDG32
2.部位:明配
3.其它未尽事宜详见图纸（含与之相关的一切费用）</t>
  </si>
  <si>
    <t>1.名称:RVSP-2*1.0
2.配线形式:穿管或桥架敷设
3..配线部位:暗配
4.其它未尽事宜详见图纸（含与之相关的一切费用）</t>
  </si>
  <si>
    <t>1.名称:WDZN-BYJ-1.5
2.配线形式:穿管或桥架敷设
3..配线部位:暗配
4.其它未尽事宜详见图纸（含与之相关的一切费用）</t>
  </si>
  <si>
    <t>1.名称:WDZN-BYJ-10
2.配线形式:穿管或桥架敷设
3..配线部位:暗配
4.其它未尽事宜详见图纸（含与之相关的一切费用）</t>
  </si>
  <si>
    <t>1.名称:WDZ-BYJ-10
2.配线形式:穿管或桥架敷设
3..配线部位:暗配
4.其它未尽事宜详见图纸（含与之相关的一切费用）</t>
  </si>
  <si>
    <t>1.名称:NH-KVV-4x1.5
2.配线形式:穿管或桥架敷设
3..配线部位:暗配
4.其它未尽事宜详见图纸（含与之相关的一切费用）</t>
  </si>
  <si>
    <t>车库应急照明疏散系统</t>
  </si>
  <si>
    <t>1.名称:消防应急标志灯具-疏散出口
2.规格型号：LED  2W DC36V(潮湿场所IP65)  
3.安装方式：门框上方0.2m挂装
4.其它未尽事宜详见图纸（含与之相关的一切费用）</t>
  </si>
  <si>
    <t>1.名称:消防应急标志灯具-安全出口
2.规格型号：LED  2W DC36V 
3.安装方式：门框上方0.2m挂装
4.其它未尽事宜详见图纸（含与之相关的一切费用）</t>
  </si>
  <si>
    <t>1.名称:消防应急标志灯具-单面
2.规格型号：LED  2W DC36V 
3.安装方式：底距地0.5m挂装
4.其它未尽事宜详见图纸（含与之相关的一切费用）</t>
  </si>
  <si>
    <t>1.名称:消防应急标志灯具-双面
2.规格型号：LED  2W DC36V 
3.安装方式：底距地0.5m挂装
4.其它未尽事宜详见图纸（含与之相关的一切费用）</t>
  </si>
  <si>
    <t>1.名称:消防应急标志灯具-双面单向
2.规格型号：LED  2W DC36V 
3.安装方式：底距地2.5m吊装
4.其它未尽事宜详见图纸（含与之相关的一切费用）</t>
  </si>
  <si>
    <t>1.名称:消防应急标志灯具-多信息复合
2.规格型号：LED  2W DC36V 
3.安装方式：底距地2.5m吊装
4.其它未尽事宜详见图纸（含与之相关的一切费用）</t>
  </si>
  <si>
    <t>车库火灾报警系统</t>
  </si>
  <si>
    <t>1.名称:信号二总线（干线）
2.配线形式:穿管或桥架敷设
3.型号:ZNRVS-2X2.5
4.配线部位:暗配
5.其它未尽事宜详见图纸（含与之相关的一切费用）</t>
  </si>
  <si>
    <t>1.名称:电源二总线（干线）
2.配线形式:穿管或桥架敷设
3.型号:NHBV-4
4.配线部位:暗配
5.其它未尽事宜详见图纸（含与之相关的一切费用）</t>
  </si>
  <si>
    <t>1.名称:消防广播线（干线）
2.配线形式:穿管或桥架敷设
3.型号:ZNRVS-2X2.5
4.配线部位:暗配
5.其它未尽事宜详见图纸（含与之相关的一切费用）</t>
  </si>
  <si>
    <t>1.名称:消防电话二总线（干线）
2.配线形式:穿管或桥架敷设
3.型号:ZNRVS-2X1.5
4.配线部位:暗配
5.其它未尽事宜详见图纸（含与之相关的一切费用）</t>
  </si>
  <si>
    <t>1.名称:信号二总线
2.配线形式:穿管或桥架敷设
3.型号:ZNRVS-2X1.5
4.配线部位:暗配
5.其它未尽事宜详见图纸（含与之相关的一切费用）</t>
  </si>
  <si>
    <t>1.名称:消防广播线
2.配线形式:穿管或桥架敷设
3.型号:ZNRVS-2X2.5
4.配线部位:暗配
5.其它未尽事宜详见图纸（含与之相关的一切费用）</t>
  </si>
  <si>
    <t>1.名称:消防电话二总线
2.配线形式:穿管或桥架敷设
3.型号:ZNRVS-2X1.5
4.配线部位:暗配
5.其它未尽事宜详见图纸（含与之相关的一切费用）</t>
  </si>
  <si>
    <t>1.名称:远程多线控制线
2.配线形式:穿管或桥架敷设
3.型号:NHKVV-4X1.5
4.配线部位:暗配
5.其它未尽事宜详见图纸（含与之相关的一切费用）</t>
  </si>
  <si>
    <t>1.名称:液位信号线
2.配线形式:穿管或桥架敷设
3.型号:ZNKVV-3x2.5
4.配线部位:暗配
5.其它未尽事宜详见图纸（含与之相关的一切费用）</t>
  </si>
  <si>
    <t>消防广播</t>
  </si>
  <si>
    <t>1.名称:消防广播
2.其它未尽事宜详见图纸（含与之相关的一切费用）</t>
  </si>
  <si>
    <t>自动报警系统调试（含主楼）</t>
  </si>
  <si>
    <t>1.名称:调试（含主楼）</t>
  </si>
  <si>
    <t>系统</t>
  </si>
  <si>
    <t>车库消防电源监控系统</t>
  </si>
  <si>
    <t>1.名称:通讯线
2.配线形式:穿管敷设
3.型号:ZN-RVS-2X1.5
4.配线部位:暗配
5.其它未尽事宜详见图纸（含与之相关的一切费用）</t>
  </si>
  <si>
    <t>1.名称:电源线
2.配线形式:穿管敷设
3.型号:NH-BV-2.5
4.配线部位:暗配
5.其它未尽事宜详见图纸（含与之相关的一切费用）</t>
  </si>
  <si>
    <t>电源监控模块</t>
  </si>
  <si>
    <t>车库电气火灾监控系统</t>
  </si>
  <si>
    <t>火灾监控模块</t>
  </si>
  <si>
    <t>1.名称:火灾监控模块
2.其它未尽事宜详见图纸（含与之相关的一切费用）</t>
  </si>
  <si>
    <t>车库防火卷帘门系统</t>
  </si>
  <si>
    <t>1.名称:卷帘电源线
2.配线形式:穿管/桥架敷设
3.型号:WDZN-YJY-5X2.5
4.配线部位:暗配
5.其它未尽事宜详见图纸（含与之相关的一切费用）</t>
  </si>
  <si>
    <t>1.名称:防火门控制线
2.配线形式:穿管敷设
3.型号:WDZN-BYJ-2.5
4.配线部位:暗配
5.其它未尽事宜详见图纸（含与之相关的一切费用）</t>
  </si>
  <si>
    <t>防火卷帘门控制箱</t>
  </si>
  <si>
    <t>1.防火卷帘门控制箱
2.其它未尽事宜详见图纸（含与之相关的一切费用）</t>
  </si>
  <si>
    <t>控制按钮</t>
  </si>
  <si>
    <t>1.控制按钮
2.其它未尽事宜详见图纸（含与之相关的一切费用）</t>
  </si>
  <si>
    <t>防火卷帘门</t>
  </si>
  <si>
    <t>1.防火卷帘门
2.详见图纸设计
3.其它未尽事宜详见图纸（含与之相关的一切费用）</t>
  </si>
  <si>
    <t>车库防火门监控系统</t>
  </si>
  <si>
    <t>十</t>
  </si>
  <si>
    <t>车库消防泵房</t>
  </si>
  <si>
    <t>1.安装部位:内外热浸镀锌钢管
2.材质、规格:DN400
3.连接形式:沟槽连接
4.含压力试验及冲洗，含管件管卡制作安装
5.其它未尽事宜详见图纸（含与之相关的一切费用）</t>
  </si>
  <si>
    <t>1.安装部位:内外热浸镀锌钢管
2.材质、规格:DN300
3.连接形式:沟槽连接
4.含压力试验及冲洗，含管件管卡制作安装
5.其它未尽事宜详见图纸（含与之相关的一切费用）</t>
  </si>
  <si>
    <t>1.安装部位:内外热浸镀锌钢管
2.材质、规格:DN200
3.连接形式:沟槽连接
4.含压力试验及冲洗，含管件管卡制作安装
5.其它未尽事宜详见图纸（含与之相关的一切费用）</t>
  </si>
  <si>
    <t>1.安装部位:内外热浸镀锌钢管
2.材质、规格:DN150
3.连接形式:沟槽连接
4.含压力试验及冲洗，含管件管卡制作安装
5.其它未尽事宜详见图纸（含与之相关的一切费用）</t>
  </si>
  <si>
    <t>1.安装部位:内外热浸镀锌钢管
2.材质、规格:DN100
3.连接形式:沟槽连接
4.含压力试验及冲洗，含管件管卡制作安装
5.其它未尽事宜详见图纸（含与之相关的一切费用）</t>
  </si>
  <si>
    <t>1.安装部位:内外热浸镀锌钢管
2.材质、规格:DN50
3.连接形式:螺纹连接
4.含压力试验及冲洗，含管件管卡制作安装
5.其它未尽事宜详见图纸（含与之相关的一切费用）</t>
  </si>
  <si>
    <t>1.名称:闸阀
2.规格:DN200
3.连接形式:法兰连接
4.其它未尽事宜详见图纸设计</t>
  </si>
  <si>
    <t>1.名称:闸阀
2.规格:DN150
3.连接形式:法兰连接
4.其它未尽事宜详见图纸设计</t>
  </si>
  <si>
    <t>1.名称:闸阀
2.规格:DN100
3.连接形式:法兰连接
4.其它未尽事宜详见图纸设计</t>
  </si>
  <si>
    <t>1.名称:超压泄压阀
2.规格:DN100
3.连接形式:法兰连接
4.其它未尽事宜详见图纸设计</t>
  </si>
  <si>
    <t>1.名称:试水阀
2.规格:DN65
3.连接形式:法兰连接
4.其它未尽事宜详见图纸设计</t>
  </si>
  <si>
    <t>1.名称:止回阀
2.规格:DN150
3.连接形式:法兰连接
4.其它未尽事宜详见图纸设计</t>
  </si>
  <si>
    <t>1.名称:大小头
2.规格:DN200
3.连接形式:法兰连接
4.其它未尽事宜详见图纸设计</t>
  </si>
  <si>
    <t>1.名称:大小头
2.规格:DN150
3.连接形式:法兰连接
4.其它未尽事宜详见图纸设计</t>
  </si>
  <si>
    <t>1.名称:软接头
2.规格:DN200
3.连接形式:法兰连接
4.其它未尽事宜详见图纸设计</t>
  </si>
  <si>
    <t>1.名称:软接头
2.规格:DN150
3.连接形式:法兰连接
4.其它未尽事宜详见图纸设计</t>
  </si>
  <si>
    <t>1.名称:Y型过滤器
2.规格:DN200
3.连接形式:法兰连接
4.其它未尽事宜详见图纸设计</t>
  </si>
  <si>
    <t>1.名称:Y型过滤器
2.规格:DN150
3.连接形式:法兰连接
4.其它未尽事宜详见图纸设计</t>
  </si>
  <si>
    <t>1.名称:法兰
2.规格、型号:DN200
3.其它未尽事宜详见图纸设计</t>
  </si>
  <si>
    <t>1.名称:止回阀
2.规格:DN50
3.连接形式:螺纹连接
4.其它未尽事宜详见图纸设计</t>
  </si>
  <si>
    <t>1.名称:大小头
2.规格:DN50
3.连接形式:螺纹连接
4.其它未尽事宜详见图纸设计</t>
  </si>
  <si>
    <t>1.名称:软接头
2.规格:DN50
3.连接形式:螺纹连接
4.其它未尽事宜详见图纸设计</t>
  </si>
  <si>
    <t>1.名称:截止阀
2.规格:DN50
3.连接形式:螺纹连接
4.其它未尽事宜详见图纸设计</t>
  </si>
  <si>
    <t>压力表</t>
  </si>
  <si>
    <t>1.压力表
2.其它未尽事宜详见图纸设计</t>
  </si>
  <si>
    <t>流量计</t>
  </si>
  <si>
    <t>1.流量计
2.规格:DN65
3.其它未尽事宜详见图纸设计</t>
  </si>
  <si>
    <t>压力开关</t>
  </si>
  <si>
    <t>1.压力开关
2.其它未尽事宜详见图纸设计</t>
  </si>
  <si>
    <t>室内消火栓泵（含基础）</t>
  </si>
  <si>
    <t>1.名称：室内消火栓泵（含基础）
2.规格:XBD12/20G-L3-2，Q=20L/S,H=110m,N=45KW
3.其它未尽事宜详见图纸设计</t>
  </si>
  <si>
    <t>喷淋泵（含基础）</t>
  </si>
  <si>
    <t>1.名称：喷淋泵（含基础）
2.规格:XBD6.8/40G-G，Q=40L/S,H=65m,N=45KW
3.其它未尽事宜详见图纸设计</t>
  </si>
  <si>
    <t>室外消火栓泵（含基础）</t>
  </si>
  <si>
    <t>1.名称:室外消火栓泵（含基础）
2.规格:XBD4.0/25G-G，Q=25L/S,H=40m,N=18.5KW
4.其它未尽事宜详见图纸（含与之相关的一切费用）</t>
  </si>
  <si>
    <t>增压稳压设备含控制箱</t>
  </si>
  <si>
    <t>1.名称:增压稳压设备含控制箱
2.规格:XW(L)-Ⅱ-2.0-30-ADL，配用水泵型号:ADL3-8,Q=2.0L/S,H=30, N=1.5KW
4.其它未尽事宜详见图纸（含与之相关的一切费用）</t>
  </si>
  <si>
    <t>室外消火栓泵控制箱</t>
  </si>
  <si>
    <t>1.名称:室外消火栓泵控制箱
2.规格:800X2000X600
3.其它未尽事宜详见图纸（含与之相关的一切费用）</t>
  </si>
  <si>
    <t>喷淋泵控制箱</t>
  </si>
  <si>
    <t>1.名称:喷淋泵控制箱
2.规格:800X2200X600
3.其它未尽事宜详见图纸（含与之相关的一切费用）</t>
  </si>
  <si>
    <t>室内消火栓泵控制箱</t>
  </si>
  <si>
    <t>1.名称:室内消火栓泵控制箱
2.规格:800X2000X600
3.其它未尽事宜详见图纸（含与之相关的一切费用）</t>
  </si>
  <si>
    <t>1.名称:SC40
2.部位:明配
3.其它未尽事宜详见图纸（含与之相关的一切费用）</t>
  </si>
  <si>
    <t>1.名称:SC100
2.部位:明配
3.其它未尽事宜详见图纸（含与之相关的一切费用）</t>
  </si>
  <si>
    <t>电力电缆</t>
  </si>
  <si>
    <t>1.名称:电力电缆(含电缆头)
2.配线形式:穿管或桥架敷设
3.型号:WDZN-YJY-4x10
4.配线部位:暗配
5.其它未尽事宜详见图纸（含与之相关的一切费用）</t>
  </si>
  <si>
    <t>1.名称:电力电缆(含电缆头)
2.配线形式:穿管或桥架敷设
3.型号:WDZN-YJY-3x25
4.配线部位:暗配
5.其它未尽事宜详见图纸（含与之相关的一切费用）</t>
  </si>
  <si>
    <t>1.名称:电力电缆(含电缆头)
2.配线形式:穿管或桥架敷设
3.型号:WDZN-YJY-4x25
4.配线部位:暗配
5.其它未尽事宜详见图纸（含与之相关的一切费用）</t>
  </si>
  <si>
    <t>十一</t>
  </si>
  <si>
    <t>消防控制室</t>
  </si>
  <si>
    <t>消防电话主机</t>
  </si>
  <si>
    <t>1:消防电话主机</t>
  </si>
  <si>
    <t>图形显示装置含打印机</t>
  </si>
  <si>
    <t>1:图形显示装置含打印机</t>
  </si>
  <si>
    <t>应急照明控制器</t>
  </si>
  <si>
    <t>1:应急照明控制器</t>
  </si>
  <si>
    <t>火灾报警控制器(联动型)</t>
  </si>
  <si>
    <t>1:火灾报警控制器(联动型)</t>
  </si>
  <si>
    <t>远程多线控制盘</t>
  </si>
  <si>
    <t>1:远程多线控制盘</t>
  </si>
  <si>
    <t>消防广播控制器</t>
  </si>
  <si>
    <t>1:消防广播控制器</t>
  </si>
  <si>
    <t>气体灭火控制装置</t>
  </si>
  <si>
    <t>1:气体灭火控制装置</t>
  </si>
  <si>
    <t xml:space="preserve"> “海湾”“金枪鱼”</t>
  </si>
  <si>
    <t>消防电源监控主机</t>
  </si>
  <si>
    <t>1:消防电源监控主机</t>
  </si>
  <si>
    <t>电气火灾监控主机</t>
  </si>
  <si>
    <t>1:电气火灾监控主机</t>
  </si>
  <si>
    <t>防火门监控主机</t>
  </si>
  <si>
    <t>1：防火门监控主机</t>
  </si>
  <si>
    <t>UPS主机含机柜</t>
  </si>
  <si>
    <t>1：UPS主机含机柜</t>
  </si>
  <si>
    <t>防静电活动地板</t>
  </si>
  <si>
    <t>1:防静电地板安装</t>
  </si>
  <si>
    <t>恩科久</t>
  </si>
  <si>
    <t>整个地块消防标识标牌制作安装</t>
  </si>
  <si>
    <t>1:整个地块消防标识标牌制作安装</t>
  </si>
  <si>
    <t>十二</t>
  </si>
  <si>
    <t>车库小计</t>
  </si>
  <si>
    <t>1.名称:抗震支架
2.抗震支架应符合图纸及相关技术规范的要求</t>
  </si>
  <si>
    <t>抗震支架小计</t>
  </si>
  <si>
    <t>室外管网系统</t>
  </si>
  <si>
    <t>地上式室外栓</t>
  </si>
  <si>
    <t>1.名称:地上式室外栓
2.型号、规格:SSF100/65-1.0，详见图集13S201-P21
3.其它未尽事宜详见图纸（含与之相关的一切费用）</t>
  </si>
  <si>
    <t>A型地上式消防水泵接合器</t>
  </si>
  <si>
    <t>1.名称:A型地上式消防水泵接合器
2.型号、规格:详见图纸设计
3.其它未尽事宜详见图纸（含与之相关的一切费用）</t>
  </si>
  <si>
    <t>A型地上式自喷系统水泵接合器</t>
  </si>
  <si>
    <t>1.名称:A型地上式自喷系统水泵接合器
2.型号、规格:详见图纸设计
3.其它未尽事宜详见图纸（含与之相关的一切费用）</t>
  </si>
  <si>
    <t>室外消防取水口</t>
  </si>
  <si>
    <t>1.名称:室外消防取水口
2.做法:详见图纸设计
3.其它未尽事宜详见图纸（含与之相关的一切费用）</t>
  </si>
  <si>
    <t>座</t>
  </si>
  <si>
    <t>室外管网小计</t>
  </si>
  <si>
    <t>P1#应急照明系统</t>
  </si>
  <si>
    <t>P1#小计</t>
  </si>
  <si>
    <t>P2#应急照明系统</t>
  </si>
  <si>
    <t>P2#小计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</si>
</sst>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  <numFmt numFmtId="179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left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0" fontId="5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176" fontId="3" fillId="2" borderId="7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left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7" xfId="49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17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喜力德报价0927" xfId="50"/>
  </cellStyles>
  <tableStyles count="0" defaultTableStyle="TableStyleMedium2" defaultPivotStyle="PivotStyleLight16"/>
  <colors>
    <mruColors>
      <color rgb="000813EA"/>
      <color rgb="000207CD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1245870</xdr:colOff>
      <xdr:row>18</xdr:row>
      <xdr:rowOff>3006725</xdr:rowOff>
    </xdr:from>
    <xdr:to>
      <xdr:col>1</xdr:col>
      <xdr:colOff>1591310</xdr:colOff>
      <xdr:row>18</xdr:row>
      <xdr:rowOff>3228340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940" y="8112125"/>
          <a:ext cx="3454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18</xdr:row>
      <xdr:rowOff>3014345</xdr:rowOff>
    </xdr:from>
    <xdr:to>
      <xdr:col>2</xdr:col>
      <xdr:colOff>535940</xdr:colOff>
      <xdr:row>18</xdr:row>
      <xdr:rowOff>3224530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47695" y="8119745"/>
          <a:ext cx="31686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507365</xdr:colOff>
      <xdr:row>18</xdr:row>
      <xdr:rowOff>3222625</xdr:rowOff>
    </xdr:from>
    <xdr:to>
      <xdr:col>2</xdr:col>
      <xdr:colOff>821055</xdr:colOff>
      <xdr:row>18</xdr:row>
      <xdr:rowOff>3379470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35985" y="8328025"/>
          <a:ext cx="313690" cy="156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5505;&#3609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qzyser\&#21161;&#21451;&#23454;&#26696;\2008&#24180;&#24037;&#31243;&#25991;&#20214;\&#20013;&#28023;&#21271;&#28392;2&#26399;\&#25216;&#26415;&#20132;&#24213;\LH\A-K%20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qzyser\&#21161;&#21451;&#23454;&#26696;\2008&#24180;&#24037;&#31243;&#25991;&#20214;\&#20013;&#28023;&#21271;&#28392;2&#26399;\&#25216;&#26415;&#20132;&#24213;\HELENA\&#26126;&#32048;&#34920;%20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qzyser\&#21161;&#21451;&#23454;&#26696;\2008&#24180;&#24037;&#31243;&#25991;&#20214;\&#20013;&#28023;&#21271;&#28392;2&#26399;\&#25216;&#26415;&#20132;&#24213;\A-K%20201.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qzyser\&#21161;&#21451;&#23454;&#26696;\2008&#24180;&#24037;&#31243;&#25991;&#20214;\&#20013;&#28023;&#21271;&#28392;2&#26399;\&#25216;&#26415;&#20132;&#24213;\PUR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qq\&#19975;&#31185;&#26862;&#26519;&#20844;&#22253;B2\B2&#22320;&#22359;&#31934;&#35013;&#20462;-2014-11-03\B2&#22320;&#22359;1#&#12289;2#&#12289;4#&#12289;5#&#12289;6#7#&#12289;8#&#12289;9#&#27004;&#31934;&#35013;&#20462;&#25307;&#26631;&#28165;&#21333;&#65288;20141205&#21069;&#23436;&#25104;&#65289;\&#21512;&#32933;&#19975;&#31185;&#26862;&#26519;&#20844;&#22253;B2&#22320;&#22359;1&#12289;2#&#12289;4~9#&#27004;&#23460;&#20869;&#12289;&#20844;&#20849;&#37096;&#20301;&#65292;1~6&#12289;8~9#&#27004;&#38376;&#22836;&#24149;&#22681;&#31934;&#35013;&#20462;&#24037;&#31243;&#25307;&#26631;&#28165;&#21333;20141212&#23450;&#26696;(&#24635;&#65289;\&#25307;&#26631;&#28165;&#21333;20141212\2\07\EXCEL%20&#35745;&#31639;&#20070;\&#22797;&#20214;%20&#226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qzyser\&#21161;&#21451;&#23454;&#26696;\2008&#24180;&#24037;&#31243;&#25991;&#20214;\&#20013;&#28023;&#21271;&#28392;2&#26399;\&#25216;&#26415;&#20132;&#24213;\CND\CQ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qzyser\&#21161;&#21451;&#23454;&#26696;\2008&#24180;&#24037;&#31243;&#25991;&#20214;\&#20013;&#28023;&#21271;&#28392;2&#26399;\&#25216;&#26415;&#20132;&#24213;\CND\HELENA\&#26126;&#32048;&#34920;%20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qzyser\&#21161;&#21451;&#23454;&#26696;\2008&#24180;&#24037;&#31243;&#25991;&#20214;\&#20013;&#28023;&#21271;&#28392;2&#26399;\&#25216;&#26415;&#20132;&#24213;\A-K%20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qq\22-&#26631;&#20934;&#28165;&#21333;\&#23452;&#26124;&#19975;&#36798;&#24191;&#22330;&#22303;&#24314;&#24037;&#31243;&#37327;&#28165;&#21333;&#65288;1-12#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qzyser\&#21161;&#21451;&#23454;&#26696;\2008&#24180;&#24037;&#31243;&#25991;&#20214;\&#20013;&#28023;&#21271;&#28392;2&#26399;\&#25216;&#26415;&#20132;&#24213;\&#36865;&#36135;&#2133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qzyser\&#21161;&#21451;&#23454;&#26696;\2008&#24180;&#24037;&#31243;&#25991;&#20214;\&#20013;&#28023;&#21271;&#28392;2&#26399;\&#25216;&#26415;&#20132;&#24213;\WINDOWS\Desktop\CDN\A-K%20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qq\&#26131;&#20581;\&#19975;&#31185;\&#37329;&#22495;&#34013;&#28286;\&#20998;&#21253;&#24037;&#31243;\&#28040;&#38450;&#24037;&#31243;\&#28040;&#38450;&#24037;&#31243;&#35780;&#26631;\&#35780;&#26631;&#25991;&#20214;\Documents%20and%20Settings\Administrator\&#26700;&#38754;\&#36890;&#39118;&#12289;&#28040;&#38450;&#35780;&#26631;\&#20998;&#21253;&#24037;&#31243;\&#24037;&#31243;&#36164;&#26009;\&#19975;&#31185;\&#22478;&#33457;&#20843;&#26399;&#32467;&#31639;\&#38468;&#20214;3-1%20&#25237;&#26631;&#25253;&#20215;&#28165;&#21333;&#65288;&#21512;&#21516;&#2021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貨品科目"/>
      <sheetName val="萬輝"/>
      <sheetName val="板和"/>
      <sheetName val="東林"/>
      <sheetName val="富鴻"/>
      <sheetName val="長誠"/>
      <sheetName val="長誠 (2)"/>
      <sheetName val="友邦"/>
      <sheetName val="立興"/>
      <sheetName val="捷達時"/>
      <sheetName val="昌記"/>
      <sheetName val="現代"/>
      <sheetName val="恆業"/>
      <sheetName val="恆彩輝"/>
      <sheetName val="拓普"/>
      <sheetName val="恆昌"/>
      <sheetName val="鑫盛"/>
      <sheetName val="興發"/>
      <sheetName val="漢高"/>
      <sheetName val="杜邦"/>
      <sheetName val="寶旺"/>
      <sheetName val="華豐"/>
      <sheetName val="葉永聯"/>
      <sheetName val="資料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资料表"/>
      <sheetName val="质保书"/>
      <sheetName val="质保书1"/>
      <sheetName val="Sheet1"/>
      <sheetName val="A"/>
      <sheetName val="C"/>
      <sheetName val="Ｄ"/>
      <sheetName val="东方"/>
      <sheetName val="迅富1"/>
      <sheetName val="迅富"/>
      <sheetName val="合格"/>
      <sheetName val="多点锁 (2)"/>
      <sheetName val="多点锁"/>
      <sheetName val="HHS1"/>
      <sheetName val="HHS"/>
      <sheetName val="合格证"/>
      <sheetName val="特凌"/>
      <sheetName val="Sheet2"/>
      <sheetName val="鸿恒基"/>
      <sheetName val="华加日"/>
      <sheetName val="固若"/>
      <sheetName val="合格证 (2)"/>
      <sheetName val="資料庫"/>
      <sheetName val="审查表"/>
      <sheetName val="生产单 (4)"/>
      <sheetName val="生产单"/>
      <sheetName val="生产单 (1)"/>
      <sheetName val="生产单 (2)"/>
      <sheetName val="生产单 (3)"/>
      <sheetName val="生产单 (6)"/>
      <sheetName val="生产单 (5)"/>
      <sheetName val="發貨單 (2)"/>
      <sheetName val="發貨單"/>
      <sheetName val="样办"/>
      <sheetName val="样办 (2)"/>
      <sheetName val="样办送货单"/>
      <sheetName val="样办送货单 (2)"/>
      <sheetName val="俊威"/>
      <sheetName val="电镀"/>
      <sheetName val="迅富2"/>
      <sheetName val="东林 (3)"/>
      <sheetName val="东方 (1)"/>
      <sheetName val="兴业"/>
      <sheetName val="沈飞"/>
      <sheetName val="梁允党"/>
      <sheetName val="兴发"/>
      <sheetName val="时代"/>
      <sheetName val="时代 (2)"/>
      <sheetName val="南雄"/>
      <sheetName val="板和"/>
      <sheetName val="中建三局"/>
      <sheetName val="三元"/>
      <sheetName val="创展"/>
      <sheetName val="CNDA (2)"/>
      <sheetName val="CNDA"/>
      <sheetName val="CND"/>
      <sheetName val="CND (2)"/>
      <sheetName val="公司名称及地址 (2)"/>
      <sheetName val="地址"/>
      <sheetName val="CS036"/>
      <sheetName val="CS036 (1)"/>
      <sheetName val="迅富 (2)"/>
      <sheetName val="南雄 "/>
      <sheetName val="上海华加日"/>
      <sheetName val="東方"/>
      <sheetName val="董生"/>
      <sheetName val="富达"/>
      <sheetName val="天地"/>
      <sheetName val="张志岭"/>
      <sheetName val="青岛"/>
      <sheetName val="普陀兴发"/>
      <sheetName val="陈会祥"/>
      <sheetName val="番禺兴发"/>
      <sheetName val="陈伟权"/>
      <sheetName val="欧文"/>
      <sheetName val="青联"/>
      <sheetName val="南海二建"/>
      <sheetName val="金圣"/>
      <sheetName val="绿城"/>
      <sheetName val="金圈"/>
      <sheetName val="吉田"/>
      <sheetName val="三元德隆"/>
      <sheetName val="长空"/>
      <sheetName val="王锁生"/>
      <sheetName val="华加日展销部"/>
      <sheetName val="广州装饰"/>
      <sheetName val="懿麟"/>
      <sheetName val="佳明"/>
      <sheetName val="束嘉"/>
      <sheetName val="杨尚威"/>
      <sheetName val="俊强"/>
      <sheetName val="亚洲"/>
      <sheetName val="顺天通"/>
      <sheetName val="东亚"/>
      <sheetName val="华美"/>
      <sheetName val="刘忠"/>
      <sheetName val="金盛"/>
      <sheetName val="粤骏"/>
      <sheetName val="悦茂"/>
      <sheetName val="威卢克斯"/>
      <sheetName val="力基"/>
      <sheetName val="其昌"/>
      <sheetName val="艺宝"/>
      <sheetName val="凤铝"/>
      <sheetName val="瑞那斯"/>
      <sheetName val="普立"/>
      <sheetName val="广亚"/>
      <sheetName val="烟台"/>
      <sheetName val="中惠"/>
      <sheetName val="哈萨克斯"/>
      <sheetName val="忠旺"/>
      <sheetName val="孙永平"/>
      <sheetName val="恒隆"/>
      <sheetName val="南华"/>
      <sheetName val="南南"/>
      <sheetName val="盛兴"/>
      <sheetName val="德玛"/>
      <sheetName val="雅维斯"/>
      <sheetName val="源泰"/>
      <sheetName val="YKK"/>
      <sheetName val="YKK (2)"/>
      <sheetName val="北京办"/>
      <sheetName val="興發 (2)"/>
      <sheetName val="煙台盟昌"/>
      <sheetName val="廣州鋁質"/>
      <sheetName val="興安"/>
      <sheetName val="潤恆"/>
      <sheetName val="生產通知單"/>
      <sheetName val="核对"/>
      <sheetName val="订单总结"/>
      <sheetName val="韶光"/>
      <sheetName val="雅維斯"/>
      <sheetName val="王鎖生"/>
      <sheetName val="金圈 (2)"/>
      <sheetName val="李鸿楷"/>
      <sheetName val="興發(2)"/>
      <sheetName val="興發(1)"/>
      <sheetName val="興發"/>
      <sheetName val="比利"/>
      <sheetName val="東亞"/>
      <sheetName val="梁福成"/>
      <sheetName val="葉峰"/>
      <sheetName val="勃海铝"/>
      <sheetName val="泰克峰"/>
      <sheetName val="明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明細表 (2)"/>
      <sheetName val="明細表"/>
      <sheetName val="資料庫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資料庫"/>
      <sheetName val="审查表"/>
      <sheetName val="生产单 (4)"/>
      <sheetName val="生产单"/>
      <sheetName val="生产单 (2)"/>
      <sheetName val="生产单 (3)"/>
      <sheetName val="生产单 (1)"/>
      <sheetName val="發貨單"/>
      <sheetName val="样办"/>
      <sheetName val="样办 (2)"/>
      <sheetName val="樣辦送货單"/>
      <sheetName val="俊威"/>
      <sheetName val="电镀"/>
      <sheetName val="迅富2"/>
      <sheetName val="迅富1"/>
      <sheetName val="迅富"/>
      <sheetName val="东林 (3)"/>
      <sheetName val="东方"/>
      <sheetName val="东方 (1)"/>
      <sheetName val="东林 (2)"/>
      <sheetName val="兴业"/>
      <sheetName val="吉田"/>
      <sheetName val="金盛"/>
      <sheetName val="雅维斯"/>
      <sheetName val="王锁生"/>
      <sheetName val="金圈"/>
      <sheetName val="金圈 (1)"/>
      <sheetName val="华加日"/>
      <sheetName val="华加日 (2)"/>
      <sheetName val="沈飞"/>
      <sheetName val="梁允党"/>
      <sheetName val="兴发"/>
      <sheetName val="特凌"/>
      <sheetName val="比利"/>
      <sheetName val="东亚"/>
      <sheetName val="固若"/>
      <sheetName val="刘忠"/>
      <sheetName val="粤骏"/>
      <sheetName val="时代"/>
      <sheetName val="时代 (2)"/>
      <sheetName val="绿城"/>
      <sheetName val="叶峰"/>
      <sheetName val="广亚"/>
      <sheetName val="瑞那斯"/>
      <sheetName val="广东装饰"/>
      <sheetName val="亚洲"/>
      <sheetName val="长空"/>
      <sheetName val="顺天通"/>
      <sheetName val="懿麟"/>
      <sheetName val="勃海铝"/>
      <sheetName val="泰克峰"/>
      <sheetName val="中建三局"/>
      <sheetName val="盛兴"/>
      <sheetName val="富达"/>
      <sheetName val="板和"/>
      <sheetName val="东林"/>
      <sheetName val="三元"/>
      <sheetName val="创展"/>
      <sheetName val="CNDA"/>
      <sheetName val="CND"/>
      <sheetName val="公司名称及地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資料庫"/>
      <sheetName val="劉忠"/>
      <sheetName val="CS036"/>
      <sheetName val="報價單 (2)"/>
      <sheetName val="報價單"/>
      <sheetName val="吉田"/>
      <sheetName val="金圈"/>
      <sheetName val="韶光"/>
      <sheetName val="梁允党"/>
      <sheetName val="興發"/>
      <sheetName val="興發 (2)"/>
      <sheetName val="興發 (3)"/>
      <sheetName val="煙台盟昌"/>
      <sheetName val="余建忠"/>
      <sheetName val="葉峰"/>
      <sheetName val="唐生"/>
      <sheetName val="杜良棠"/>
      <sheetName val="鄒生"/>
      <sheetName val="胡生"/>
      <sheetName val="梁福成"/>
      <sheetName val="南海二建"/>
      <sheetName val="富達"/>
      <sheetName val="軒泰"/>
      <sheetName val="金聖"/>
      <sheetName val="唐蕾"/>
      <sheetName val="唐蕾 (2)"/>
      <sheetName val="恆隆"/>
      <sheetName val="艾迪"/>
      <sheetName val="亞洲"/>
      <sheetName val="王鎖生"/>
      <sheetName val="煙京"/>
      <sheetName val="張建國"/>
      <sheetName val="張建國 (2)"/>
      <sheetName val="董宇飛"/>
      <sheetName val="廣州鋁質"/>
      <sheetName val="楊尚威 (2)"/>
      <sheetName val="创展"/>
      <sheetName val="楊尚威"/>
      <sheetName val="興安"/>
      <sheetName val="東方 (2)"/>
      <sheetName val="東方"/>
      <sheetName val="亮佳"/>
      <sheetName val="金盛"/>
      <sheetName val="偉發"/>
      <sheetName val="吳生"/>
      <sheetName val="偉志"/>
      <sheetName val="特凌"/>
      <sheetName val="林生"/>
      <sheetName val="林生 (2)"/>
      <sheetName val="華加日"/>
      <sheetName val="華加日 (2)"/>
      <sheetName val="金利"/>
      <sheetName val="上海摩林"/>
      <sheetName val="張志芩"/>
      <sheetName val="東亞"/>
      <sheetName val="粵駿"/>
      <sheetName val="廣東裝飾"/>
      <sheetName val="彪福"/>
      <sheetName val="绿城"/>
      <sheetName val="綠城1"/>
      <sheetName val="廣亞"/>
      <sheetName val="力基"/>
      <sheetName val="莫兆記"/>
      <sheetName val="泰利"/>
      <sheetName val="潤恆"/>
      <sheetName val="其昌"/>
      <sheetName val="佳明"/>
      <sheetName val="俊强"/>
      <sheetName val="束嘉"/>
      <sheetName val="中建三局"/>
      <sheetName val="中建三局 (3)"/>
      <sheetName val="中建三局 (2)"/>
      <sheetName val="黎明"/>
      <sheetName val="华美"/>
      <sheetName val="阳光"/>
      <sheetName val="明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墙计算表"/>
      <sheetName val="墙类型"/>
      <sheetName val="门窗表"/>
      <sheetName val="汇总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資料庫"/>
      <sheetName val="地址"/>
      <sheetName val="CS036"/>
      <sheetName val="CS036 (1)"/>
      <sheetName val="迅富"/>
      <sheetName val="迅富 (2)"/>
      <sheetName val="南雄 "/>
      <sheetName val="上海华加日"/>
      <sheetName val="東方"/>
      <sheetName val="固若"/>
      <sheetName val="董生"/>
      <sheetName val="富达"/>
      <sheetName val="天地"/>
      <sheetName val="梁允党"/>
      <sheetName val="张志岭"/>
      <sheetName val="青岛"/>
      <sheetName val="普陀兴发"/>
      <sheetName val="陈会祥"/>
      <sheetName val="兴发"/>
      <sheetName val="番禺兴发"/>
      <sheetName val="陈伟权"/>
      <sheetName val="欧文"/>
      <sheetName val="青联"/>
      <sheetName val="南海二建"/>
      <sheetName val="金圣"/>
      <sheetName val="绿城"/>
      <sheetName val="金圈"/>
      <sheetName val="吉田"/>
      <sheetName val="三元德隆"/>
      <sheetName val="长空"/>
      <sheetName val="王锁生"/>
      <sheetName val="华加日"/>
      <sheetName val="华加日展销部"/>
      <sheetName val="广州装饰"/>
      <sheetName val="懿麟"/>
      <sheetName val="佳明"/>
      <sheetName val="束嘉"/>
      <sheetName val="杨尚威"/>
      <sheetName val="俊强"/>
      <sheetName val="中建三局"/>
      <sheetName val="亚洲"/>
      <sheetName val="顺天通"/>
      <sheetName val="东亚"/>
      <sheetName val="华美"/>
      <sheetName val="刘忠"/>
      <sheetName val="金盛"/>
      <sheetName val="粤骏"/>
      <sheetName val="悦茂"/>
      <sheetName val="威卢克斯"/>
      <sheetName val="力基"/>
      <sheetName val="其昌"/>
      <sheetName val="艺宝"/>
      <sheetName val="凤铝"/>
      <sheetName val="瑞那斯"/>
      <sheetName val="普立"/>
      <sheetName val="广亚"/>
      <sheetName val="烟台"/>
      <sheetName val="中惠"/>
      <sheetName val="哈萨克斯"/>
      <sheetName val="忠旺"/>
      <sheetName val="孙永平"/>
      <sheetName val="恒隆"/>
      <sheetName val="南华"/>
      <sheetName val="南南"/>
      <sheetName val="兴业"/>
      <sheetName val="盛兴"/>
      <sheetName val="德玛"/>
      <sheetName val="雅维斯"/>
      <sheetName val="源泰"/>
      <sheetName val="興發 (2)"/>
      <sheetName val="煙台盟昌"/>
      <sheetName val="廣州鋁質"/>
      <sheetName val="興安"/>
      <sheetName val="潤恆"/>
      <sheetName val="时代 (2)"/>
      <sheetName val="审查表"/>
      <sheetName val="审查表 (2)"/>
      <sheetName val="明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明細表 (2)"/>
      <sheetName val="明細表"/>
      <sheetName val="資料庫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資料庫"/>
      <sheetName val="生产单"/>
      <sheetName val="生产单 (2)"/>
      <sheetName val="發貨單"/>
      <sheetName val="订单总结"/>
      <sheetName val="东方"/>
      <sheetName val="迅富"/>
      <sheetName val="吉田"/>
      <sheetName val="金盛"/>
      <sheetName val="雅维斯"/>
      <sheetName val="王锁生"/>
      <sheetName val="金圈"/>
      <sheetName val="金圈 (1)"/>
      <sheetName val="华加日"/>
      <sheetName val="华加日 (2)"/>
      <sheetName val="沈飞"/>
      <sheetName val="梁允党"/>
      <sheetName val="兴发"/>
      <sheetName val="特凌"/>
      <sheetName val="比利"/>
      <sheetName val="东亚"/>
      <sheetName val="固若"/>
      <sheetName val="创展"/>
      <sheetName val="刘忠"/>
      <sheetName val="粤骏"/>
      <sheetName val="时代"/>
      <sheetName val="绿城"/>
      <sheetName val="叶峰"/>
      <sheetName val="广亚"/>
      <sheetName val="瑞那斯"/>
      <sheetName val="广东装饰"/>
      <sheetName val="亚洲"/>
      <sheetName val="长空"/>
      <sheetName val="顺天通"/>
      <sheetName val="三元"/>
      <sheetName val="懿麟"/>
      <sheetName val="勃海铝"/>
      <sheetName val="泰克峰"/>
      <sheetName val="俊强"/>
      <sheetName val="中建三局"/>
      <sheetName val="俊强 (3)"/>
      <sheetName val="板和"/>
      <sheetName val="东林"/>
      <sheetName val="生产单 (1)"/>
      <sheetName val="出貨通知單 (1)"/>
      <sheetName val="出貨通知單 (2)"/>
      <sheetName val="樣辦單 (1)"/>
      <sheetName val="樣辦單 (2)"/>
      <sheetName val="CND"/>
      <sheetName val="CND (2)"/>
      <sheetName val="1"/>
      <sheetName val="2"/>
      <sheetName val="3"/>
      <sheetName val="4"/>
      <sheetName val="5"/>
      <sheetName val="6"/>
      <sheetName val="CNDA (3)"/>
      <sheetName val="公司名称及地址"/>
      <sheetName val="电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指标及含量分配"/>
      <sheetName val="填报指引"/>
      <sheetName val="清单总目录"/>
      <sheetName val="投标总价表"/>
      <sheetName val="1.1#清单"/>
      <sheetName val="1.2#清单"/>
      <sheetName val="1.3#清单"/>
      <sheetName val="2∽12#土建工程量清单计价汇总表"/>
      <sheetName val="大商业部分清单"/>
      <sheetName val="大商业中酒店、商铺"/>
      <sheetName val="住宅楼部分"/>
      <sheetName val="土建工程综合单价表"/>
      <sheetName val="土建工程综合单价组价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資料庫"/>
      <sheetName val="CND"/>
      <sheetName val="北京辦 (4)"/>
      <sheetName val="北京辦 (5)"/>
      <sheetName val="北京辦"/>
      <sheetName val="北京辦 (3)"/>
      <sheetName val="順天通"/>
      <sheetName val="公司名称及地址 (2)"/>
      <sheetName val="全日通"/>
      <sheetName val="港龙"/>
      <sheetName val="申通"/>
      <sheetName val="顺风"/>
      <sheetName val="CND (2)"/>
      <sheetName val="固若1"/>
      <sheetName val="遠東"/>
      <sheetName val="迅富 5 (5)"/>
      <sheetName val="迅富1 (3)"/>
      <sheetName val="東方 (3)"/>
      <sheetName val="東方"/>
      <sheetName val="東方 (2)"/>
      <sheetName val="富達"/>
      <sheetName val="北京辦 (2)"/>
      <sheetName val="鴻恆基"/>
      <sheetName val="鴻恆基 (2)"/>
      <sheetName val="迅富 5 (4)"/>
      <sheetName val="東方5"/>
      <sheetName val="興發1"/>
      <sheetName val="CND  "/>
      <sheetName val="興 (3)"/>
      <sheetName val="CD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資料庫"/>
      <sheetName val="明細表"/>
      <sheetName val="生產通知單"/>
      <sheetName val="核对"/>
      <sheetName val="發貨單 (2)"/>
      <sheetName val="發貨單"/>
      <sheetName val="韶光"/>
      <sheetName val="吉田"/>
      <sheetName val="金盛"/>
      <sheetName val="雅維斯"/>
      <sheetName val="沈飞"/>
      <sheetName val="興發"/>
      <sheetName val="特凌"/>
      <sheetName val="東亞"/>
      <sheetName val="长空"/>
      <sheetName val="三元"/>
      <sheetName val="懿麟"/>
      <sheetName val="勃海铝"/>
      <sheetName val="板和"/>
      <sheetName val="订单总结"/>
      <sheetName val="王鎖生"/>
      <sheetName val="金圈"/>
      <sheetName val="金圈 (2)"/>
      <sheetName val="李鸿楷"/>
      <sheetName val="興發(2)"/>
      <sheetName val="興發(1)"/>
      <sheetName val="比利"/>
      <sheetName val="梁福成"/>
      <sheetName val="葉峰"/>
      <sheetName val="广亚"/>
      <sheetName val="瑞那斯"/>
      <sheetName val="广州装饰"/>
      <sheetName val="亚洲"/>
      <sheetName val="刘忠"/>
      <sheetName val="泰克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城花八期报价汇总表"/>
      <sheetName val="A区土建±0.00以下土建工程"/>
      <sheetName val="A区土建±0.00以上建工程"/>
      <sheetName val="B区土建工程"/>
      <sheetName val="电气"/>
      <sheetName val="给排水"/>
      <sheetName val="A区土建±0.00以下清单调整报价表"/>
      <sheetName val="A区土建±0.00以上清单调整报价表"/>
      <sheetName val="B区土建清单调整报价表"/>
      <sheetName val="电气清单调整报价表"/>
      <sheetName val="给排水清单调整报价表"/>
      <sheetName val="甲指乙供材料报价表"/>
      <sheetName val="施工参考单价报价表"/>
      <sheetName val="其它工作项目报价清单"/>
      <sheetName val="包干费用报价表"/>
      <sheetName val="材料耗用量表"/>
      <sheetName val="甲方、三方分包工程"/>
      <sheetName val="甲方、三方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view="pageBreakPreview" zoomScaleNormal="100" workbookViewId="0">
      <selection activeCell="G19" sqref="G19"/>
    </sheetView>
  </sheetViews>
  <sheetFormatPr defaultColWidth="9" defaultRowHeight="14.25" outlineLevelCol="4"/>
  <cols>
    <col min="1" max="1" width="10.6833333333333" style="58" customWidth="1"/>
    <col min="2" max="2" width="27.75" style="58" customWidth="1"/>
    <col min="3" max="3" width="21.5" style="60" customWidth="1"/>
    <col min="4" max="4" width="47.6333333333333" style="58" customWidth="1"/>
    <col min="5" max="5" width="12.75" style="58"/>
    <col min="6" max="6" width="12.6333333333333" style="58"/>
    <col min="7" max="7" width="9" style="58"/>
    <col min="8" max="8" width="9.38333333333333" style="58"/>
    <col min="9" max="16384" width="9" style="58"/>
  </cols>
  <sheetData>
    <row r="1" s="58" customFormat="1" ht="36" customHeight="1" spans="1:4">
      <c r="A1" s="61" t="s">
        <v>0</v>
      </c>
      <c r="B1" s="61"/>
      <c r="C1" s="61"/>
      <c r="D1" s="61"/>
    </row>
    <row r="2" s="58" customFormat="1" ht="27" customHeight="1" spans="1:5">
      <c r="A2" s="62" t="s">
        <v>1</v>
      </c>
      <c r="B2" s="62" t="s">
        <v>2</v>
      </c>
      <c r="C2" s="63" t="s">
        <v>3</v>
      </c>
      <c r="D2" s="62" t="s">
        <v>4</v>
      </c>
      <c r="E2" s="64"/>
    </row>
    <row r="3" s="58" customFormat="1" ht="21" customHeight="1" spans="1:4">
      <c r="A3" s="65">
        <v>1</v>
      </c>
      <c r="B3" s="65" t="s">
        <v>5</v>
      </c>
      <c r="C3" s="66">
        <f>清单!L101</f>
        <v>293879.4938486</v>
      </c>
      <c r="D3" s="67" t="s">
        <v>6</v>
      </c>
    </row>
    <row r="4" s="58" customFormat="1" ht="21" customHeight="1" spans="1:4">
      <c r="A4" s="65">
        <v>2</v>
      </c>
      <c r="B4" s="65" t="s">
        <v>7</v>
      </c>
      <c r="C4" s="66">
        <f>清单!L163</f>
        <v>145434.1608258</v>
      </c>
      <c r="D4" s="67" t="s">
        <v>6</v>
      </c>
    </row>
    <row r="5" s="58" customFormat="1" ht="21" customHeight="1" spans="1:4">
      <c r="A5" s="65">
        <v>3</v>
      </c>
      <c r="B5" s="65" t="s">
        <v>8</v>
      </c>
      <c r="C5" s="66">
        <f>清单!L243</f>
        <v>473278.8438998</v>
      </c>
      <c r="D5" s="67" t="s">
        <v>6</v>
      </c>
    </row>
    <row r="6" s="58" customFormat="1" ht="21" customHeight="1" spans="1:4">
      <c r="A6" s="65">
        <v>4</v>
      </c>
      <c r="B6" s="65" t="s">
        <v>9</v>
      </c>
      <c r="C6" s="66">
        <f>清单!L323</f>
        <v>518492.2610387</v>
      </c>
      <c r="D6" s="67" t="s">
        <v>6</v>
      </c>
    </row>
    <row r="7" s="58" customFormat="1" ht="21" customHeight="1" spans="1:4">
      <c r="A7" s="65">
        <v>5</v>
      </c>
      <c r="B7" s="65" t="s">
        <v>10</v>
      </c>
      <c r="C7" s="66">
        <f>清单!L409</f>
        <v>403299.8701919</v>
      </c>
      <c r="D7" s="67" t="s">
        <v>6</v>
      </c>
    </row>
    <row r="8" s="58" customFormat="1" ht="21" customHeight="1" spans="1:4">
      <c r="A8" s="65">
        <v>6</v>
      </c>
      <c r="B8" s="65" t="s">
        <v>11</v>
      </c>
      <c r="C8" s="66">
        <f>清单!L511</f>
        <v>511510.4063762</v>
      </c>
      <c r="D8" s="67" t="s">
        <v>6</v>
      </c>
    </row>
    <row r="9" s="58" customFormat="1" ht="21" customHeight="1" spans="1:4">
      <c r="A9" s="65">
        <v>7</v>
      </c>
      <c r="B9" s="65" t="s">
        <v>12</v>
      </c>
      <c r="C9" s="66">
        <f>清单!L604</f>
        <v>407635.178302</v>
      </c>
      <c r="D9" s="67" t="s">
        <v>6</v>
      </c>
    </row>
    <row r="10" s="58" customFormat="1" ht="21" customHeight="1" spans="1:4">
      <c r="A10" s="65">
        <v>8</v>
      </c>
      <c r="B10" s="65" t="s">
        <v>13</v>
      </c>
      <c r="C10" s="66">
        <f>清单!L707</f>
        <v>487580.6610224</v>
      </c>
      <c r="D10" s="67" t="s">
        <v>6</v>
      </c>
    </row>
    <row r="11" s="58" customFormat="1" ht="21" customHeight="1" spans="1:4">
      <c r="A11" s="65">
        <v>9</v>
      </c>
      <c r="B11" s="65" t="s">
        <v>14</v>
      </c>
      <c r="C11" s="66">
        <f>清单!L819</f>
        <v>488381.3684497</v>
      </c>
      <c r="D11" s="67" t="s">
        <v>6</v>
      </c>
    </row>
    <row r="12" s="58" customFormat="1" ht="21" customHeight="1" spans="1:4">
      <c r="A12" s="65">
        <v>10</v>
      </c>
      <c r="B12" s="65" t="s">
        <v>15</v>
      </c>
      <c r="C12" s="66">
        <f>清单!L911</f>
        <v>409502.526081</v>
      </c>
      <c r="D12" s="67" t="s">
        <v>6</v>
      </c>
    </row>
    <row r="13" s="58" customFormat="1" ht="21" customHeight="1" spans="1:4">
      <c r="A13" s="65">
        <v>11</v>
      </c>
      <c r="B13" s="65" t="s">
        <v>16</v>
      </c>
      <c r="C13" s="66">
        <f>清单!L1111</f>
        <v>3000587.7723503</v>
      </c>
      <c r="D13" s="67" t="s">
        <v>6</v>
      </c>
    </row>
    <row r="14" s="58" customFormat="1" ht="24" spans="1:4">
      <c r="A14" s="65">
        <v>12</v>
      </c>
      <c r="B14" s="65" t="s">
        <v>17</v>
      </c>
      <c r="C14" s="66">
        <f>清单!L1114</f>
        <v>85940.723</v>
      </c>
      <c r="D14" s="65" t="s">
        <v>18</v>
      </c>
    </row>
    <row r="15" s="58" customFormat="1" ht="21" customHeight="1" spans="1:4">
      <c r="A15" s="65">
        <v>13</v>
      </c>
      <c r="B15" s="65" t="s">
        <v>19</v>
      </c>
      <c r="C15" s="66">
        <f>清单!L1128</f>
        <v>156647.7137247</v>
      </c>
      <c r="D15" s="67" t="s">
        <v>6</v>
      </c>
    </row>
    <row r="16" s="58" customFormat="1" ht="21" customHeight="1" spans="1:4">
      <c r="A16" s="65">
        <v>14</v>
      </c>
      <c r="B16" s="65" t="s">
        <v>20</v>
      </c>
      <c r="C16" s="66">
        <f>清单!L1134</f>
        <v>5169.793046</v>
      </c>
      <c r="D16" s="67" t="s">
        <v>6</v>
      </c>
    </row>
    <row r="17" s="58" customFormat="1" ht="21" customHeight="1" spans="1:5">
      <c r="A17" s="65">
        <v>15</v>
      </c>
      <c r="B17" s="65" t="s">
        <v>21</v>
      </c>
      <c r="C17" s="66">
        <f>清单!L1141</f>
        <v>2659.228528</v>
      </c>
      <c r="D17" s="67" t="s">
        <v>6</v>
      </c>
      <c r="E17" s="68"/>
    </row>
    <row r="18" s="59" customFormat="1" ht="21" customHeight="1" spans="1:5">
      <c r="A18" s="65">
        <v>16</v>
      </c>
      <c r="B18" s="65" t="s">
        <v>22</v>
      </c>
      <c r="C18" s="66">
        <f>SUM(C3:C17)</f>
        <v>7390000.0006851</v>
      </c>
      <c r="D18" s="67" t="s">
        <v>6</v>
      </c>
      <c r="E18" s="68"/>
    </row>
    <row r="19" s="59" customFormat="1" ht="409" customHeight="1" spans="1:5">
      <c r="A19" s="69" t="s">
        <v>23</v>
      </c>
      <c r="B19" s="70"/>
      <c r="C19" s="70"/>
      <c r="D19" s="70"/>
      <c r="E19" s="68"/>
    </row>
  </sheetData>
  <mergeCells count="2">
    <mergeCell ref="A1:D1"/>
    <mergeCell ref="A19:D19"/>
  </mergeCells>
  <pageMargins left="0.75" right="0.75" top="1" bottom="1" header="0.5" footer="0.5"/>
  <pageSetup paperSize="9" scale="8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2"/>
  <sheetViews>
    <sheetView tabSelected="1" zoomScale="115" zoomScaleNormal="115" zoomScaleSheetLayoutView="130" workbookViewId="0">
      <pane xSplit="5" ySplit="4" topLeftCell="F5" activePane="bottomRight" state="frozen"/>
      <selection/>
      <selection pane="topRight"/>
      <selection pane="bottomLeft"/>
      <selection pane="bottomRight" activeCell="P6" sqref="P6"/>
    </sheetView>
  </sheetViews>
  <sheetFormatPr defaultColWidth="9" defaultRowHeight="13.5"/>
  <cols>
    <col min="1" max="1" width="4.425" style="5" customWidth="1"/>
    <col min="2" max="2" width="18.35" style="6" customWidth="1"/>
    <col min="3" max="3" width="27.6333333333333" style="6" customWidth="1"/>
    <col min="4" max="4" width="3.63333333333333" style="5" customWidth="1"/>
    <col min="5" max="5" width="9" style="5" customWidth="1"/>
    <col min="6" max="6" width="8.5" style="5" customWidth="1"/>
    <col min="7" max="7" width="11.1333333333333" style="7" customWidth="1"/>
    <col min="8" max="8" width="8.38333333333333" style="7" customWidth="1"/>
    <col min="9" max="9" width="9.63333333333333" style="7" customWidth="1"/>
    <col min="10" max="10" width="9.75" style="7" customWidth="1"/>
    <col min="11" max="11" width="9.38333333333333" style="7" customWidth="1"/>
    <col min="12" max="12" width="17.225" style="7" customWidth="1"/>
    <col min="13" max="13" width="19.9916666666667" style="8" customWidth="1"/>
    <col min="14" max="14" width="9.38333333333333" style="1"/>
    <col min="15" max="16384" width="9" style="1"/>
  </cols>
  <sheetData>
    <row r="1" s="1" customFormat="1" ht="25.5" spans="1:13">
      <c r="A1" s="9" t="s">
        <v>24</v>
      </c>
      <c r="B1" s="10"/>
      <c r="C1" s="10"/>
      <c r="D1" s="11"/>
      <c r="E1" s="11"/>
      <c r="F1" s="11"/>
      <c r="G1" s="12"/>
      <c r="H1" s="12"/>
      <c r="I1" s="12"/>
      <c r="J1" s="12"/>
      <c r="K1" s="12"/>
      <c r="L1" s="12"/>
      <c r="M1" s="11"/>
    </row>
    <row r="2" s="1" customFormat="1" spans="1:13">
      <c r="A2" s="13" t="s">
        <v>1</v>
      </c>
      <c r="B2" s="13" t="s">
        <v>25</v>
      </c>
      <c r="C2" s="13" t="s">
        <v>26</v>
      </c>
      <c r="D2" s="13" t="s">
        <v>27</v>
      </c>
      <c r="E2" s="13" t="s">
        <v>28</v>
      </c>
      <c r="F2" s="14" t="s">
        <v>29</v>
      </c>
      <c r="G2" s="14"/>
      <c r="H2" s="14"/>
      <c r="I2" s="14"/>
      <c r="J2" s="32"/>
      <c r="K2" s="17" t="s">
        <v>30</v>
      </c>
      <c r="L2" s="17" t="s">
        <v>31</v>
      </c>
      <c r="M2" s="33" t="s">
        <v>32</v>
      </c>
    </row>
    <row r="3" s="1" customFormat="1" ht="45" spans="1:13">
      <c r="A3" s="15"/>
      <c r="B3" s="15"/>
      <c r="C3" s="15"/>
      <c r="D3" s="15"/>
      <c r="E3" s="15"/>
      <c r="F3" s="16" t="s">
        <v>33</v>
      </c>
      <c r="G3" s="17" t="s">
        <v>34</v>
      </c>
      <c r="H3" s="17" t="s">
        <v>35</v>
      </c>
      <c r="I3" s="34" t="s">
        <v>36</v>
      </c>
      <c r="J3" s="34" t="s">
        <v>37</v>
      </c>
      <c r="K3" s="35"/>
      <c r="L3" s="35"/>
      <c r="M3" s="33"/>
    </row>
    <row r="4" s="1" customFormat="1" spans="1:13">
      <c r="A4" s="15"/>
      <c r="B4" s="15"/>
      <c r="C4" s="15"/>
      <c r="D4" s="15"/>
      <c r="E4" s="15"/>
      <c r="F4" s="18"/>
      <c r="G4" s="19"/>
      <c r="H4" s="19"/>
      <c r="I4" s="36">
        <v>0.1</v>
      </c>
      <c r="J4" s="37">
        <v>0.09</v>
      </c>
      <c r="K4" s="19"/>
      <c r="L4" s="19"/>
      <c r="M4" s="33"/>
    </row>
    <row r="5" s="2" customFormat="1" outlineLevel="1" spans="1:13">
      <c r="A5" s="20" t="s">
        <v>38</v>
      </c>
      <c r="B5" s="21" t="s">
        <v>39</v>
      </c>
      <c r="C5" s="21"/>
      <c r="D5" s="22"/>
      <c r="E5" s="22"/>
      <c r="F5" s="20"/>
      <c r="G5" s="23"/>
      <c r="H5" s="23"/>
      <c r="I5" s="23"/>
      <c r="J5" s="23"/>
      <c r="K5" s="23"/>
      <c r="L5" s="20"/>
      <c r="M5" s="38"/>
    </row>
    <row r="6" s="1" customFormat="1" ht="78.75" outlineLevel="1" spans="1:13">
      <c r="A6" s="24">
        <v>1</v>
      </c>
      <c r="B6" s="25" t="s">
        <v>40</v>
      </c>
      <c r="C6" s="25" t="s">
        <v>41</v>
      </c>
      <c r="D6" s="26" t="s">
        <v>42</v>
      </c>
      <c r="E6" s="27">
        <v>155.94</v>
      </c>
      <c r="F6" s="28">
        <v>29.46</v>
      </c>
      <c r="G6" s="29">
        <f>46.5+10</f>
        <v>56.5</v>
      </c>
      <c r="H6" s="29">
        <v>1.31</v>
      </c>
      <c r="I6" s="29">
        <f>(F6+G6+H6)*$I$4</f>
        <v>8.727</v>
      </c>
      <c r="J6" s="29">
        <f>(F6+G6+H6+I6)*$J$4</f>
        <v>8.63973</v>
      </c>
      <c r="K6" s="29">
        <f t="shared" ref="K6:K17" si="0">F6+G6+H6+I6+J6</f>
        <v>104.63673</v>
      </c>
      <c r="L6" s="29">
        <f t="shared" ref="L6:L17" si="1">K6*E6</f>
        <v>16317.0516762</v>
      </c>
      <c r="M6" s="39" t="s">
        <v>43</v>
      </c>
    </row>
    <row r="7" s="1" customFormat="1" ht="78.75" outlineLevel="1" spans="1:13">
      <c r="A7" s="24">
        <v>2</v>
      </c>
      <c r="B7" s="25" t="s">
        <v>40</v>
      </c>
      <c r="C7" s="25" t="s">
        <v>44</v>
      </c>
      <c r="D7" s="26" t="s">
        <v>42</v>
      </c>
      <c r="E7" s="27">
        <v>38.99</v>
      </c>
      <c r="F7" s="28">
        <v>24.65</v>
      </c>
      <c r="G7" s="29">
        <f>30.67+10</f>
        <v>40.67</v>
      </c>
      <c r="H7" s="29">
        <v>1.31</v>
      </c>
      <c r="I7" s="29">
        <f t="shared" ref="I7:I17" si="2">(F7+G7+H7)*$I$4</f>
        <v>6.663</v>
      </c>
      <c r="J7" s="29">
        <f t="shared" ref="J7:J17" si="3">(F7+G7+H7+I7)*$J$4</f>
        <v>6.59637</v>
      </c>
      <c r="K7" s="29">
        <f t="shared" si="0"/>
        <v>79.88937</v>
      </c>
      <c r="L7" s="29">
        <f t="shared" si="1"/>
        <v>3114.8865363</v>
      </c>
      <c r="M7" s="39" t="s">
        <v>43</v>
      </c>
    </row>
    <row r="8" s="1" customFormat="1" ht="45" outlineLevel="1" spans="1:13">
      <c r="A8" s="24">
        <v>3</v>
      </c>
      <c r="B8" s="25" t="s">
        <v>45</v>
      </c>
      <c r="C8" s="25" t="s">
        <v>46</v>
      </c>
      <c r="D8" s="26" t="s">
        <v>47</v>
      </c>
      <c r="E8" s="27">
        <v>100.58</v>
      </c>
      <c r="F8" s="28">
        <v>12.5</v>
      </c>
      <c r="G8" s="29">
        <v>3.92</v>
      </c>
      <c r="H8" s="29">
        <v>4.5</v>
      </c>
      <c r="I8" s="29">
        <f t="shared" si="2"/>
        <v>2.092</v>
      </c>
      <c r="J8" s="29">
        <f t="shared" si="3"/>
        <v>2.07108</v>
      </c>
      <c r="K8" s="29">
        <f t="shared" si="0"/>
        <v>25.08308</v>
      </c>
      <c r="L8" s="29">
        <f t="shared" si="1"/>
        <v>2522.8561864</v>
      </c>
      <c r="M8" s="39" t="s">
        <v>48</v>
      </c>
    </row>
    <row r="9" s="1" customFormat="1" ht="67.5" outlineLevel="1" spans="1:13">
      <c r="A9" s="24">
        <v>4</v>
      </c>
      <c r="B9" s="25" t="s">
        <v>49</v>
      </c>
      <c r="C9" s="25" t="s">
        <v>50</v>
      </c>
      <c r="D9" s="26" t="s">
        <v>51</v>
      </c>
      <c r="E9" s="27">
        <v>16</v>
      </c>
      <c r="F9" s="24">
        <v>75.07</v>
      </c>
      <c r="G9" s="29">
        <v>530</v>
      </c>
      <c r="H9" s="29">
        <v>3.63</v>
      </c>
      <c r="I9" s="29">
        <f t="shared" si="2"/>
        <v>60.87</v>
      </c>
      <c r="J9" s="29">
        <f t="shared" si="3"/>
        <v>60.2613</v>
      </c>
      <c r="K9" s="29">
        <f t="shared" si="0"/>
        <v>729.8313</v>
      </c>
      <c r="L9" s="29">
        <f t="shared" si="1"/>
        <v>11677.3008</v>
      </c>
      <c r="M9" s="39" t="s">
        <v>52</v>
      </c>
    </row>
    <row r="10" s="1" customFormat="1" ht="45" outlineLevel="1" spans="1:13">
      <c r="A10" s="24">
        <v>5</v>
      </c>
      <c r="B10" s="25" t="s">
        <v>49</v>
      </c>
      <c r="C10" s="25" t="s">
        <v>53</v>
      </c>
      <c r="D10" s="26" t="s">
        <v>51</v>
      </c>
      <c r="E10" s="27">
        <v>1</v>
      </c>
      <c r="F10" s="24">
        <v>75.07</v>
      </c>
      <c r="G10" s="29">
        <v>375</v>
      </c>
      <c r="H10" s="29">
        <v>3.63</v>
      </c>
      <c r="I10" s="29">
        <f t="shared" si="2"/>
        <v>45.37</v>
      </c>
      <c r="J10" s="29">
        <f t="shared" si="3"/>
        <v>44.9163</v>
      </c>
      <c r="K10" s="29">
        <f t="shared" si="0"/>
        <v>543.9863</v>
      </c>
      <c r="L10" s="29">
        <f t="shared" si="1"/>
        <v>543.9863</v>
      </c>
      <c r="M10" s="39" t="s">
        <v>52</v>
      </c>
    </row>
    <row r="11" s="1" customFormat="1" ht="45" outlineLevel="1" spans="1:13">
      <c r="A11" s="24">
        <v>6</v>
      </c>
      <c r="B11" s="25" t="s">
        <v>54</v>
      </c>
      <c r="C11" s="25" t="s">
        <v>55</v>
      </c>
      <c r="D11" s="26" t="s">
        <v>56</v>
      </c>
      <c r="E11" s="27">
        <f>16*2</f>
        <v>32</v>
      </c>
      <c r="F11" s="24">
        <v>1.16</v>
      </c>
      <c r="G11" s="29">
        <v>45</v>
      </c>
      <c r="H11" s="29">
        <v>0.5</v>
      </c>
      <c r="I11" s="29">
        <f t="shared" si="2"/>
        <v>4.666</v>
      </c>
      <c r="J11" s="29">
        <f t="shared" si="3"/>
        <v>4.61934</v>
      </c>
      <c r="K11" s="29">
        <f t="shared" si="0"/>
        <v>55.94534</v>
      </c>
      <c r="L11" s="29">
        <f t="shared" si="1"/>
        <v>1790.25088</v>
      </c>
      <c r="M11" s="39" t="s">
        <v>57</v>
      </c>
    </row>
    <row r="12" s="1" customFormat="1" ht="33.75" outlineLevel="1" spans="1:13">
      <c r="A12" s="24">
        <v>7</v>
      </c>
      <c r="B12" s="25" t="s">
        <v>58</v>
      </c>
      <c r="C12" s="25" t="s">
        <v>59</v>
      </c>
      <c r="D12" s="26" t="s">
        <v>60</v>
      </c>
      <c r="E12" s="27">
        <v>8</v>
      </c>
      <c r="F12" s="24">
        <v>79.59</v>
      </c>
      <c r="G12" s="24">
        <v>60</v>
      </c>
      <c r="H12" s="29">
        <v>18.2</v>
      </c>
      <c r="I12" s="29">
        <f t="shared" si="2"/>
        <v>15.779</v>
      </c>
      <c r="J12" s="29">
        <f t="shared" si="3"/>
        <v>15.62121</v>
      </c>
      <c r="K12" s="29">
        <f t="shared" si="0"/>
        <v>189.19021</v>
      </c>
      <c r="L12" s="29">
        <f t="shared" si="1"/>
        <v>1513.52168</v>
      </c>
      <c r="M12" s="39" t="s">
        <v>61</v>
      </c>
    </row>
    <row r="13" s="1" customFormat="1" ht="33.75" outlineLevel="1" spans="1:13">
      <c r="A13" s="24">
        <v>8</v>
      </c>
      <c r="B13" s="25" t="s">
        <v>62</v>
      </c>
      <c r="C13" s="25" t="s">
        <v>63</v>
      </c>
      <c r="D13" s="26" t="s">
        <v>64</v>
      </c>
      <c r="E13" s="27">
        <v>8</v>
      </c>
      <c r="F13" s="24">
        <v>65.22</v>
      </c>
      <c r="G13" s="24">
        <v>15</v>
      </c>
      <c r="H13" s="29">
        <v>36.25</v>
      </c>
      <c r="I13" s="29">
        <f t="shared" si="2"/>
        <v>11.647</v>
      </c>
      <c r="J13" s="29">
        <f t="shared" si="3"/>
        <v>11.53053</v>
      </c>
      <c r="K13" s="29">
        <f t="shared" si="0"/>
        <v>139.64753</v>
      </c>
      <c r="L13" s="29">
        <f t="shared" si="1"/>
        <v>1117.18024</v>
      </c>
      <c r="M13" s="39" t="s">
        <v>61</v>
      </c>
    </row>
    <row r="14" s="1" customFormat="1" ht="45" outlineLevel="1" spans="1:13">
      <c r="A14" s="24">
        <v>9</v>
      </c>
      <c r="B14" s="25" t="s">
        <v>65</v>
      </c>
      <c r="C14" s="25" t="s">
        <v>66</v>
      </c>
      <c r="D14" s="26" t="s">
        <v>60</v>
      </c>
      <c r="E14" s="27">
        <v>1</v>
      </c>
      <c r="F14" s="24">
        <v>19.59</v>
      </c>
      <c r="G14" s="24">
        <v>15</v>
      </c>
      <c r="H14" s="29">
        <v>5.54</v>
      </c>
      <c r="I14" s="29">
        <f t="shared" si="2"/>
        <v>4.013</v>
      </c>
      <c r="J14" s="29">
        <f t="shared" si="3"/>
        <v>3.97287</v>
      </c>
      <c r="K14" s="29">
        <f t="shared" si="0"/>
        <v>48.11587</v>
      </c>
      <c r="L14" s="29">
        <f t="shared" si="1"/>
        <v>48.11587</v>
      </c>
      <c r="M14" s="39" t="s">
        <v>61</v>
      </c>
    </row>
    <row r="15" s="1" customFormat="1" ht="45" outlineLevel="1" spans="1:13">
      <c r="A15" s="24">
        <v>10</v>
      </c>
      <c r="B15" s="25" t="s">
        <v>67</v>
      </c>
      <c r="C15" s="25" t="s">
        <v>68</v>
      </c>
      <c r="D15" s="26" t="s">
        <v>60</v>
      </c>
      <c r="E15" s="27">
        <v>1</v>
      </c>
      <c r="F15" s="28">
        <v>14.37</v>
      </c>
      <c r="G15" s="28">
        <v>25</v>
      </c>
      <c r="H15" s="29">
        <v>6.4</v>
      </c>
      <c r="I15" s="29">
        <f t="shared" si="2"/>
        <v>4.577</v>
      </c>
      <c r="J15" s="29">
        <f t="shared" si="3"/>
        <v>4.53123</v>
      </c>
      <c r="K15" s="29">
        <f t="shared" si="0"/>
        <v>54.87823</v>
      </c>
      <c r="L15" s="29">
        <f t="shared" si="1"/>
        <v>54.87823</v>
      </c>
      <c r="M15" s="39" t="s">
        <v>61</v>
      </c>
    </row>
    <row r="16" s="1" customFormat="1" ht="38" customHeight="1" outlineLevel="1" spans="1:13">
      <c r="A16" s="24">
        <v>11</v>
      </c>
      <c r="B16" s="25" t="s">
        <v>69</v>
      </c>
      <c r="C16" s="25" t="s">
        <v>70</v>
      </c>
      <c r="D16" s="26" t="s">
        <v>71</v>
      </c>
      <c r="E16" s="27">
        <v>1</v>
      </c>
      <c r="F16" s="28">
        <v>285</v>
      </c>
      <c r="G16" s="29">
        <v>125</v>
      </c>
      <c r="H16" s="29">
        <v>68.5</v>
      </c>
      <c r="I16" s="29">
        <f t="shared" si="2"/>
        <v>47.85</v>
      </c>
      <c r="J16" s="29">
        <f t="shared" si="3"/>
        <v>47.3715</v>
      </c>
      <c r="K16" s="29">
        <f t="shared" si="0"/>
        <v>573.7215</v>
      </c>
      <c r="L16" s="29">
        <f t="shared" si="1"/>
        <v>573.7215</v>
      </c>
      <c r="M16" s="39"/>
    </row>
    <row r="17" s="1" customFormat="1" outlineLevel="1" spans="1:13">
      <c r="A17" s="24">
        <v>12</v>
      </c>
      <c r="B17" s="25" t="s">
        <v>72</v>
      </c>
      <c r="C17" s="25" t="s">
        <v>73</v>
      </c>
      <c r="D17" s="26" t="s">
        <v>71</v>
      </c>
      <c r="E17" s="27">
        <v>1</v>
      </c>
      <c r="F17" s="24">
        <f>366.15*10</f>
        <v>3661.5</v>
      </c>
      <c r="G17" s="29">
        <v>0</v>
      </c>
      <c r="H17" s="29">
        <v>185</v>
      </c>
      <c r="I17" s="29">
        <f t="shared" si="2"/>
        <v>384.65</v>
      </c>
      <c r="J17" s="29">
        <f t="shared" si="3"/>
        <v>380.8035</v>
      </c>
      <c r="K17" s="29">
        <f t="shared" si="0"/>
        <v>4611.9535</v>
      </c>
      <c r="L17" s="29">
        <f t="shared" si="1"/>
        <v>4611.9535</v>
      </c>
      <c r="M17" s="39"/>
    </row>
    <row r="18" s="1" customFormat="1" outlineLevel="1" spans="1:13">
      <c r="A18" s="20" t="s">
        <v>74</v>
      </c>
      <c r="B18" s="21" t="s">
        <v>75</v>
      </c>
      <c r="C18" s="21"/>
      <c r="D18" s="22"/>
      <c r="E18" s="22"/>
      <c r="F18" s="20"/>
      <c r="G18" s="23"/>
      <c r="H18" s="29"/>
      <c r="I18" s="29">
        <f t="shared" ref="I18:I49" si="4">(F18+G18+H18)*$I$4</f>
        <v>0</v>
      </c>
      <c r="J18" s="29">
        <f t="shared" ref="J18:J49" si="5">(F18+G18+H18+I18)*$J$4</f>
        <v>0</v>
      </c>
      <c r="K18" s="29">
        <f t="shared" ref="K18:K36" si="6">F18+G18+H18+I18+J18</f>
        <v>0</v>
      </c>
      <c r="L18" s="29">
        <f t="shared" ref="L18:L36" si="7">K18*E18</f>
        <v>0</v>
      </c>
      <c r="M18" s="38"/>
    </row>
    <row r="19" s="1" customFormat="1" ht="78.75" outlineLevel="1" spans="1:13">
      <c r="A19" s="24">
        <v>1</v>
      </c>
      <c r="B19" s="30" t="s">
        <v>76</v>
      </c>
      <c r="C19" s="30" t="s">
        <v>77</v>
      </c>
      <c r="D19" s="31" t="s">
        <v>42</v>
      </c>
      <c r="E19" s="27">
        <v>200.93</v>
      </c>
      <c r="F19" s="24">
        <v>29.46</v>
      </c>
      <c r="G19" s="29">
        <f>46.5+10</f>
        <v>56.5</v>
      </c>
      <c r="H19" s="29">
        <v>1.31</v>
      </c>
      <c r="I19" s="29">
        <f t="shared" si="4"/>
        <v>8.727</v>
      </c>
      <c r="J19" s="29">
        <f t="shared" si="5"/>
        <v>8.63973</v>
      </c>
      <c r="K19" s="29">
        <f t="shared" si="6"/>
        <v>104.63673</v>
      </c>
      <c r="L19" s="29">
        <f t="shared" si="7"/>
        <v>21024.6581589</v>
      </c>
      <c r="M19" s="39" t="s">
        <v>43</v>
      </c>
    </row>
    <row r="20" s="1" customFormat="1" ht="78.75" outlineLevel="1" spans="1:13">
      <c r="A20" s="24">
        <v>2</v>
      </c>
      <c r="B20" s="30" t="s">
        <v>76</v>
      </c>
      <c r="C20" s="30" t="s">
        <v>78</v>
      </c>
      <c r="D20" s="31" t="s">
        <v>42</v>
      </c>
      <c r="E20" s="27">
        <v>31.55</v>
      </c>
      <c r="F20" s="24">
        <v>27.39</v>
      </c>
      <c r="G20" s="29">
        <f>36.17+10</f>
        <v>46.17</v>
      </c>
      <c r="H20" s="29">
        <v>1.24</v>
      </c>
      <c r="I20" s="29">
        <f t="shared" si="4"/>
        <v>7.48</v>
      </c>
      <c r="J20" s="29">
        <f t="shared" si="5"/>
        <v>7.4052</v>
      </c>
      <c r="K20" s="29">
        <f t="shared" si="6"/>
        <v>89.6852</v>
      </c>
      <c r="L20" s="29">
        <f t="shared" si="7"/>
        <v>2829.56806</v>
      </c>
      <c r="M20" s="39" t="s">
        <v>43</v>
      </c>
    </row>
    <row r="21" s="1" customFormat="1" ht="78.75" outlineLevel="1" spans="1:13">
      <c r="A21" s="24">
        <v>3</v>
      </c>
      <c r="B21" s="30" t="s">
        <v>76</v>
      </c>
      <c r="C21" s="30" t="s">
        <v>79</v>
      </c>
      <c r="D21" s="31" t="s">
        <v>42</v>
      </c>
      <c r="E21" s="27">
        <v>1.15</v>
      </c>
      <c r="F21" s="28">
        <v>24.65</v>
      </c>
      <c r="G21" s="29">
        <f>30.67+10</f>
        <v>40.67</v>
      </c>
      <c r="H21" s="29">
        <v>1.31</v>
      </c>
      <c r="I21" s="29">
        <f t="shared" si="4"/>
        <v>6.663</v>
      </c>
      <c r="J21" s="29">
        <f t="shared" si="5"/>
        <v>6.59637</v>
      </c>
      <c r="K21" s="29">
        <f t="shared" si="6"/>
        <v>79.88937</v>
      </c>
      <c r="L21" s="29">
        <f t="shared" si="7"/>
        <v>91.8727755</v>
      </c>
      <c r="M21" s="39" t="s">
        <v>43</v>
      </c>
    </row>
    <row r="22" s="1" customFormat="1" ht="78.75" outlineLevel="1" spans="1:13">
      <c r="A22" s="24">
        <v>4</v>
      </c>
      <c r="B22" s="30" t="s">
        <v>76</v>
      </c>
      <c r="C22" s="30" t="s">
        <v>80</v>
      </c>
      <c r="D22" s="31" t="s">
        <v>42</v>
      </c>
      <c r="E22" s="27">
        <v>48.85</v>
      </c>
      <c r="F22" s="24">
        <v>35.77</v>
      </c>
      <c r="G22" s="29">
        <f>23.33+5</f>
        <v>28.33</v>
      </c>
      <c r="H22" s="29">
        <v>2.15</v>
      </c>
      <c r="I22" s="29">
        <f t="shared" si="4"/>
        <v>6.625</v>
      </c>
      <c r="J22" s="29">
        <f t="shared" si="5"/>
        <v>6.55875</v>
      </c>
      <c r="K22" s="29">
        <f t="shared" si="6"/>
        <v>79.43375</v>
      </c>
      <c r="L22" s="29">
        <f t="shared" si="7"/>
        <v>3880.3386875</v>
      </c>
      <c r="M22" s="39" t="s">
        <v>43</v>
      </c>
    </row>
    <row r="23" s="1" customFormat="1" ht="78.75" outlineLevel="1" spans="1:13">
      <c r="A23" s="24">
        <v>5</v>
      </c>
      <c r="B23" s="30" t="s">
        <v>76</v>
      </c>
      <c r="C23" s="30" t="s">
        <v>81</v>
      </c>
      <c r="D23" s="31" t="s">
        <v>42</v>
      </c>
      <c r="E23" s="27">
        <v>81.53</v>
      </c>
      <c r="F23" s="24">
        <v>31.86</v>
      </c>
      <c r="G23" s="29">
        <f>17.17+5</f>
        <v>22.17</v>
      </c>
      <c r="H23" s="29">
        <v>2.18</v>
      </c>
      <c r="I23" s="29">
        <f t="shared" si="4"/>
        <v>5.621</v>
      </c>
      <c r="J23" s="29">
        <f t="shared" si="5"/>
        <v>5.56479</v>
      </c>
      <c r="K23" s="29">
        <f t="shared" si="6"/>
        <v>67.39579</v>
      </c>
      <c r="L23" s="29">
        <f t="shared" si="7"/>
        <v>5494.7787587</v>
      </c>
      <c r="M23" s="39" t="s">
        <v>43</v>
      </c>
    </row>
    <row r="24" s="1" customFormat="1" ht="78.75" outlineLevel="1" spans="1:13">
      <c r="A24" s="24">
        <v>6</v>
      </c>
      <c r="B24" s="30" t="s">
        <v>76</v>
      </c>
      <c r="C24" s="30" t="s">
        <v>82</v>
      </c>
      <c r="D24" s="31" t="s">
        <v>42</v>
      </c>
      <c r="E24" s="27">
        <v>288.73</v>
      </c>
      <c r="F24" s="24">
        <v>22.4</v>
      </c>
      <c r="G24" s="29">
        <f>15.17+5</f>
        <v>20.17</v>
      </c>
      <c r="H24" s="29">
        <v>1.78</v>
      </c>
      <c r="I24" s="29">
        <f t="shared" si="4"/>
        <v>4.435</v>
      </c>
      <c r="J24" s="29">
        <f t="shared" si="5"/>
        <v>4.39065</v>
      </c>
      <c r="K24" s="29">
        <f t="shared" si="6"/>
        <v>53.17565</v>
      </c>
      <c r="L24" s="29">
        <f t="shared" si="7"/>
        <v>15353.4054245</v>
      </c>
      <c r="M24" s="39" t="s">
        <v>43</v>
      </c>
    </row>
    <row r="25" s="1" customFormat="1" ht="78.75" outlineLevel="1" spans="1:13">
      <c r="A25" s="24">
        <v>7</v>
      </c>
      <c r="B25" s="30" t="s">
        <v>76</v>
      </c>
      <c r="C25" s="30" t="s">
        <v>83</v>
      </c>
      <c r="D25" s="31" t="s">
        <v>42</v>
      </c>
      <c r="E25" s="27">
        <f>435.77+0.4*333</f>
        <v>568.97</v>
      </c>
      <c r="F25" s="24">
        <v>18.79</v>
      </c>
      <c r="G25" s="29">
        <f>11.17+5</f>
        <v>16.17</v>
      </c>
      <c r="H25" s="29">
        <v>1.46</v>
      </c>
      <c r="I25" s="29">
        <f t="shared" si="4"/>
        <v>3.642</v>
      </c>
      <c r="J25" s="29">
        <f t="shared" si="5"/>
        <v>3.60558</v>
      </c>
      <c r="K25" s="29">
        <f t="shared" si="6"/>
        <v>43.66758</v>
      </c>
      <c r="L25" s="29">
        <f t="shared" si="7"/>
        <v>24845.5429926</v>
      </c>
      <c r="M25" s="39" t="s">
        <v>43</v>
      </c>
    </row>
    <row r="26" s="1" customFormat="1" ht="45" outlineLevel="1" spans="1:13">
      <c r="A26" s="24">
        <v>8</v>
      </c>
      <c r="B26" s="25" t="s">
        <v>45</v>
      </c>
      <c r="C26" s="25" t="s">
        <v>46</v>
      </c>
      <c r="D26" s="26" t="s">
        <v>47</v>
      </c>
      <c r="E26" s="27">
        <v>348.1</v>
      </c>
      <c r="F26" s="28">
        <v>12.5</v>
      </c>
      <c r="G26" s="29">
        <v>3.92</v>
      </c>
      <c r="H26" s="29">
        <v>4.5</v>
      </c>
      <c r="I26" s="29">
        <f t="shared" si="4"/>
        <v>2.092</v>
      </c>
      <c r="J26" s="29">
        <f t="shared" si="5"/>
        <v>2.07108</v>
      </c>
      <c r="K26" s="29">
        <f t="shared" si="6"/>
        <v>25.08308</v>
      </c>
      <c r="L26" s="29">
        <f t="shared" si="7"/>
        <v>8731.420148</v>
      </c>
      <c r="M26" s="39" t="s">
        <v>48</v>
      </c>
    </row>
    <row r="27" s="1" customFormat="1" ht="56.25" outlineLevel="1" spans="1:13">
      <c r="A27" s="24">
        <v>9</v>
      </c>
      <c r="B27" s="30" t="s">
        <v>84</v>
      </c>
      <c r="C27" s="30" t="s">
        <v>85</v>
      </c>
      <c r="D27" s="31" t="s">
        <v>60</v>
      </c>
      <c r="E27" s="27">
        <f>333-12+10</f>
        <v>331</v>
      </c>
      <c r="F27" s="24">
        <v>10.74</v>
      </c>
      <c r="G27" s="29">
        <v>6.9</v>
      </c>
      <c r="H27" s="29">
        <v>3.26</v>
      </c>
      <c r="I27" s="29">
        <f t="shared" si="4"/>
        <v>2.09</v>
      </c>
      <c r="J27" s="29">
        <f t="shared" si="5"/>
        <v>2.0691</v>
      </c>
      <c r="K27" s="29">
        <f t="shared" si="6"/>
        <v>25.0591</v>
      </c>
      <c r="L27" s="29">
        <f t="shared" si="7"/>
        <v>8294.5621</v>
      </c>
      <c r="M27" s="39" t="s">
        <v>86</v>
      </c>
    </row>
    <row r="28" s="1" customFormat="1" ht="56.25" outlineLevel="1" spans="1:13">
      <c r="A28" s="24">
        <v>10</v>
      </c>
      <c r="B28" s="30" t="s">
        <v>84</v>
      </c>
      <c r="C28" s="30" t="s">
        <v>87</v>
      </c>
      <c r="D28" s="31" t="s">
        <v>60</v>
      </c>
      <c r="E28" s="27">
        <f>12+10</f>
        <v>22</v>
      </c>
      <c r="F28" s="24">
        <v>10.74</v>
      </c>
      <c r="G28" s="29">
        <v>6.9</v>
      </c>
      <c r="H28" s="29">
        <v>3.26</v>
      </c>
      <c r="I28" s="29">
        <f t="shared" si="4"/>
        <v>2.09</v>
      </c>
      <c r="J28" s="29">
        <f t="shared" si="5"/>
        <v>2.0691</v>
      </c>
      <c r="K28" s="29">
        <f t="shared" si="6"/>
        <v>25.0591</v>
      </c>
      <c r="L28" s="29">
        <f t="shared" si="7"/>
        <v>551.3002</v>
      </c>
      <c r="M28" s="39" t="s">
        <v>86</v>
      </c>
    </row>
    <row r="29" s="1" customFormat="1" ht="56.25" outlineLevel="1" spans="1:13">
      <c r="A29" s="24">
        <v>11</v>
      </c>
      <c r="B29" s="30" t="s">
        <v>88</v>
      </c>
      <c r="C29" s="30" t="s">
        <v>89</v>
      </c>
      <c r="D29" s="31" t="s">
        <v>60</v>
      </c>
      <c r="E29" s="27">
        <v>3</v>
      </c>
      <c r="F29" s="24">
        <v>129.24</v>
      </c>
      <c r="G29" s="24">
        <v>58</v>
      </c>
      <c r="H29" s="29">
        <v>15.5</v>
      </c>
      <c r="I29" s="29">
        <f t="shared" si="4"/>
        <v>20.274</v>
      </c>
      <c r="J29" s="29">
        <f t="shared" si="5"/>
        <v>20.07126</v>
      </c>
      <c r="K29" s="29">
        <f t="shared" si="6"/>
        <v>243.08526</v>
      </c>
      <c r="L29" s="29">
        <f t="shared" si="7"/>
        <v>729.25578</v>
      </c>
      <c r="M29" s="39" t="s">
        <v>86</v>
      </c>
    </row>
    <row r="30" s="1" customFormat="1" ht="45" outlineLevel="1" spans="1:13">
      <c r="A30" s="24">
        <v>12</v>
      </c>
      <c r="B30" s="30" t="s">
        <v>58</v>
      </c>
      <c r="C30" s="30" t="s">
        <v>90</v>
      </c>
      <c r="D30" s="31" t="s">
        <v>60</v>
      </c>
      <c r="E30" s="27">
        <v>3</v>
      </c>
      <c r="F30" s="24">
        <v>79.59</v>
      </c>
      <c r="G30" s="24">
        <v>70</v>
      </c>
      <c r="H30" s="29">
        <v>18.2</v>
      </c>
      <c r="I30" s="29">
        <f t="shared" si="4"/>
        <v>16.779</v>
      </c>
      <c r="J30" s="29">
        <f t="shared" si="5"/>
        <v>16.61121</v>
      </c>
      <c r="K30" s="29">
        <f t="shared" si="6"/>
        <v>201.18021</v>
      </c>
      <c r="L30" s="29">
        <f t="shared" si="7"/>
        <v>603.54063</v>
      </c>
      <c r="M30" s="39" t="s">
        <v>86</v>
      </c>
    </row>
    <row r="31" s="1" customFormat="1" ht="45" outlineLevel="1" spans="1:13">
      <c r="A31" s="24">
        <v>13</v>
      </c>
      <c r="B31" s="30" t="s">
        <v>58</v>
      </c>
      <c r="C31" s="30" t="s">
        <v>91</v>
      </c>
      <c r="D31" s="31" t="s">
        <v>60</v>
      </c>
      <c r="E31" s="27">
        <v>3</v>
      </c>
      <c r="F31" s="24">
        <v>79.59</v>
      </c>
      <c r="G31" s="24">
        <v>45</v>
      </c>
      <c r="H31" s="29">
        <v>18.2</v>
      </c>
      <c r="I31" s="29">
        <f t="shared" si="4"/>
        <v>14.279</v>
      </c>
      <c r="J31" s="29">
        <f t="shared" si="5"/>
        <v>14.13621</v>
      </c>
      <c r="K31" s="29">
        <f t="shared" si="6"/>
        <v>171.20521</v>
      </c>
      <c r="L31" s="29">
        <f t="shared" si="7"/>
        <v>513.61563</v>
      </c>
      <c r="M31" s="39" t="s">
        <v>61</v>
      </c>
    </row>
    <row r="32" s="1" customFormat="1" ht="33.75" outlineLevel="1" spans="1:13">
      <c r="A32" s="24">
        <v>14</v>
      </c>
      <c r="B32" s="25" t="s">
        <v>62</v>
      </c>
      <c r="C32" s="25" t="s">
        <v>63</v>
      </c>
      <c r="D32" s="26" t="s">
        <v>64</v>
      </c>
      <c r="E32" s="27">
        <f>E29+E30+E31</f>
        <v>9</v>
      </c>
      <c r="F32" s="24">
        <v>65.22</v>
      </c>
      <c r="G32" s="24">
        <v>15</v>
      </c>
      <c r="H32" s="29">
        <v>36.25</v>
      </c>
      <c r="I32" s="29">
        <f t="shared" si="4"/>
        <v>11.647</v>
      </c>
      <c r="J32" s="29">
        <f t="shared" si="5"/>
        <v>11.53053</v>
      </c>
      <c r="K32" s="29">
        <f t="shared" si="6"/>
        <v>139.64753</v>
      </c>
      <c r="L32" s="29">
        <f t="shared" si="7"/>
        <v>1256.82777</v>
      </c>
      <c r="M32" s="39" t="s">
        <v>61</v>
      </c>
    </row>
    <row r="33" s="1" customFormat="1" ht="45" outlineLevel="1" spans="1:13">
      <c r="A33" s="24">
        <v>15</v>
      </c>
      <c r="B33" s="30" t="s">
        <v>65</v>
      </c>
      <c r="C33" s="30" t="s">
        <v>66</v>
      </c>
      <c r="D33" s="31" t="s">
        <v>60</v>
      </c>
      <c r="E33" s="27">
        <v>1</v>
      </c>
      <c r="F33" s="24">
        <v>19.59</v>
      </c>
      <c r="G33" s="24">
        <v>15</v>
      </c>
      <c r="H33" s="29">
        <v>5.54</v>
      </c>
      <c r="I33" s="29">
        <f t="shared" si="4"/>
        <v>4.013</v>
      </c>
      <c r="J33" s="29">
        <f t="shared" si="5"/>
        <v>3.97287</v>
      </c>
      <c r="K33" s="29">
        <f t="shared" si="6"/>
        <v>48.11587</v>
      </c>
      <c r="L33" s="29">
        <f t="shared" si="7"/>
        <v>48.11587</v>
      </c>
      <c r="M33" s="39" t="s">
        <v>61</v>
      </c>
    </row>
    <row r="34" s="1" customFormat="1" ht="45" outlineLevel="1" spans="1:13">
      <c r="A34" s="24">
        <v>16</v>
      </c>
      <c r="B34" s="30" t="s">
        <v>67</v>
      </c>
      <c r="C34" s="30" t="s">
        <v>68</v>
      </c>
      <c r="D34" s="31" t="s">
        <v>60</v>
      </c>
      <c r="E34" s="27">
        <v>1</v>
      </c>
      <c r="F34" s="28">
        <v>14.37</v>
      </c>
      <c r="G34" s="24">
        <v>25</v>
      </c>
      <c r="H34" s="29">
        <v>6.4</v>
      </c>
      <c r="I34" s="29">
        <f t="shared" si="4"/>
        <v>4.577</v>
      </c>
      <c r="J34" s="29">
        <f t="shared" si="5"/>
        <v>4.53123</v>
      </c>
      <c r="K34" s="29">
        <f t="shared" si="6"/>
        <v>54.87823</v>
      </c>
      <c r="L34" s="29">
        <f t="shared" si="7"/>
        <v>54.87823</v>
      </c>
      <c r="M34" s="39" t="s">
        <v>61</v>
      </c>
    </row>
    <row r="35" s="1" customFormat="1" ht="45" outlineLevel="1" spans="1:13">
      <c r="A35" s="24">
        <v>17</v>
      </c>
      <c r="B35" s="30" t="s">
        <v>92</v>
      </c>
      <c r="C35" s="30" t="s">
        <v>93</v>
      </c>
      <c r="D35" s="31" t="s">
        <v>94</v>
      </c>
      <c r="E35" s="27">
        <v>1</v>
      </c>
      <c r="F35" s="24">
        <v>130.92</v>
      </c>
      <c r="G35" s="24">
        <v>30</v>
      </c>
      <c r="H35" s="29">
        <v>9.2</v>
      </c>
      <c r="I35" s="29">
        <f t="shared" si="4"/>
        <v>17.012</v>
      </c>
      <c r="J35" s="29">
        <f t="shared" si="5"/>
        <v>16.84188</v>
      </c>
      <c r="K35" s="29">
        <f t="shared" si="6"/>
        <v>203.97388</v>
      </c>
      <c r="L35" s="29">
        <f t="shared" si="7"/>
        <v>203.97388</v>
      </c>
      <c r="M35" s="39" t="s">
        <v>61</v>
      </c>
    </row>
    <row r="36" s="1" customFormat="1" ht="45" outlineLevel="1" spans="1:13">
      <c r="A36" s="24">
        <v>18</v>
      </c>
      <c r="B36" s="30" t="s">
        <v>95</v>
      </c>
      <c r="C36" s="30" t="s">
        <v>96</v>
      </c>
      <c r="D36" s="31" t="s">
        <v>94</v>
      </c>
      <c r="E36" s="27">
        <v>2</v>
      </c>
      <c r="F36" s="24">
        <v>130.92</v>
      </c>
      <c r="G36" s="24">
        <v>25</v>
      </c>
      <c r="H36" s="29">
        <v>9.2</v>
      </c>
      <c r="I36" s="29">
        <f t="shared" si="4"/>
        <v>16.512</v>
      </c>
      <c r="J36" s="29">
        <f t="shared" si="5"/>
        <v>16.34688</v>
      </c>
      <c r="K36" s="29">
        <f t="shared" si="6"/>
        <v>197.97888</v>
      </c>
      <c r="L36" s="29">
        <f t="shared" si="7"/>
        <v>395.95776</v>
      </c>
      <c r="M36" s="39" t="s">
        <v>61</v>
      </c>
    </row>
    <row r="37" s="1" customFormat="1" outlineLevel="1" spans="1:13">
      <c r="A37" s="24">
        <v>19</v>
      </c>
      <c r="B37" s="30" t="s">
        <v>97</v>
      </c>
      <c r="C37" s="30" t="s">
        <v>98</v>
      </c>
      <c r="D37" s="31" t="s">
        <v>71</v>
      </c>
      <c r="E37" s="27">
        <v>1</v>
      </c>
      <c r="F37" s="24">
        <f>366.15*7</f>
        <v>2563.05</v>
      </c>
      <c r="G37" s="29">
        <v>0</v>
      </c>
      <c r="H37" s="29">
        <v>185</v>
      </c>
      <c r="I37" s="29">
        <f t="shared" si="4"/>
        <v>274.805</v>
      </c>
      <c r="J37" s="29">
        <f t="shared" si="5"/>
        <v>272.05695</v>
      </c>
      <c r="K37" s="29">
        <f t="shared" ref="K37:K69" si="8">F37+G37+H37+I37+J37</f>
        <v>3294.91195</v>
      </c>
      <c r="L37" s="29">
        <f t="shared" ref="L37:L69" si="9">K37*E37</f>
        <v>3294.91195</v>
      </c>
      <c r="M37" s="39"/>
    </row>
    <row r="38" s="2" customFormat="1" outlineLevel="1" spans="1:13">
      <c r="A38" s="20" t="s">
        <v>99</v>
      </c>
      <c r="B38" s="21" t="s">
        <v>100</v>
      </c>
      <c r="C38" s="21"/>
      <c r="D38" s="22"/>
      <c r="E38" s="22"/>
      <c r="F38" s="20"/>
      <c r="G38" s="23"/>
      <c r="H38" s="29"/>
      <c r="I38" s="29">
        <f t="shared" si="4"/>
        <v>0</v>
      </c>
      <c r="J38" s="29">
        <f t="shared" si="5"/>
        <v>0</v>
      </c>
      <c r="K38" s="29">
        <f t="shared" si="8"/>
        <v>0</v>
      </c>
      <c r="L38" s="29">
        <f t="shared" si="9"/>
        <v>0</v>
      </c>
      <c r="M38" s="38"/>
    </row>
    <row r="39" s="1" customFormat="1" ht="101.25" outlineLevel="1" spans="1:13">
      <c r="A39" s="24">
        <v>1</v>
      </c>
      <c r="B39" s="25" t="s">
        <v>101</v>
      </c>
      <c r="C39" s="25" t="s">
        <v>102</v>
      </c>
      <c r="D39" s="26" t="s">
        <v>103</v>
      </c>
      <c r="E39" s="27">
        <v>1</v>
      </c>
      <c r="F39" s="24">
        <v>928.1</v>
      </c>
      <c r="G39" s="24">
        <v>820</v>
      </c>
      <c r="H39" s="29">
        <v>193.9</v>
      </c>
      <c r="I39" s="29">
        <f t="shared" si="4"/>
        <v>194.2</v>
      </c>
      <c r="J39" s="29">
        <f t="shared" si="5"/>
        <v>192.258</v>
      </c>
      <c r="K39" s="29">
        <f t="shared" si="8"/>
        <v>2328.458</v>
      </c>
      <c r="L39" s="29">
        <f t="shared" si="9"/>
        <v>2328.458</v>
      </c>
      <c r="M39" s="39" t="s">
        <v>104</v>
      </c>
    </row>
    <row r="40" s="1" customFormat="1" ht="101.25" outlineLevel="1" spans="1:13">
      <c r="A40" s="24">
        <v>2</v>
      </c>
      <c r="B40" s="25" t="s">
        <v>105</v>
      </c>
      <c r="C40" s="25" t="s">
        <v>106</v>
      </c>
      <c r="D40" s="26" t="s">
        <v>103</v>
      </c>
      <c r="E40" s="27">
        <v>1</v>
      </c>
      <c r="F40" s="24">
        <v>928.1</v>
      </c>
      <c r="G40" s="24">
        <v>2145</v>
      </c>
      <c r="H40" s="29">
        <v>193.9</v>
      </c>
      <c r="I40" s="29">
        <f t="shared" si="4"/>
        <v>326.7</v>
      </c>
      <c r="J40" s="29">
        <f t="shared" si="5"/>
        <v>323.433</v>
      </c>
      <c r="K40" s="29">
        <f t="shared" si="8"/>
        <v>3917.133</v>
      </c>
      <c r="L40" s="29">
        <f t="shared" si="9"/>
        <v>3917.133</v>
      </c>
      <c r="M40" s="39" t="s">
        <v>104</v>
      </c>
    </row>
    <row r="41" s="1" customFormat="1" ht="90" outlineLevel="1" spans="1:13">
      <c r="A41" s="24">
        <v>3</v>
      </c>
      <c r="B41" s="25" t="s">
        <v>107</v>
      </c>
      <c r="C41" s="25" t="s">
        <v>108</v>
      </c>
      <c r="D41" s="26" t="s">
        <v>103</v>
      </c>
      <c r="E41" s="27">
        <v>1</v>
      </c>
      <c r="F41" s="24">
        <v>1563</v>
      </c>
      <c r="G41" s="24">
        <v>2530</v>
      </c>
      <c r="H41" s="29">
        <v>289</v>
      </c>
      <c r="I41" s="29">
        <f t="shared" si="4"/>
        <v>438.2</v>
      </c>
      <c r="J41" s="29">
        <f t="shared" si="5"/>
        <v>433.818</v>
      </c>
      <c r="K41" s="29">
        <f t="shared" si="8"/>
        <v>5254.018</v>
      </c>
      <c r="L41" s="29">
        <f t="shared" si="9"/>
        <v>5254.018</v>
      </c>
      <c r="M41" s="39" t="s">
        <v>104</v>
      </c>
    </row>
    <row r="42" s="1" customFormat="1" ht="90" outlineLevel="1" spans="1:13">
      <c r="A42" s="24">
        <v>4</v>
      </c>
      <c r="B42" s="25" t="s">
        <v>109</v>
      </c>
      <c r="C42" s="25" t="s">
        <v>110</v>
      </c>
      <c r="D42" s="26" t="s">
        <v>103</v>
      </c>
      <c r="E42" s="27">
        <v>7</v>
      </c>
      <c r="F42" s="24">
        <v>135.8</v>
      </c>
      <c r="G42" s="24">
        <v>50</v>
      </c>
      <c r="H42" s="29">
        <v>25.6</v>
      </c>
      <c r="I42" s="29">
        <f t="shared" si="4"/>
        <v>21.14</v>
      </c>
      <c r="J42" s="29">
        <f t="shared" si="5"/>
        <v>20.9286</v>
      </c>
      <c r="K42" s="29">
        <f t="shared" si="8"/>
        <v>253.4686</v>
      </c>
      <c r="L42" s="29">
        <f t="shared" si="9"/>
        <v>1774.2802</v>
      </c>
      <c r="M42" s="39" t="s">
        <v>104</v>
      </c>
    </row>
    <row r="43" s="1" customFormat="1" ht="90" outlineLevel="1" spans="1:13">
      <c r="A43" s="24">
        <v>5</v>
      </c>
      <c r="B43" s="25" t="s">
        <v>109</v>
      </c>
      <c r="C43" s="25" t="s">
        <v>111</v>
      </c>
      <c r="D43" s="26" t="s">
        <v>103</v>
      </c>
      <c r="E43" s="27">
        <v>18</v>
      </c>
      <c r="F43" s="24">
        <v>135.8</v>
      </c>
      <c r="G43" s="24">
        <v>55</v>
      </c>
      <c r="H43" s="29">
        <v>25.6</v>
      </c>
      <c r="I43" s="29">
        <f t="shared" si="4"/>
        <v>21.64</v>
      </c>
      <c r="J43" s="29">
        <f t="shared" si="5"/>
        <v>21.4236</v>
      </c>
      <c r="K43" s="29">
        <f t="shared" si="8"/>
        <v>259.4636</v>
      </c>
      <c r="L43" s="29">
        <f t="shared" si="9"/>
        <v>4670.3448</v>
      </c>
      <c r="M43" s="39" t="s">
        <v>104</v>
      </c>
    </row>
    <row r="44" s="1" customFormat="1" ht="90" outlineLevel="1" spans="1:13">
      <c r="A44" s="24">
        <v>6</v>
      </c>
      <c r="B44" s="25" t="s">
        <v>112</v>
      </c>
      <c r="C44" s="25" t="s">
        <v>113</v>
      </c>
      <c r="D44" s="26" t="s">
        <v>103</v>
      </c>
      <c r="E44" s="27">
        <v>2</v>
      </c>
      <c r="F44" s="24">
        <v>14.75</v>
      </c>
      <c r="G44" s="24">
        <v>699</v>
      </c>
      <c r="H44" s="29">
        <v>1.2</v>
      </c>
      <c r="I44" s="29">
        <f t="shared" si="4"/>
        <v>71.495</v>
      </c>
      <c r="J44" s="29">
        <f t="shared" si="5"/>
        <v>70.78005</v>
      </c>
      <c r="K44" s="29">
        <f t="shared" si="8"/>
        <v>857.22505</v>
      </c>
      <c r="L44" s="29">
        <f t="shared" si="9"/>
        <v>1714.4501</v>
      </c>
      <c r="M44" s="39" t="s">
        <v>104</v>
      </c>
    </row>
    <row r="45" s="1" customFormat="1" ht="45" outlineLevel="1" spans="1:13">
      <c r="A45" s="24">
        <v>7</v>
      </c>
      <c r="B45" s="30" t="s">
        <v>114</v>
      </c>
      <c r="C45" s="30" t="s">
        <v>115</v>
      </c>
      <c r="D45" s="31" t="s">
        <v>116</v>
      </c>
      <c r="E45" s="27">
        <v>5.56</v>
      </c>
      <c r="F45" s="24">
        <v>53.22</v>
      </c>
      <c r="G45" s="24">
        <v>132</v>
      </c>
      <c r="H45" s="29">
        <v>24.2</v>
      </c>
      <c r="I45" s="29">
        <f t="shared" si="4"/>
        <v>20.942</v>
      </c>
      <c r="J45" s="29">
        <f t="shared" si="5"/>
        <v>20.73258</v>
      </c>
      <c r="K45" s="29">
        <f t="shared" si="8"/>
        <v>251.09458</v>
      </c>
      <c r="L45" s="29">
        <f t="shared" si="9"/>
        <v>1396.0858648</v>
      </c>
      <c r="M45" s="39"/>
    </row>
    <row r="46" s="1" customFormat="1" ht="112.5" outlineLevel="1" spans="1:13">
      <c r="A46" s="24">
        <v>8</v>
      </c>
      <c r="B46" s="30" t="s">
        <v>117</v>
      </c>
      <c r="C46" s="30" t="s">
        <v>118</v>
      </c>
      <c r="D46" s="31" t="s">
        <v>116</v>
      </c>
      <c r="E46" s="27">
        <v>36.52</v>
      </c>
      <c r="F46" s="24">
        <v>69.69</v>
      </c>
      <c r="G46" s="24">
        <v>36.9</v>
      </c>
      <c r="H46" s="29">
        <v>16.68</v>
      </c>
      <c r="I46" s="29">
        <f t="shared" si="4"/>
        <v>12.327</v>
      </c>
      <c r="J46" s="29">
        <f t="shared" si="5"/>
        <v>12.20373</v>
      </c>
      <c r="K46" s="29">
        <f t="shared" si="8"/>
        <v>147.80073</v>
      </c>
      <c r="L46" s="29">
        <f t="shared" si="9"/>
        <v>5397.6826596</v>
      </c>
      <c r="M46" s="39" t="s">
        <v>119</v>
      </c>
    </row>
    <row r="47" s="1" customFormat="1" ht="112.5" outlineLevel="1" spans="1:13">
      <c r="A47" s="24">
        <v>9</v>
      </c>
      <c r="B47" s="30" t="s">
        <v>117</v>
      </c>
      <c r="C47" s="30" t="s">
        <v>120</v>
      </c>
      <c r="D47" s="31" t="s">
        <v>116</v>
      </c>
      <c r="E47" s="27">
        <v>8.1</v>
      </c>
      <c r="F47" s="24">
        <v>44.05</v>
      </c>
      <c r="G47" s="24">
        <v>42.15</v>
      </c>
      <c r="H47" s="29">
        <v>17.18</v>
      </c>
      <c r="I47" s="29">
        <f t="shared" si="4"/>
        <v>10.338</v>
      </c>
      <c r="J47" s="29">
        <f t="shared" si="5"/>
        <v>10.23462</v>
      </c>
      <c r="K47" s="29">
        <f t="shared" si="8"/>
        <v>123.95262</v>
      </c>
      <c r="L47" s="29">
        <f t="shared" si="9"/>
        <v>1004.016222</v>
      </c>
      <c r="M47" s="39" t="s">
        <v>119</v>
      </c>
    </row>
    <row r="48" s="1" customFormat="1" ht="112.5" outlineLevel="1" spans="1:13">
      <c r="A48" s="24">
        <v>10</v>
      </c>
      <c r="B48" s="30" t="s">
        <v>121</v>
      </c>
      <c r="C48" s="30" t="s">
        <v>122</v>
      </c>
      <c r="D48" s="31" t="s">
        <v>116</v>
      </c>
      <c r="E48" s="27">
        <v>29.19</v>
      </c>
      <c r="F48" s="24">
        <v>44.05</v>
      </c>
      <c r="G48" s="24">
        <v>131</v>
      </c>
      <c r="H48" s="29">
        <v>26.1</v>
      </c>
      <c r="I48" s="29">
        <f t="shared" si="4"/>
        <v>20.115</v>
      </c>
      <c r="J48" s="29">
        <f t="shared" si="5"/>
        <v>19.91385</v>
      </c>
      <c r="K48" s="29">
        <f t="shared" si="8"/>
        <v>241.17885</v>
      </c>
      <c r="L48" s="29">
        <f t="shared" si="9"/>
        <v>7040.0106315</v>
      </c>
      <c r="M48" s="39" t="s">
        <v>119</v>
      </c>
    </row>
    <row r="49" s="1" customFormat="1" ht="45" outlineLevel="1" spans="1:13">
      <c r="A49" s="24">
        <v>11</v>
      </c>
      <c r="B49" s="30" t="s">
        <v>123</v>
      </c>
      <c r="C49" s="30" t="s">
        <v>124</v>
      </c>
      <c r="D49" s="31" t="s">
        <v>60</v>
      </c>
      <c r="E49" s="27">
        <v>1</v>
      </c>
      <c r="F49" s="24">
        <v>51.2</v>
      </c>
      <c r="G49" s="24">
        <v>131</v>
      </c>
      <c r="H49" s="29">
        <v>7.42</v>
      </c>
      <c r="I49" s="29">
        <f t="shared" si="4"/>
        <v>18.962</v>
      </c>
      <c r="J49" s="29">
        <f t="shared" si="5"/>
        <v>18.77238</v>
      </c>
      <c r="K49" s="29">
        <f t="shared" si="8"/>
        <v>227.35438</v>
      </c>
      <c r="L49" s="29">
        <f t="shared" si="9"/>
        <v>227.35438</v>
      </c>
      <c r="M49" s="39" t="s">
        <v>104</v>
      </c>
    </row>
    <row r="50" s="1" customFormat="1" ht="45" outlineLevel="1" spans="1:13">
      <c r="A50" s="24">
        <v>12</v>
      </c>
      <c r="B50" s="25" t="s">
        <v>123</v>
      </c>
      <c r="C50" s="25" t="s">
        <v>125</v>
      </c>
      <c r="D50" s="26" t="s">
        <v>60</v>
      </c>
      <c r="E50" s="27">
        <v>2</v>
      </c>
      <c r="F50" s="24">
        <v>51.2</v>
      </c>
      <c r="G50" s="24">
        <v>114</v>
      </c>
      <c r="H50" s="29">
        <v>7.42</v>
      </c>
      <c r="I50" s="29">
        <f t="shared" ref="I50:I81" si="10">(F50+G50+H50)*$I$4</f>
        <v>17.262</v>
      </c>
      <c r="J50" s="29">
        <f t="shared" ref="J50:J81" si="11">(F50+G50+H50+I50)*$J$4</f>
        <v>17.08938</v>
      </c>
      <c r="K50" s="29">
        <f t="shared" si="8"/>
        <v>206.97138</v>
      </c>
      <c r="L50" s="29">
        <f t="shared" si="9"/>
        <v>413.94276</v>
      </c>
      <c r="M50" s="39" t="s">
        <v>104</v>
      </c>
    </row>
    <row r="51" s="1" customFormat="1" ht="45" outlineLevel="1" spans="1:13">
      <c r="A51" s="24">
        <v>13</v>
      </c>
      <c r="B51" s="25" t="s">
        <v>123</v>
      </c>
      <c r="C51" s="25" t="s">
        <v>126</v>
      </c>
      <c r="D51" s="26" t="s">
        <v>60</v>
      </c>
      <c r="E51" s="27">
        <v>6</v>
      </c>
      <c r="F51" s="24">
        <v>51.2</v>
      </c>
      <c r="G51" s="24">
        <v>95</v>
      </c>
      <c r="H51" s="29">
        <v>7.42</v>
      </c>
      <c r="I51" s="29">
        <f t="shared" si="10"/>
        <v>15.362</v>
      </c>
      <c r="J51" s="29">
        <f t="shared" si="11"/>
        <v>15.20838</v>
      </c>
      <c r="K51" s="29">
        <f t="shared" si="8"/>
        <v>184.19038</v>
      </c>
      <c r="L51" s="29">
        <f t="shared" si="9"/>
        <v>1105.14228</v>
      </c>
      <c r="M51" s="39" t="s">
        <v>104</v>
      </c>
    </row>
    <row r="52" s="1" customFormat="1" ht="45" outlineLevel="1" spans="1:13">
      <c r="A52" s="24">
        <v>14</v>
      </c>
      <c r="B52" s="25" t="s">
        <v>127</v>
      </c>
      <c r="C52" s="25" t="s">
        <v>128</v>
      </c>
      <c r="D52" s="26" t="s">
        <v>60</v>
      </c>
      <c r="E52" s="27">
        <v>9</v>
      </c>
      <c r="F52" s="24">
        <v>127.67</v>
      </c>
      <c r="G52" s="24">
        <v>154</v>
      </c>
      <c r="H52" s="29">
        <v>19.82</v>
      </c>
      <c r="I52" s="29">
        <f t="shared" si="10"/>
        <v>30.149</v>
      </c>
      <c r="J52" s="29">
        <f t="shared" si="11"/>
        <v>29.84751</v>
      </c>
      <c r="K52" s="29">
        <f t="shared" si="8"/>
        <v>361.48651</v>
      </c>
      <c r="L52" s="29">
        <f t="shared" si="9"/>
        <v>3253.37859</v>
      </c>
      <c r="M52" s="39" t="s">
        <v>104</v>
      </c>
    </row>
    <row r="53" s="1" customFormat="1" ht="45" outlineLevel="1" spans="1:13">
      <c r="A53" s="24">
        <v>15</v>
      </c>
      <c r="B53" s="25" t="s">
        <v>127</v>
      </c>
      <c r="C53" s="25" t="s">
        <v>129</v>
      </c>
      <c r="D53" s="26" t="s">
        <v>60</v>
      </c>
      <c r="E53" s="27">
        <v>1</v>
      </c>
      <c r="F53" s="24">
        <v>127.67</v>
      </c>
      <c r="G53" s="24">
        <v>163</v>
      </c>
      <c r="H53" s="29">
        <v>19.82</v>
      </c>
      <c r="I53" s="29">
        <f t="shared" si="10"/>
        <v>31.049</v>
      </c>
      <c r="J53" s="29">
        <f t="shared" si="11"/>
        <v>30.73851</v>
      </c>
      <c r="K53" s="29">
        <f t="shared" si="8"/>
        <v>372.27751</v>
      </c>
      <c r="L53" s="29">
        <f t="shared" si="9"/>
        <v>372.27751</v>
      </c>
      <c r="M53" s="39" t="s">
        <v>104</v>
      </c>
    </row>
    <row r="54" s="1" customFormat="1" ht="45" outlineLevel="1" spans="1:13">
      <c r="A54" s="24">
        <v>16</v>
      </c>
      <c r="B54" s="25" t="s">
        <v>127</v>
      </c>
      <c r="C54" s="25" t="s">
        <v>130</v>
      </c>
      <c r="D54" s="26" t="s">
        <v>60</v>
      </c>
      <c r="E54" s="27">
        <v>1</v>
      </c>
      <c r="F54" s="24">
        <v>127.67</v>
      </c>
      <c r="G54" s="24">
        <v>163</v>
      </c>
      <c r="H54" s="29">
        <v>19.82</v>
      </c>
      <c r="I54" s="29">
        <f t="shared" si="10"/>
        <v>31.049</v>
      </c>
      <c r="J54" s="29">
        <f t="shared" si="11"/>
        <v>30.73851</v>
      </c>
      <c r="K54" s="29">
        <f t="shared" si="8"/>
        <v>372.27751</v>
      </c>
      <c r="L54" s="29">
        <f t="shared" si="9"/>
        <v>372.27751</v>
      </c>
      <c r="M54" s="39" t="s">
        <v>104</v>
      </c>
    </row>
    <row r="55" s="1" customFormat="1" ht="45" outlineLevel="1" spans="1:13">
      <c r="A55" s="24">
        <v>17</v>
      </c>
      <c r="B55" s="25" t="s">
        <v>127</v>
      </c>
      <c r="C55" s="25" t="s">
        <v>131</v>
      </c>
      <c r="D55" s="26" t="s">
        <v>60</v>
      </c>
      <c r="E55" s="27">
        <v>2</v>
      </c>
      <c r="F55" s="24">
        <v>30.63</v>
      </c>
      <c r="G55" s="24">
        <v>75</v>
      </c>
      <c r="H55" s="29">
        <v>9.1</v>
      </c>
      <c r="I55" s="29">
        <f t="shared" si="10"/>
        <v>11.473</v>
      </c>
      <c r="J55" s="29">
        <f t="shared" si="11"/>
        <v>11.35827</v>
      </c>
      <c r="K55" s="29">
        <f t="shared" si="8"/>
        <v>137.56127</v>
      </c>
      <c r="L55" s="29">
        <f t="shared" si="9"/>
        <v>275.12254</v>
      </c>
      <c r="M55" s="39" t="s">
        <v>104</v>
      </c>
    </row>
    <row r="56" s="1" customFormat="1" ht="45" outlineLevel="1" spans="1:13">
      <c r="A56" s="24">
        <v>18</v>
      </c>
      <c r="B56" s="25" t="s">
        <v>127</v>
      </c>
      <c r="C56" s="25" t="s">
        <v>132</v>
      </c>
      <c r="D56" s="26" t="s">
        <v>60</v>
      </c>
      <c r="E56" s="27">
        <v>15</v>
      </c>
      <c r="F56" s="24">
        <v>30.63</v>
      </c>
      <c r="G56" s="24">
        <v>81</v>
      </c>
      <c r="H56" s="29">
        <v>9.1</v>
      </c>
      <c r="I56" s="29">
        <f t="shared" si="10"/>
        <v>12.073</v>
      </c>
      <c r="J56" s="29">
        <f t="shared" si="11"/>
        <v>11.95227</v>
      </c>
      <c r="K56" s="29">
        <f t="shared" si="8"/>
        <v>144.75527</v>
      </c>
      <c r="L56" s="29">
        <f t="shared" si="9"/>
        <v>2171.32905</v>
      </c>
      <c r="M56" s="39" t="s">
        <v>104</v>
      </c>
    </row>
    <row r="57" s="1" customFormat="1" ht="45" outlineLevel="1" spans="1:13">
      <c r="A57" s="24">
        <v>19</v>
      </c>
      <c r="B57" s="25" t="s">
        <v>127</v>
      </c>
      <c r="C57" s="25" t="s">
        <v>133</v>
      </c>
      <c r="D57" s="26" t="s">
        <v>60</v>
      </c>
      <c r="E57" s="27">
        <v>1</v>
      </c>
      <c r="F57" s="24">
        <v>30.63</v>
      </c>
      <c r="G57" s="24">
        <v>124</v>
      </c>
      <c r="H57" s="29">
        <v>9.1</v>
      </c>
      <c r="I57" s="29">
        <f t="shared" si="10"/>
        <v>16.373</v>
      </c>
      <c r="J57" s="29">
        <f t="shared" si="11"/>
        <v>16.20927</v>
      </c>
      <c r="K57" s="29">
        <f t="shared" si="8"/>
        <v>196.31227</v>
      </c>
      <c r="L57" s="29">
        <f t="shared" si="9"/>
        <v>196.31227</v>
      </c>
      <c r="M57" s="39" t="s">
        <v>104</v>
      </c>
    </row>
    <row r="58" s="1" customFormat="1" ht="45" outlineLevel="1" spans="1:13">
      <c r="A58" s="24">
        <v>20</v>
      </c>
      <c r="B58" s="25" t="s">
        <v>134</v>
      </c>
      <c r="C58" s="25" t="s">
        <v>135</v>
      </c>
      <c r="D58" s="26" t="s">
        <v>60</v>
      </c>
      <c r="E58" s="27">
        <v>4</v>
      </c>
      <c r="F58" s="24">
        <v>314.21</v>
      </c>
      <c r="G58" s="24">
        <v>28</v>
      </c>
      <c r="H58" s="29">
        <v>45</v>
      </c>
      <c r="I58" s="29">
        <f t="shared" si="10"/>
        <v>38.721</v>
      </c>
      <c r="J58" s="29">
        <f t="shared" si="11"/>
        <v>38.33379</v>
      </c>
      <c r="K58" s="29">
        <f t="shared" si="8"/>
        <v>464.26479</v>
      </c>
      <c r="L58" s="29">
        <f t="shared" si="9"/>
        <v>1857.05916</v>
      </c>
      <c r="M58" s="39" t="s">
        <v>104</v>
      </c>
    </row>
    <row r="59" s="1" customFormat="1" ht="45" outlineLevel="1" spans="1:13">
      <c r="A59" s="24">
        <v>21</v>
      </c>
      <c r="B59" s="25" t="s">
        <v>134</v>
      </c>
      <c r="C59" s="25" t="s">
        <v>136</v>
      </c>
      <c r="D59" s="26" t="s">
        <v>60</v>
      </c>
      <c r="E59" s="27">
        <v>3</v>
      </c>
      <c r="F59" s="24">
        <v>314.21</v>
      </c>
      <c r="G59" s="24">
        <v>32</v>
      </c>
      <c r="H59" s="29">
        <v>45</v>
      </c>
      <c r="I59" s="29">
        <f t="shared" si="10"/>
        <v>39.121</v>
      </c>
      <c r="J59" s="29">
        <f t="shared" si="11"/>
        <v>38.72979</v>
      </c>
      <c r="K59" s="29">
        <f t="shared" si="8"/>
        <v>469.06079</v>
      </c>
      <c r="L59" s="29">
        <f t="shared" si="9"/>
        <v>1407.18237</v>
      </c>
      <c r="M59" s="39" t="s">
        <v>104</v>
      </c>
    </row>
    <row r="60" s="1" customFormat="1" ht="45" outlineLevel="1" spans="1:13">
      <c r="A60" s="24">
        <v>22</v>
      </c>
      <c r="B60" s="25" t="s">
        <v>137</v>
      </c>
      <c r="C60" s="25" t="s">
        <v>138</v>
      </c>
      <c r="D60" s="26" t="s">
        <v>116</v>
      </c>
      <c r="E60" s="27">
        <v>42.75</v>
      </c>
      <c r="F60" s="24">
        <v>137.47</v>
      </c>
      <c r="G60" s="29">
        <v>258</v>
      </c>
      <c r="H60" s="29">
        <v>25.5</v>
      </c>
      <c r="I60" s="29">
        <f t="shared" si="10"/>
        <v>42.097</v>
      </c>
      <c r="J60" s="29">
        <f t="shared" si="11"/>
        <v>41.67603</v>
      </c>
      <c r="K60" s="29">
        <f t="shared" si="8"/>
        <v>504.74303</v>
      </c>
      <c r="L60" s="29">
        <f t="shared" si="9"/>
        <v>21577.7645325</v>
      </c>
      <c r="M60" s="39" t="s">
        <v>139</v>
      </c>
    </row>
    <row r="61" s="1" customFormat="1" ht="56.25" outlineLevel="1" spans="1:13">
      <c r="A61" s="24">
        <v>23</v>
      </c>
      <c r="B61" s="25" t="s">
        <v>140</v>
      </c>
      <c r="C61" s="25" t="s">
        <v>141</v>
      </c>
      <c r="D61" s="26" t="s">
        <v>42</v>
      </c>
      <c r="E61" s="27">
        <v>15.72</v>
      </c>
      <c r="F61" s="24">
        <v>7.1</v>
      </c>
      <c r="G61" s="29">
        <v>15.7</v>
      </c>
      <c r="H61" s="29">
        <v>3.5</v>
      </c>
      <c r="I61" s="29">
        <f t="shared" si="10"/>
        <v>2.63</v>
      </c>
      <c r="J61" s="29">
        <f t="shared" si="11"/>
        <v>2.6037</v>
      </c>
      <c r="K61" s="29">
        <f t="shared" si="8"/>
        <v>31.5337</v>
      </c>
      <c r="L61" s="29">
        <f t="shared" si="9"/>
        <v>495.709764</v>
      </c>
      <c r="M61" s="39" t="s">
        <v>142</v>
      </c>
    </row>
    <row r="62" s="1" customFormat="1" ht="56.25" outlineLevel="1" spans="1:13">
      <c r="A62" s="24">
        <v>24</v>
      </c>
      <c r="B62" s="25" t="s">
        <v>143</v>
      </c>
      <c r="C62" s="25" t="s">
        <v>144</v>
      </c>
      <c r="D62" s="26" t="s">
        <v>42</v>
      </c>
      <c r="E62" s="27">
        <f>17.96*4</f>
        <v>71.84</v>
      </c>
      <c r="F62" s="24">
        <v>6.77</v>
      </c>
      <c r="G62" s="29">
        <v>9.5</v>
      </c>
      <c r="H62" s="29">
        <v>1.2</v>
      </c>
      <c r="I62" s="29">
        <f t="shared" si="10"/>
        <v>1.747</v>
      </c>
      <c r="J62" s="29">
        <f t="shared" si="11"/>
        <v>1.72953</v>
      </c>
      <c r="K62" s="29">
        <f t="shared" si="8"/>
        <v>20.94653</v>
      </c>
      <c r="L62" s="29">
        <f t="shared" si="9"/>
        <v>1504.7987152</v>
      </c>
      <c r="M62" s="39" t="s">
        <v>142</v>
      </c>
    </row>
    <row r="63" s="1" customFormat="1" ht="56.25" outlineLevel="1" spans="1:13">
      <c r="A63" s="24">
        <v>25</v>
      </c>
      <c r="B63" s="25" t="s">
        <v>143</v>
      </c>
      <c r="C63" s="25" t="s">
        <v>145</v>
      </c>
      <c r="D63" s="26" t="s">
        <v>42</v>
      </c>
      <c r="E63" s="27">
        <f>17.96+259.4*2</f>
        <v>536.76</v>
      </c>
      <c r="F63" s="24">
        <v>6.77</v>
      </c>
      <c r="G63" s="29">
        <v>9.5</v>
      </c>
      <c r="H63" s="29">
        <v>1.2</v>
      </c>
      <c r="I63" s="29">
        <f t="shared" si="10"/>
        <v>1.747</v>
      </c>
      <c r="J63" s="29">
        <f t="shared" si="11"/>
        <v>1.72953</v>
      </c>
      <c r="K63" s="29">
        <f t="shared" si="8"/>
        <v>20.94653</v>
      </c>
      <c r="L63" s="29">
        <f t="shared" si="9"/>
        <v>11243.2594428</v>
      </c>
      <c r="M63" s="39" t="s">
        <v>142</v>
      </c>
    </row>
    <row r="64" s="1" customFormat="1" ht="56.25" outlineLevel="1" spans="1:13">
      <c r="A64" s="24">
        <v>26</v>
      </c>
      <c r="B64" s="25" t="s">
        <v>146</v>
      </c>
      <c r="C64" s="25" t="s">
        <v>147</v>
      </c>
      <c r="D64" s="26" t="s">
        <v>42</v>
      </c>
      <c r="E64" s="27">
        <v>29.33</v>
      </c>
      <c r="F64" s="24">
        <v>7.1</v>
      </c>
      <c r="G64" s="29">
        <v>10.8</v>
      </c>
      <c r="H64" s="29">
        <v>3.5</v>
      </c>
      <c r="I64" s="29">
        <f t="shared" si="10"/>
        <v>2.14</v>
      </c>
      <c r="J64" s="29">
        <f t="shared" si="11"/>
        <v>2.1186</v>
      </c>
      <c r="K64" s="29">
        <f t="shared" si="8"/>
        <v>25.6586</v>
      </c>
      <c r="L64" s="29">
        <f t="shared" si="9"/>
        <v>752.566738</v>
      </c>
      <c r="M64" s="39" t="s">
        <v>142</v>
      </c>
    </row>
    <row r="65" s="1" customFormat="1" ht="56.25" outlineLevel="1" spans="1:13">
      <c r="A65" s="24">
        <v>27</v>
      </c>
      <c r="B65" s="25" t="s">
        <v>148</v>
      </c>
      <c r="C65" s="25" t="s">
        <v>149</v>
      </c>
      <c r="D65" s="26" t="s">
        <v>42</v>
      </c>
      <c r="E65" s="27">
        <v>30.41</v>
      </c>
      <c r="F65" s="24">
        <v>7.1</v>
      </c>
      <c r="G65" s="29">
        <v>24.4</v>
      </c>
      <c r="H65" s="29">
        <v>3.5</v>
      </c>
      <c r="I65" s="29">
        <f t="shared" si="10"/>
        <v>3.5</v>
      </c>
      <c r="J65" s="29">
        <f t="shared" si="11"/>
        <v>3.465</v>
      </c>
      <c r="K65" s="29">
        <f t="shared" si="8"/>
        <v>41.965</v>
      </c>
      <c r="L65" s="29">
        <f t="shared" si="9"/>
        <v>1276.15565</v>
      </c>
      <c r="M65" s="39" t="s">
        <v>142</v>
      </c>
    </row>
    <row r="66" s="1" customFormat="1" ht="33.75" outlineLevel="1" spans="1:13">
      <c r="A66" s="24">
        <v>28</v>
      </c>
      <c r="B66" s="25" t="s">
        <v>150</v>
      </c>
      <c r="C66" s="25" t="s">
        <v>151</v>
      </c>
      <c r="D66" s="26" t="s">
        <v>60</v>
      </c>
      <c r="E66" s="27">
        <v>2</v>
      </c>
      <c r="F66" s="24">
        <v>6.77</v>
      </c>
      <c r="G66" s="29">
        <v>9.5</v>
      </c>
      <c r="H66" s="29">
        <v>1.2</v>
      </c>
      <c r="I66" s="29">
        <f t="shared" si="10"/>
        <v>1.747</v>
      </c>
      <c r="J66" s="29">
        <f t="shared" si="11"/>
        <v>1.72953</v>
      </c>
      <c r="K66" s="29">
        <f t="shared" si="8"/>
        <v>20.94653</v>
      </c>
      <c r="L66" s="29">
        <f t="shared" si="9"/>
        <v>41.89306</v>
      </c>
      <c r="M66" s="39" t="s">
        <v>104</v>
      </c>
    </row>
    <row r="67" s="2" customFormat="1" outlineLevel="1" spans="1:13">
      <c r="A67" s="20" t="s">
        <v>152</v>
      </c>
      <c r="B67" s="21" t="s">
        <v>153</v>
      </c>
      <c r="C67" s="21"/>
      <c r="D67" s="22"/>
      <c r="E67" s="22"/>
      <c r="F67" s="20"/>
      <c r="G67" s="23"/>
      <c r="H67" s="29"/>
      <c r="I67" s="29">
        <f t="shared" si="10"/>
        <v>0</v>
      </c>
      <c r="J67" s="29">
        <f t="shared" si="11"/>
        <v>0</v>
      </c>
      <c r="K67" s="29">
        <f t="shared" si="8"/>
        <v>0</v>
      </c>
      <c r="L67" s="29">
        <f t="shared" si="9"/>
        <v>0</v>
      </c>
      <c r="M67" s="38"/>
    </row>
    <row r="68" s="1" customFormat="1" ht="56.25" outlineLevel="1" spans="1:13">
      <c r="A68" s="24">
        <v>1</v>
      </c>
      <c r="B68" s="25" t="s">
        <v>154</v>
      </c>
      <c r="C68" s="25" t="s">
        <v>155</v>
      </c>
      <c r="D68" s="26" t="s">
        <v>42</v>
      </c>
      <c r="E68" s="27">
        <f>5.4+259.4</f>
        <v>264.8</v>
      </c>
      <c r="F68" s="28">
        <v>0.92</v>
      </c>
      <c r="G68" s="29">
        <v>2.04</v>
      </c>
      <c r="H68" s="29">
        <v>0.85</v>
      </c>
      <c r="I68" s="29">
        <f t="shared" si="10"/>
        <v>0.381</v>
      </c>
      <c r="J68" s="29">
        <f t="shared" si="11"/>
        <v>0.37719</v>
      </c>
      <c r="K68" s="29">
        <f t="shared" si="8"/>
        <v>4.56819</v>
      </c>
      <c r="L68" s="29">
        <f t="shared" si="9"/>
        <v>1209.656712</v>
      </c>
      <c r="M68" s="39" t="s">
        <v>142</v>
      </c>
    </row>
    <row r="69" s="1" customFormat="1" ht="56.25" outlineLevel="1" spans="1:13">
      <c r="A69" s="24">
        <v>2</v>
      </c>
      <c r="B69" s="25" t="s">
        <v>154</v>
      </c>
      <c r="C69" s="25" t="s">
        <v>156</v>
      </c>
      <c r="D69" s="26" t="s">
        <v>42</v>
      </c>
      <c r="E69" s="27">
        <f>E68*2</f>
        <v>529.6</v>
      </c>
      <c r="F69" s="28">
        <v>0.92</v>
      </c>
      <c r="G69" s="29">
        <v>1.89</v>
      </c>
      <c r="H69" s="29">
        <v>0.85</v>
      </c>
      <c r="I69" s="29">
        <f t="shared" si="10"/>
        <v>0.366</v>
      </c>
      <c r="J69" s="29">
        <f t="shared" si="11"/>
        <v>0.36234</v>
      </c>
      <c r="K69" s="29">
        <f t="shared" si="8"/>
        <v>4.38834</v>
      </c>
      <c r="L69" s="29">
        <f t="shared" si="9"/>
        <v>2324.064864</v>
      </c>
      <c r="M69" s="39" t="s">
        <v>142</v>
      </c>
    </row>
    <row r="70" s="1" customFormat="1" ht="33.75" outlineLevel="1" spans="1:13">
      <c r="A70" s="24">
        <v>3</v>
      </c>
      <c r="B70" s="25" t="s">
        <v>157</v>
      </c>
      <c r="C70" s="25" t="s">
        <v>158</v>
      </c>
      <c r="D70" s="26" t="s">
        <v>60</v>
      </c>
      <c r="E70" s="27">
        <v>2</v>
      </c>
      <c r="F70" s="24">
        <v>285.43</v>
      </c>
      <c r="G70" s="29">
        <v>232</v>
      </c>
      <c r="H70" s="29">
        <v>16.5</v>
      </c>
      <c r="I70" s="29">
        <f t="shared" si="10"/>
        <v>53.393</v>
      </c>
      <c r="J70" s="29">
        <f t="shared" si="11"/>
        <v>52.85907</v>
      </c>
      <c r="K70" s="29">
        <f t="shared" ref="K70:K133" si="12">F70+G70+H70+I70+J70</f>
        <v>640.18207</v>
      </c>
      <c r="L70" s="29">
        <f t="shared" ref="L70:L133" si="13">K70*E70</f>
        <v>1280.36414</v>
      </c>
      <c r="M70" s="39" t="s">
        <v>159</v>
      </c>
    </row>
    <row r="71" s="1" customFormat="1" outlineLevel="1" spans="1:13">
      <c r="A71" s="20" t="s">
        <v>160</v>
      </c>
      <c r="B71" s="21" t="s">
        <v>161</v>
      </c>
      <c r="C71" s="21"/>
      <c r="D71" s="22"/>
      <c r="E71" s="22"/>
      <c r="F71" s="20"/>
      <c r="G71" s="29"/>
      <c r="H71" s="29"/>
      <c r="I71" s="29">
        <f t="shared" si="10"/>
        <v>0</v>
      </c>
      <c r="J71" s="29">
        <f t="shared" si="11"/>
        <v>0</v>
      </c>
      <c r="K71" s="29">
        <f t="shared" si="12"/>
        <v>0</v>
      </c>
      <c r="L71" s="29">
        <f t="shared" si="13"/>
        <v>0</v>
      </c>
      <c r="M71" s="39"/>
    </row>
    <row r="72" s="1" customFormat="1" ht="56.25" outlineLevel="1" spans="1:13">
      <c r="A72" s="24">
        <v>1</v>
      </c>
      <c r="B72" s="25" t="s">
        <v>154</v>
      </c>
      <c r="C72" s="25" t="s">
        <v>162</v>
      </c>
      <c r="D72" s="26" t="s">
        <v>42</v>
      </c>
      <c r="E72" s="27">
        <v>259.4</v>
      </c>
      <c r="F72" s="28">
        <v>0.92</v>
      </c>
      <c r="G72" s="29">
        <v>6.1</v>
      </c>
      <c r="H72" s="29">
        <v>0.85</v>
      </c>
      <c r="I72" s="29">
        <f t="shared" si="10"/>
        <v>0.787</v>
      </c>
      <c r="J72" s="29">
        <f t="shared" si="11"/>
        <v>0.77913</v>
      </c>
      <c r="K72" s="29">
        <f t="shared" si="12"/>
        <v>9.43613</v>
      </c>
      <c r="L72" s="29">
        <f t="shared" si="13"/>
        <v>2447.732122</v>
      </c>
      <c r="M72" s="39" t="s">
        <v>142</v>
      </c>
    </row>
    <row r="73" s="1" customFormat="1" ht="33.75" outlineLevel="1" spans="1:13">
      <c r="A73" s="24">
        <v>2</v>
      </c>
      <c r="B73" s="25" t="s">
        <v>157</v>
      </c>
      <c r="C73" s="25" t="s">
        <v>163</v>
      </c>
      <c r="D73" s="26" t="s">
        <v>60</v>
      </c>
      <c r="E73" s="27">
        <v>3</v>
      </c>
      <c r="F73" s="24">
        <v>325.43</v>
      </c>
      <c r="G73" s="29">
        <v>78.4</v>
      </c>
      <c r="H73" s="29">
        <v>66.5</v>
      </c>
      <c r="I73" s="29">
        <f t="shared" si="10"/>
        <v>47.033</v>
      </c>
      <c r="J73" s="29">
        <f t="shared" si="11"/>
        <v>46.56267</v>
      </c>
      <c r="K73" s="29">
        <f t="shared" si="12"/>
        <v>563.92567</v>
      </c>
      <c r="L73" s="29">
        <f t="shared" si="13"/>
        <v>1691.77701</v>
      </c>
      <c r="M73" s="39" t="s">
        <v>159</v>
      </c>
    </row>
    <row r="74" s="2" customFormat="1" ht="22.5" outlineLevel="1" spans="1:13">
      <c r="A74" s="20" t="s">
        <v>164</v>
      </c>
      <c r="B74" s="21" t="s">
        <v>165</v>
      </c>
      <c r="C74" s="21"/>
      <c r="D74" s="22"/>
      <c r="E74" s="22"/>
      <c r="F74" s="20"/>
      <c r="G74" s="29"/>
      <c r="H74" s="29"/>
      <c r="I74" s="29">
        <f t="shared" si="10"/>
        <v>0</v>
      </c>
      <c r="J74" s="29">
        <f t="shared" si="11"/>
        <v>0</v>
      </c>
      <c r="K74" s="29">
        <f t="shared" si="12"/>
        <v>0</v>
      </c>
      <c r="L74" s="29">
        <f t="shared" si="13"/>
        <v>0</v>
      </c>
      <c r="M74" s="38"/>
    </row>
    <row r="75" s="1" customFormat="1" ht="67.5" outlineLevel="1" spans="1:13">
      <c r="A75" s="24">
        <v>1</v>
      </c>
      <c r="B75" s="25" t="s">
        <v>154</v>
      </c>
      <c r="C75" s="25" t="s">
        <v>166</v>
      </c>
      <c r="D75" s="26" t="s">
        <v>42</v>
      </c>
      <c r="E75" s="27">
        <v>259.4</v>
      </c>
      <c r="F75" s="28">
        <v>0.92</v>
      </c>
      <c r="G75" s="29">
        <v>3.46</v>
      </c>
      <c r="H75" s="29">
        <v>0.85</v>
      </c>
      <c r="I75" s="29">
        <f t="shared" si="10"/>
        <v>0.523</v>
      </c>
      <c r="J75" s="29">
        <f t="shared" si="11"/>
        <v>0.51777</v>
      </c>
      <c r="K75" s="29">
        <f t="shared" si="12"/>
        <v>6.27077</v>
      </c>
      <c r="L75" s="29">
        <f t="shared" si="13"/>
        <v>1626.637738</v>
      </c>
      <c r="M75" s="39" t="s">
        <v>142</v>
      </c>
    </row>
    <row r="76" s="1" customFormat="1" ht="67.5" outlineLevel="1" spans="1:13">
      <c r="A76" s="24">
        <v>2</v>
      </c>
      <c r="B76" s="25" t="s">
        <v>154</v>
      </c>
      <c r="C76" s="25" t="s">
        <v>167</v>
      </c>
      <c r="D76" s="26" t="s">
        <v>42</v>
      </c>
      <c r="E76" s="27">
        <f>E75*2</f>
        <v>518.8</v>
      </c>
      <c r="F76" s="28">
        <v>0.92</v>
      </c>
      <c r="G76" s="29">
        <v>2.82</v>
      </c>
      <c r="H76" s="29">
        <v>0.85</v>
      </c>
      <c r="I76" s="29">
        <f t="shared" si="10"/>
        <v>0.459</v>
      </c>
      <c r="J76" s="29">
        <f t="shared" si="11"/>
        <v>0.45441</v>
      </c>
      <c r="K76" s="29">
        <f t="shared" si="12"/>
        <v>5.50341</v>
      </c>
      <c r="L76" s="29">
        <f t="shared" si="13"/>
        <v>2855.169108</v>
      </c>
      <c r="M76" s="39" t="s">
        <v>142</v>
      </c>
    </row>
    <row r="77" s="1" customFormat="1" ht="67.5" outlineLevel="1" spans="1:13">
      <c r="A77" s="24">
        <v>3</v>
      </c>
      <c r="B77" s="25" t="s">
        <v>154</v>
      </c>
      <c r="C77" s="25" t="s">
        <v>168</v>
      </c>
      <c r="D77" s="26" t="s">
        <v>42</v>
      </c>
      <c r="E77" s="27">
        <v>259.4</v>
      </c>
      <c r="F77" s="28">
        <v>0.92</v>
      </c>
      <c r="G77" s="29">
        <v>3.64</v>
      </c>
      <c r="H77" s="29">
        <v>0.85</v>
      </c>
      <c r="I77" s="29">
        <f t="shared" si="10"/>
        <v>0.541</v>
      </c>
      <c r="J77" s="29">
        <f t="shared" si="11"/>
        <v>0.53559</v>
      </c>
      <c r="K77" s="29">
        <f t="shared" si="12"/>
        <v>6.48659</v>
      </c>
      <c r="L77" s="29">
        <f t="shared" si="13"/>
        <v>1682.621446</v>
      </c>
      <c r="M77" s="39" t="s">
        <v>142</v>
      </c>
    </row>
    <row r="78" s="1" customFormat="1" ht="67.5" outlineLevel="1" spans="1:13">
      <c r="A78" s="24">
        <v>4</v>
      </c>
      <c r="B78" s="25" t="s">
        <v>154</v>
      </c>
      <c r="C78" s="25" t="s">
        <v>169</v>
      </c>
      <c r="D78" s="26" t="s">
        <v>42</v>
      </c>
      <c r="E78" s="27">
        <v>259.4</v>
      </c>
      <c r="F78" s="28">
        <v>0.92</v>
      </c>
      <c r="G78" s="29">
        <v>3.64</v>
      </c>
      <c r="H78" s="29">
        <v>0.85</v>
      </c>
      <c r="I78" s="29">
        <f t="shared" si="10"/>
        <v>0.541</v>
      </c>
      <c r="J78" s="29">
        <f t="shared" si="11"/>
        <v>0.53559</v>
      </c>
      <c r="K78" s="29">
        <f t="shared" si="12"/>
        <v>6.48659</v>
      </c>
      <c r="L78" s="29">
        <f t="shared" si="13"/>
        <v>1682.621446</v>
      </c>
      <c r="M78" s="39" t="s">
        <v>142</v>
      </c>
    </row>
    <row r="79" s="1" customFormat="1" ht="67.5" outlineLevel="1" spans="1:13">
      <c r="A79" s="24">
        <v>5</v>
      </c>
      <c r="B79" s="25" t="s">
        <v>154</v>
      </c>
      <c r="C79" s="25" t="s">
        <v>170</v>
      </c>
      <c r="D79" s="26" t="s">
        <v>42</v>
      </c>
      <c r="E79" s="27">
        <v>833.72</v>
      </c>
      <c r="F79" s="28">
        <v>0.92</v>
      </c>
      <c r="G79" s="29">
        <v>2.04</v>
      </c>
      <c r="H79" s="29">
        <v>0.85</v>
      </c>
      <c r="I79" s="29">
        <f t="shared" si="10"/>
        <v>0.381</v>
      </c>
      <c r="J79" s="29">
        <f t="shared" si="11"/>
        <v>0.37719</v>
      </c>
      <c r="K79" s="29">
        <f t="shared" si="12"/>
        <v>4.56819</v>
      </c>
      <c r="L79" s="29">
        <f t="shared" si="13"/>
        <v>3808.5913668</v>
      </c>
      <c r="M79" s="39" t="s">
        <v>142</v>
      </c>
    </row>
    <row r="80" s="1" customFormat="1" ht="67.5" outlineLevel="1" spans="1:13">
      <c r="A80" s="24">
        <v>6</v>
      </c>
      <c r="B80" s="25" t="s">
        <v>154</v>
      </c>
      <c r="C80" s="25" t="s">
        <v>171</v>
      </c>
      <c r="D80" s="26" t="s">
        <v>42</v>
      </c>
      <c r="E80" s="27">
        <v>566.62</v>
      </c>
      <c r="F80" s="28">
        <v>0.92</v>
      </c>
      <c r="G80" s="29">
        <v>1.93</v>
      </c>
      <c r="H80" s="29">
        <v>0.85</v>
      </c>
      <c r="I80" s="29">
        <f t="shared" si="10"/>
        <v>0.37</v>
      </c>
      <c r="J80" s="29">
        <f t="shared" si="11"/>
        <v>0.3663</v>
      </c>
      <c r="K80" s="29">
        <f t="shared" si="12"/>
        <v>4.4363</v>
      </c>
      <c r="L80" s="29">
        <f t="shared" si="13"/>
        <v>2513.696306</v>
      </c>
      <c r="M80" s="39" t="s">
        <v>142</v>
      </c>
    </row>
    <row r="81" s="1" customFormat="1" ht="67.5" outlineLevel="1" spans="1:13">
      <c r="A81" s="24">
        <v>7</v>
      </c>
      <c r="B81" s="25" t="s">
        <v>154</v>
      </c>
      <c r="C81" s="25" t="s">
        <v>172</v>
      </c>
      <c r="D81" s="26" t="s">
        <v>42</v>
      </c>
      <c r="E81" s="27">
        <v>199.97</v>
      </c>
      <c r="F81" s="28">
        <v>0.92</v>
      </c>
      <c r="G81" s="29">
        <v>3.64</v>
      </c>
      <c r="H81" s="29">
        <v>0.85</v>
      </c>
      <c r="I81" s="29">
        <f t="shared" si="10"/>
        <v>0.541</v>
      </c>
      <c r="J81" s="29">
        <f t="shared" si="11"/>
        <v>0.53559</v>
      </c>
      <c r="K81" s="29">
        <f t="shared" si="12"/>
        <v>6.48659</v>
      </c>
      <c r="L81" s="29">
        <f t="shared" si="13"/>
        <v>1297.1234023</v>
      </c>
      <c r="M81" s="39" t="s">
        <v>142</v>
      </c>
    </row>
    <row r="82" s="1" customFormat="1" ht="67.5" outlineLevel="1" spans="1:13">
      <c r="A82" s="24">
        <v>8</v>
      </c>
      <c r="B82" s="25" t="s">
        <v>154</v>
      </c>
      <c r="C82" s="25" t="s">
        <v>173</v>
      </c>
      <c r="D82" s="26" t="s">
        <v>42</v>
      </c>
      <c r="E82" s="27">
        <v>159.69</v>
      </c>
      <c r="F82" s="28">
        <v>0.92</v>
      </c>
      <c r="G82" s="29">
        <v>1.98</v>
      </c>
      <c r="H82" s="29">
        <v>0.85</v>
      </c>
      <c r="I82" s="29">
        <f t="shared" ref="I82:I101" si="14">(F82+G82+H82)*$I$4</f>
        <v>0.375</v>
      </c>
      <c r="J82" s="29">
        <f t="shared" ref="J82:J101" si="15">(F82+G82+H82+I82)*$J$4</f>
        <v>0.37125</v>
      </c>
      <c r="K82" s="29">
        <f t="shared" si="12"/>
        <v>4.49625</v>
      </c>
      <c r="L82" s="29">
        <f t="shared" si="13"/>
        <v>718.0061625</v>
      </c>
      <c r="M82" s="39" t="s">
        <v>142</v>
      </c>
    </row>
    <row r="83" s="1" customFormat="1" ht="33.75" outlineLevel="1" spans="1:13">
      <c r="A83" s="24">
        <v>9</v>
      </c>
      <c r="B83" s="25" t="s">
        <v>174</v>
      </c>
      <c r="C83" s="25" t="s">
        <v>175</v>
      </c>
      <c r="D83" s="26" t="s">
        <v>60</v>
      </c>
      <c r="E83" s="27">
        <v>8</v>
      </c>
      <c r="F83" s="28">
        <v>192.41</v>
      </c>
      <c r="G83" s="28">
        <v>26.6</v>
      </c>
      <c r="H83" s="29">
        <v>10.12</v>
      </c>
      <c r="I83" s="29">
        <f t="shared" si="14"/>
        <v>22.913</v>
      </c>
      <c r="J83" s="29">
        <f t="shared" si="15"/>
        <v>22.68387</v>
      </c>
      <c r="K83" s="29">
        <f t="shared" si="12"/>
        <v>274.72687</v>
      </c>
      <c r="L83" s="29">
        <f t="shared" si="13"/>
        <v>2197.81496</v>
      </c>
      <c r="M83" s="39" t="s">
        <v>159</v>
      </c>
    </row>
    <row r="84" s="1" customFormat="1" ht="33.75" outlineLevel="1" spans="1:13">
      <c r="A84" s="24">
        <v>10</v>
      </c>
      <c r="B84" s="25" t="s">
        <v>176</v>
      </c>
      <c r="C84" s="25" t="s">
        <v>177</v>
      </c>
      <c r="D84" s="26" t="s">
        <v>60</v>
      </c>
      <c r="E84" s="27">
        <v>119</v>
      </c>
      <c r="F84" s="28">
        <v>37.21</v>
      </c>
      <c r="G84" s="28">
        <v>19.2</v>
      </c>
      <c r="H84" s="29">
        <v>2.21</v>
      </c>
      <c r="I84" s="29">
        <f t="shared" si="14"/>
        <v>5.862</v>
      </c>
      <c r="J84" s="29">
        <f t="shared" si="15"/>
        <v>5.80338</v>
      </c>
      <c r="K84" s="29">
        <f t="shared" si="12"/>
        <v>70.28538</v>
      </c>
      <c r="L84" s="29">
        <f t="shared" si="13"/>
        <v>8363.96022</v>
      </c>
      <c r="M84" s="39" t="s">
        <v>159</v>
      </c>
    </row>
    <row r="85" s="1" customFormat="1" ht="33.75" outlineLevel="1" spans="1:13">
      <c r="A85" s="24">
        <v>11</v>
      </c>
      <c r="B85" s="25" t="s">
        <v>178</v>
      </c>
      <c r="C85" s="25" t="s">
        <v>179</v>
      </c>
      <c r="D85" s="26" t="s">
        <v>60</v>
      </c>
      <c r="E85" s="27">
        <v>6</v>
      </c>
      <c r="F85" s="28">
        <v>37.21</v>
      </c>
      <c r="G85" s="28">
        <v>19.2</v>
      </c>
      <c r="H85" s="29">
        <v>2.85</v>
      </c>
      <c r="I85" s="29">
        <f t="shared" si="14"/>
        <v>5.926</v>
      </c>
      <c r="J85" s="29">
        <f t="shared" si="15"/>
        <v>5.86674</v>
      </c>
      <c r="K85" s="29">
        <f t="shared" si="12"/>
        <v>71.05274</v>
      </c>
      <c r="L85" s="29">
        <f t="shared" si="13"/>
        <v>426.31644</v>
      </c>
      <c r="M85" s="39" t="s">
        <v>159</v>
      </c>
    </row>
    <row r="86" s="1" customFormat="1" ht="45" outlineLevel="1" spans="1:13">
      <c r="A86" s="24">
        <v>12</v>
      </c>
      <c r="B86" s="25" t="s">
        <v>180</v>
      </c>
      <c r="C86" s="25" t="s">
        <v>181</v>
      </c>
      <c r="D86" s="26" t="s">
        <v>60</v>
      </c>
      <c r="E86" s="27">
        <v>6</v>
      </c>
      <c r="F86" s="28">
        <v>65.22</v>
      </c>
      <c r="G86" s="28">
        <v>26.92</v>
      </c>
      <c r="H86" s="29">
        <v>4.5</v>
      </c>
      <c r="I86" s="29">
        <f t="shared" si="14"/>
        <v>9.664</v>
      </c>
      <c r="J86" s="29">
        <f t="shared" si="15"/>
        <v>9.56736</v>
      </c>
      <c r="K86" s="29">
        <f t="shared" si="12"/>
        <v>115.87136</v>
      </c>
      <c r="L86" s="29">
        <f t="shared" si="13"/>
        <v>695.22816</v>
      </c>
      <c r="M86" s="39" t="s">
        <v>159</v>
      </c>
    </row>
    <row r="87" s="1" customFormat="1" ht="33.75" outlineLevel="1" spans="1:13">
      <c r="A87" s="24">
        <v>13</v>
      </c>
      <c r="B87" s="25" t="s">
        <v>182</v>
      </c>
      <c r="C87" s="25" t="s">
        <v>183</v>
      </c>
      <c r="D87" s="26" t="s">
        <v>60</v>
      </c>
      <c r="E87" s="27">
        <v>11</v>
      </c>
      <c r="F87" s="28">
        <v>78.12</v>
      </c>
      <c r="G87" s="28">
        <v>30.08</v>
      </c>
      <c r="H87" s="29">
        <v>3.62</v>
      </c>
      <c r="I87" s="29">
        <f>(F142+G87+H87)*$I$4</f>
        <v>11.182</v>
      </c>
      <c r="J87" s="29">
        <f>(F142+G87+H87+I87)*$J$4</f>
        <v>11.07018</v>
      </c>
      <c r="K87" s="29">
        <f>F142+G87+H87+I87+J87</f>
        <v>134.07218</v>
      </c>
      <c r="L87" s="29">
        <f t="shared" si="13"/>
        <v>1474.79398</v>
      </c>
      <c r="M87" s="39" t="s">
        <v>159</v>
      </c>
    </row>
    <row r="88" s="1" customFormat="1" ht="33.75" outlineLevel="1" spans="1:13">
      <c r="A88" s="24">
        <v>14</v>
      </c>
      <c r="B88" s="25" t="s">
        <v>184</v>
      </c>
      <c r="C88" s="25" t="s">
        <v>185</v>
      </c>
      <c r="D88" s="26" t="s">
        <v>60</v>
      </c>
      <c r="E88" s="27">
        <v>17</v>
      </c>
      <c r="F88" s="28">
        <v>195.64</v>
      </c>
      <c r="G88" s="28">
        <v>22.56</v>
      </c>
      <c r="H88" s="29">
        <v>7.17</v>
      </c>
      <c r="I88" s="29">
        <f t="shared" si="14"/>
        <v>22.537</v>
      </c>
      <c r="J88" s="29">
        <f t="shared" si="15"/>
        <v>22.31163</v>
      </c>
      <c r="K88" s="29">
        <f t="shared" si="12"/>
        <v>270.21863</v>
      </c>
      <c r="L88" s="29">
        <f t="shared" si="13"/>
        <v>4593.71671</v>
      </c>
      <c r="M88" s="39" t="s">
        <v>159</v>
      </c>
    </row>
    <row r="89" s="1" customFormat="1" ht="33.75" outlineLevel="1" spans="1:13">
      <c r="A89" s="24">
        <v>15</v>
      </c>
      <c r="B89" s="25" t="s">
        <v>186</v>
      </c>
      <c r="C89" s="25" t="s">
        <v>187</v>
      </c>
      <c r="D89" s="26" t="s">
        <v>60</v>
      </c>
      <c r="E89" s="27">
        <v>17</v>
      </c>
      <c r="F89" s="28">
        <v>48.37</v>
      </c>
      <c r="G89" s="28">
        <v>19.4</v>
      </c>
      <c r="H89" s="29">
        <v>3.2</v>
      </c>
      <c r="I89" s="29">
        <f t="shared" si="14"/>
        <v>7.097</v>
      </c>
      <c r="J89" s="29">
        <f t="shared" si="15"/>
        <v>7.02603</v>
      </c>
      <c r="K89" s="29">
        <f t="shared" si="12"/>
        <v>85.09303</v>
      </c>
      <c r="L89" s="29">
        <f t="shared" si="13"/>
        <v>1446.58151</v>
      </c>
      <c r="M89" s="39" t="s">
        <v>159</v>
      </c>
    </row>
    <row r="90" s="1" customFormat="1" ht="33.75" outlineLevel="1" spans="1:13">
      <c r="A90" s="24">
        <v>16</v>
      </c>
      <c r="B90" s="25" t="s">
        <v>188</v>
      </c>
      <c r="C90" s="25" t="s">
        <v>189</v>
      </c>
      <c r="D90" s="26" t="s">
        <v>60</v>
      </c>
      <c r="E90" s="27">
        <v>3</v>
      </c>
      <c r="F90" s="28">
        <v>50.98</v>
      </c>
      <c r="G90" s="28">
        <v>46.66</v>
      </c>
      <c r="H90" s="29">
        <v>30.84</v>
      </c>
      <c r="I90" s="29">
        <f t="shared" si="14"/>
        <v>12.848</v>
      </c>
      <c r="J90" s="29">
        <f t="shared" si="15"/>
        <v>12.71952</v>
      </c>
      <c r="K90" s="29">
        <f t="shared" si="12"/>
        <v>154.04752</v>
      </c>
      <c r="L90" s="29">
        <f t="shared" si="13"/>
        <v>462.14256</v>
      </c>
      <c r="M90" s="39" t="s">
        <v>159</v>
      </c>
    </row>
    <row r="91" s="1" customFormat="1" ht="33.75" outlineLevel="1" spans="1:13">
      <c r="A91" s="24">
        <v>17</v>
      </c>
      <c r="B91" s="25" t="s">
        <v>190</v>
      </c>
      <c r="C91" s="25" t="s">
        <v>191</v>
      </c>
      <c r="D91" s="26" t="s">
        <v>60</v>
      </c>
      <c r="E91" s="27">
        <v>6</v>
      </c>
      <c r="F91" s="28">
        <v>212.47</v>
      </c>
      <c r="G91" s="28">
        <v>15.04</v>
      </c>
      <c r="H91" s="29">
        <v>7.1</v>
      </c>
      <c r="I91" s="29">
        <f t="shared" si="14"/>
        <v>23.461</v>
      </c>
      <c r="J91" s="29">
        <f t="shared" si="15"/>
        <v>23.22639</v>
      </c>
      <c r="K91" s="29">
        <f t="shared" si="12"/>
        <v>281.29739</v>
      </c>
      <c r="L91" s="29">
        <f t="shared" si="13"/>
        <v>1687.78434</v>
      </c>
      <c r="M91" s="39" t="s">
        <v>159</v>
      </c>
    </row>
    <row r="92" s="1" customFormat="1" ht="33.75" outlineLevel="1" spans="1:13">
      <c r="A92" s="24">
        <v>18</v>
      </c>
      <c r="B92" s="25" t="s">
        <v>192</v>
      </c>
      <c r="C92" s="25" t="s">
        <v>193</v>
      </c>
      <c r="D92" s="26" t="s">
        <v>60</v>
      </c>
      <c r="E92" s="27">
        <v>7</v>
      </c>
      <c r="F92" s="28">
        <v>254.48</v>
      </c>
      <c r="G92" s="28">
        <v>21.15</v>
      </c>
      <c r="H92" s="29">
        <v>10.26</v>
      </c>
      <c r="I92" s="29">
        <f t="shared" si="14"/>
        <v>28.589</v>
      </c>
      <c r="J92" s="29">
        <f t="shared" si="15"/>
        <v>28.30311</v>
      </c>
      <c r="K92" s="29">
        <f t="shared" si="12"/>
        <v>342.78211</v>
      </c>
      <c r="L92" s="29">
        <f t="shared" si="13"/>
        <v>2399.47477</v>
      </c>
      <c r="M92" s="39" t="s">
        <v>159</v>
      </c>
    </row>
    <row r="93" s="1" customFormat="1" ht="33.75" outlineLevel="1" spans="1:13">
      <c r="A93" s="24">
        <v>19</v>
      </c>
      <c r="B93" s="25" t="s">
        <v>194</v>
      </c>
      <c r="C93" s="25" t="s">
        <v>195</v>
      </c>
      <c r="D93" s="26" t="s">
        <v>60</v>
      </c>
      <c r="E93" s="27">
        <v>3</v>
      </c>
      <c r="F93" s="28">
        <v>1425.47</v>
      </c>
      <c r="G93" s="28">
        <v>234.06</v>
      </c>
      <c r="H93" s="29">
        <v>58.4</v>
      </c>
      <c r="I93" s="29">
        <f t="shared" si="14"/>
        <v>171.793</v>
      </c>
      <c r="J93" s="29">
        <f t="shared" si="15"/>
        <v>170.07507</v>
      </c>
      <c r="K93" s="29">
        <f t="shared" si="12"/>
        <v>2059.79807</v>
      </c>
      <c r="L93" s="29">
        <f t="shared" si="13"/>
        <v>6179.39421</v>
      </c>
      <c r="M93" s="39" t="s">
        <v>159</v>
      </c>
    </row>
    <row r="94" s="2" customFormat="1" outlineLevel="1" spans="1:13">
      <c r="A94" s="20" t="s">
        <v>196</v>
      </c>
      <c r="B94" s="21" t="s">
        <v>197</v>
      </c>
      <c r="C94" s="21"/>
      <c r="D94" s="22"/>
      <c r="E94" s="22"/>
      <c r="F94" s="20"/>
      <c r="G94" s="23"/>
      <c r="H94" s="29"/>
      <c r="I94" s="29">
        <f t="shared" si="14"/>
        <v>0</v>
      </c>
      <c r="J94" s="29">
        <f t="shared" si="15"/>
        <v>0</v>
      </c>
      <c r="K94" s="29">
        <f t="shared" si="12"/>
        <v>0</v>
      </c>
      <c r="L94" s="29">
        <f t="shared" si="13"/>
        <v>0</v>
      </c>
      <c r="M94" s="38"/>
    </row>
    <row r="95" s="1" customFormat="1" ht="33.75" outlineLevel="1" spans="1:13">
      <c r="A95" s="24">
        <v>1</v>
      </c>
      <c r="B95" s="25" t="s">
        <v>198</v>
      </c>
      <c r="C95" s="25" t="s">
        <v>199</v>
      </c>
      <c r="D95" s="26" t="s">
        <v>103</v>
      </c>
      <c r="E95" s="27">
        <v>1</v>
      </c>
      <c r="F95" s="24">
        <v>90.73</v>
      </c>
      <c r="G95" s="29">
        <v>360</v>
      </c>
      <c r="H95" s="29">
        <v>19.3</v>
      </c>
      <c r="I95" s="29">
        <f t="shared" si="14"/>
        <v>47.003</v>
      </c>
      <c r="J95" s="29">
        <f t="shared" si="15"/>
        <v>46.53297</v>
      </c>
      <c r="K95" s="29">
        <f t="shared" si="12"/>
        <v>563.56597</v>
      </c>
      <c r="L95" s="29">
        <f t="shared" si="13"/>
        <v>563.56597</v>
      </c>
      <c r="M95" s="39"/>
    </row>
    <row r="96" s="1" customFormat="1" ht="56.25" outlineLevel="1" spans="1:13">
      <c r="A96" s="24">
        <v>2</v>
      </c>
      <c r="B96" s="25" t="s">
        <v>200</v>
      </c>
      <c r="C96" s="25" t="s">
        <v>201</v>
      </c>
      <c r="D96" s="26" t="s">
        <v>51</v>
      </c>
      <c r="E96" s="27">
        <v>41</v>
      </c>
      <c r="F96" s="28">
        <v>26.59</v>
      </c>
      <c r="G96" s="29">
        <v>34</v>
      </c>
      <c r="H96" s="29">
        <v>22.37</v>
      </c>
      <c r="I96" s="29">
        <f t="shared" si="14"/>
        <v>8.296</v>
      </c>
      <c r="J96" s="29">
        <f t="shared" si="15"/>
        <v>8.21304</v>
      </c>
      <c r="K96" s="29">
        <f t="shared" si="12"/>
        <v>99.46904</v>
      </c>
      <c r="L96" s="29">
        <f t="shared" si="13"/>
        <v>4078.23064</v>
      </c>
      <c r="M96" s="39" t="s">
        <v>202</v>
      </c>
    </row>
    <row r="97" s="1" customFormat="1" ht="67.5" outlineLevel="1" spans="1:13">
      <c r="A97" s="24">
        <v>3</v>
      </c>
      <c r="B97" s="25" t="s">
        <v>200</v>
      </c>
      <c r="C97" s="25" t="s">
        <v>203</v>
      </c>
      <c r="D97" s="26" t="s">
        <v>51</v>
      </c>
      <c r="E97" s="27">
        <v>6</v>
      </c>
      <c r="F97" s="28">
        <v>26.59</v>
      </c>
      <c r="G97" s="29">
        <v>34</v>
      </c>
      <c r="H97" s="29">
        <v>22.37</v>
      </c>
      <c r="I97" s="29">
        <f t="shared" si="14"/>
        <v>8.296</v>
      </c>
      <c r="J97" s="29">
        <f t="shared" si="15"/>
        <v>8.21304</v>
      </c>
      <c r="K97" s="29">
        <f t="shared" si="12"/>
        <v>99.46904</v>
      </c>
      <c r="L97" s="29">
        <f t="shared" si="13"/>
        <v>596.81424</v>
      </c>
      <c r="M97" s="39" t="s">
        <v>202</v>
      </c>
    </row>
    <row r="98" s="1" customFormat="1" ht="56.25" outlineLevel="1" spans="1:13">
      <c r="A98" s="24">
        <v>4</v>
      </c>
      <c r="B98" s="25" t="s">
        <v>200</v>
      </c>
      <c r="C98" s="25" t="s">
        <v>204</v>
      </c>
      <c r="D98" s="26" t="s">
        <v>51</v>
      </c>
      <c r="E98" s="27">
        <v>33</v>
      </c>
      <c r="F98" s="28">
        <v>26.59</v>
      </c>
      <c r="G98" s="29">
        <v>33</v>
      </c>
      <c r="H98" s="29">
        <v>22.37</v>
      </c>
      <c r="I98" s="29">
        <f t="shared" si="14"/>
        <v>8.196</v>
      </c>
      <c r="J98" s="29">
        <f t="shared" si="15"/>
        <v>8.11404</v>
      </c>
      <c r="K98" s="29">
        <f t="shared" si="12"/>
        <v>98.27004</v>
      </c>
      <c r="L98" s="29">
        <f t="shared" si="13"/>
        <v>3242.91132</v>
      </c>
      <c r="M98" s="39" t="s">
        <v>202</v>
      </c>
    </row>
    <row r="99" s="1" customFormat="1" ht="56.25" outlineLevel="1" spans="1:13">
      <c r="A99" s="24">
        <v>5</v>
      </c>
      <c r="B99" s="25" t="s">
        <v>200</v>
      </c>
      <c r="C99" s="25" t="s">
        <v>205</v>
      </c>
      <c r="D99" s="26" t="s">
        <v>51</v>
      </c>
      <c r="E99" s="27">
        <v>5</v>
      </c>
      <c r="F99" s="28">
        <v>26.59</v>
      </c>
      <c r="G99" s="29">
        <v>33</v>
      </c>
      <c r="H99" s="29">
        <v>22.37</v>
      </c>
      <c r="I99" s="29">
        <f t="shared" si="14"/>
        <v>8.196</v>
      </c>
      <c r="J99" s="29">
        <f t="shared" si="15"/>
        <v>8.11404</v>
      </c>
      <c r="K99" s="29">
        <f t="shared" si="12"/>
        <v>98.27004</v>
      </c>
      <c r="L99" s="29">
        <f t="shared" si="13"/>
        <v>491.3502</v>
      </c>
      <c r="M99" s="39" t="s">
        <v>202</v>
      </c>
    </row>
    <row r="100" s="1" customFormat="1" ht="56.25" outlineLevel="1" spans="1:13">
      <c r="A100" s="24">
        <v>6</v>
      </c>
      <c r="B100" s="25" t="s">
        <v>154</v>
      </c>
      <c r="C100" s="25" t="s">
        <v>206</v>
      </c>
      <c r="D100" s="26" t="s">
        <v>42</v>
      </c>
      <c r="E100" s="27">
        <v>1063.3</v>
      </c>
      <c r="F100" s="28">
        <v>0.92</v>
      </c>
      <c r="G100" s="29">
        <v>1.93</v>
      </c>
      <c r="H100" s="29">
        <v>0.85</v>
      </c>
      <c r="I100" s="29">
        <f t="shared" si="14"/>
        <v>0.37</v>
      </c>
      <c r="J100" s="29">
        <f t="shared" si="15"/>
        <v>0.3663</v>
      </c>
      <c r="K100" s="29">
        <f t="shared" si="12"/>
        <v>4.4363</v>
      </c>
      <c r="L100" s="29">
        <f t="shared" si="13"/>
        <v>4717.11779</v>
      </c>
      <c r="M100" s="39" t="s">
        <v>142</v>
      </c>
    </row>
    <row r="101" s="3" customFormat="1" spans="1:13">
      <c r="A101" s="40" t="s">
        <v>207</v>
      </c>
      <c r="B101" s="41" t="s">
        <v>208</v>
      </c>
      <c r="C101" s="41"/>
      <c r="D101" s="40"/>
      <c r="E101" s="40"/>
      <c r="F101" s="40"/>
      <c r="G101" s="23"/>
      <c r="H101" s="42"/>
      <c r="I101" s="42"/>
      <c r="J101" s="42"/>
      <c r="K101" s="42"/>
      <c r="L101" s="44">
        <f>SUM(L6:L100)</f>
        <v>293879.4938486</v>
      </c>
      <c r="M101" s="45"/>
    </row>
    <row r="102" s="1" customFormat="1" outlineLevel="1" spans="1:13">
      <c r="A102" s="20" t="s">
        <v>38</v>
      </c>
      <c r="B102" s="21" t="s">
        <v>209</v>
      </c>
      <c r="C102" s="21"/>
      <c r="D102" s="22"/>
      <c r="E102" s="22"/>
      <c r="F102" s="20"/>
      <c r="G102" s="23"/>
      <c r="H102" s="23"/>
      <c r="I102" s="29">
        <f t="shared" ref="I101:I164" si="16">(F102+G102+H102)*$I$4</f>
        <v>0</v>
      </c>
      <c r="J102" s="29">
        <f t="shared" ref="J101:J164" si="17">(F102+G102+H102+I102)*$J$4</f>
        <v>0</v>
      </c>
      <c r="K102" s="29"/>
      <c r="L102" s="23"/>
      <c r="M102" s="38"/>
    </row>
    <row r="103" s="1" customFormat="1" ht="78.75" outlineLevel="1" spans="1:13">
      <c r="A103" s="24">
        <v>1</v>
      </c>
      <c r="B103" s="25" t="s">
        <v>40</v>
      </c>
      <c r="C103" s="25" t="s">
        <v>41</v>
      </c>
      <c r="D103" s="26" t="s">
        <v>42</v>
      </c>
      <c r="E103" s="27">
        <v>142.76</v>
      </c>
      <c r="F103" s="28">
        <v>29.46</v>
      </c>
      <c r="G103" s="29">
        <f>46.5+10</f>
        <v>56.5</v>
      </c>
      <c r="H103" s="29">
        <v>1.31</v>
      </c>
      <c r="I103" s="29">
        <f t="shared" si="16"/>
        <v>8.727</v>
      </c>
      <c r="J103" s="29">
        <f t="shared" si="17"/>
        <v>8.63973</v>
      </c>
      <c r="K103" s="29">
        <f t="shared" si="12"/>
        <v>104.63673</v>
      </c>
      <c r="L103" s="23">
        <f t="shared" si="13"/>
        <v>14937.9395748</v>
      </c>
      <c r="M103" s="39" t="s">
        <v>43</v>
      </c>
    </row>
    <row r="104" s="1" customFormat="1" ht="78.75" outlineLevel="1" spans="1:13">
      <c r="A104" s="24">
        <v>2</v>
      </c>
      <c r="B104" s="25" t="s">
        <v>40</v>
      </c>
      <c r="C104" s="25" t="s">
        <v>44</v>
      </c>
      <c r="D104" s="26" t="s">
        <v>42</v>
      </c>
      <c r="E104" s="27">
        <v>38.14</v>
      </c>
      <c r="F104" s="28">
        <v>24.65</v>
      </c>
      <c r="G104" s="29">
        <f>30.67+10</f>
        <v>40.67</v>
      </c>
      <c r="H104" s="29">
        <v>1.31</v>
      </c>
      <c r="I104" s="29">
        <f t="shared" si="16"/>
        <v>6.663</v>
      </c>
      <c r="J104" s="29">
        <f t="shared" si="17"/>
        <v>6.59637</v>
      </c>
      <c r="K104" s="29">
        <f t="shared" si="12"/>
        <v>79.88937</v>
      </c>
      <c r="L104" s="23">
        <f t="shared" si="13"/>
        <v>3046.9805718</v>
      </c>
      <c r="M104" s="39" t="s">
        <v>43</v>
      </c>
    </row>
    <row r="105" s="1" customFormat="1" ht="56.25" outlineLevel="1" spans="1:13">
      <c r="A105" s="24">
        <v>3</v>
      </c>
      <c r="B105" s="25" t="s">
        <v>45</v>
      </c>
      <c r="C105" s="25" t="s">
        <v>210</v>
      </c>
      <c r="D105" s="26" t="s">
        <v>47</v>
      </c>
      <c r="E105" s="27">
        <v>93.11</v>
      </c>
      <c r="F105" s="28">
        <v>12.5</v>
      </c>
      <c r="G105" s="29">
        <v>3.92</v>
      </c>
      <c r="H105" s="29">
        <v>4.5</v>
      </c>
      <c r="I105" s="29">
        <f t="shared" si="16"/>
        <v>2.092</v>
      </c>
      <c r="J105" s="29">
        <f t="shared" si="17"/>
        <v>2.07108</v>
      </c>
      <c r="K105" s="29">
        <f t="shared" si="12"/>
        <v>25.08308</v>
      </c>
      <c r="L105" s="23">
        <f t="shared" si="13"/>
        <v>2335.4855788</v>
      </c>
      <c r="M105" s="39" t="s">
        <v>48</v>
      </c>
    </row>
    <row r="106" s="1" customFormat="1" ht="33.75" outlineLevel="1" spans="1:13">
      <c r="A106" s="24">
        <v>4</v>
      </c>
      <c r="B106" s="25" t="s">
        <v>211</v>
      </c>
      <c r="C106" s="25" t="s">
        <v>212</v>
      </c>
      <c r="D106" s="26" t="s">
        <v>213</v>
      </c>
      <c r="E106" s="26">
        <v>0.55</v>
      </c>
      <c r="F106" s="28">
        <v>428.58</v>
      </c>
      <c r="G106" s="29">
        <v>500</v>
      </c>
      <c r="H106" s="29">
        <v>80.32</v>
      </c>
      <c r="I106" s="29">
        <f t="shared" si="16"/>
        <v>100.89</v>
      </c>
      <c r="J106" s="29">
        <f t="shared" si="17"/>
        <v>99.8811</v>
      </c>
      <c r="K106" s="29">
        <f t="shared" si="12"/>
        <v>1209.6711</v>
      </c>
      <c r="L106" s="23">
        <f t="shared" si="13"/>
        <v>665.319105</v>
      </c>
      <c r="M106" s="39"/>
    </row>
    <row r="107" s="1" customFormat="1" ht="78.75" outlineLevel="1" spans="1:13">
      <c r="A107" s="24">
        <v>5</v>
      </c>
      <c r="B107" s="25" t="s">
        <v>49</v>
      </c>
      <c r="C107" s="25" t="s">
        <v>214</v>
      </c>
      <c r="D107" s="26" t="s">
        <v>51</v>
      </c>
      <c r="E107" s="27">
        <v>4</v>
      </c>
      <c r="F107" s="24">
        <v>75.07</v>
      </c>
      <c r="G107" s="29">
        <v>510</v>
      </c>
      <c r="H107" s="29">
        <v>3.63</v>
      </c>
      <c r="I107" s="29">
        <f t="shared" si="16"/>
        <v>58.87</v>
      </c>
      <c r="J107" s="29">
        <f t="shared" si="17"/>
        <v>58.2813</v>
      </c>
      <c r="K107" s="29">
        <f t="shared" si="12"/>
        <v>705.8513</v>
      </c>
      <c r="L107" s="23">
        <f t="shared" si="13"/>
        <v>2823.4052</v>
      </c>
      <c r="M107" s="39" t="s">
        <v>52</v>
      </c>
    </row>
    <row r="108" s="1" customFormat="1" ht="78.75" outlineLevel="1" spans="1:13">
      <c r="A108" s="24">
        <v>6</v>
      </c>
      <c r="B108" s="25" t="s">
        <v>49</v>
      </c>
      <c r="C108" s="25" t="s">
        <v>215</v>
      </c>
      <c r="D108" s="26" t="s">
        <v>51</v>
      </c>
      <c r="E108" s="27">
        <v>22</v>
      </c>
      <c r="F108" s="24">
        <v>75.07</v>
      </c>
      <c r="G108" s="29">
        <v>375</v>
      </c>
      <c r="H108" s="29">
        <v>3.63</v>
      </c>
      <c r="I108" s="29">
        <f t="shared" si="16"/>
        <v>45.37</v>
      </c>
      <c r="J108" s="29">
        <f t="shared" si="17"/>
        <v>44.9163</v>
      </c>
      <c r="K108" s="29">
        <f t="shared" si="12"/>
        <v>543.9863</v>
      </c>
      <c r="L108" s="23">
        <f t="shared" si="13"/>
        <v>11967.6986</v>
      </c>
      <c r="M108" s="39" t="s">
        <v>52</v>
      </c>
    </row>
    <row r="109" s="1" customFormat="1" ht="67.5" outlineLevel="1" spans="1:13">
      <c r="A109" s="24">
        <v>7</v>
      </c>
      <c r="B109" s="25" t="s">
        <v>49</v>
      </c>
      <c r="C109" s="25" t="s">
        <v>216</v>
      </c>
      <c r="D109" s="26" t="s">
        <v>51</v>
      </c>
      <c r="E109" s="27">
        <v>1</v>
      </c>
      <c r="F109" s="24">
        <v>75.07</v>
      </c>
      <c r="G109" s="29">
        <v>375</v>
      </c>
      <c r="H109" s="29">
        <v>3.63</v>
      </c>
      <c r="I109" s="29">
        <f t="shared" si="16"/>
        <v>45.37</v>
      </c>
      <c r="J109" s="29">
        <f t="shared" si="17"/>
        <v>44.9163</v>
      </c>
      <c r="K109" s="29">
        <f t="shared" si="12"/>
        <v>543.9863</v>
      </c>
      <c r="L109" s="23">
        <f t="shared" si="13"/>
        <v>543.9863</v>
      </c>
      <c r="M109" s="39" t="s">
        <v>52</v>
      </c>
    </row>
    <row r="110" s="1" customFormat="1" ht="45" outlineLevel="1" spans="1:13">
      <c r="A110" s="24">
        <v>8</v>
      </c>
      <c r="B110" s="25" t="s">
        <v>54</v>
      </c>
      <c r="C110" s="25" t="s">
        <v>217</v>
      </c>
      <c r="D110" s="26" t="s">
        <v>56</v>
      </c>
      <c r="E110" s="27">
        <v>48</v>
      </c>
      <c r="F110" s="24">
        <v>1.96</v>
      </c>
      <c r="G110" s="29">
        <v>21</v>
      </c>
      <c r="H110" s="29">
        <v>0.5</v>
      </c>
      <c r="I110" s="29">
        <f t="shared" si="16"/>
        <v>2.346</v>
      </c>
      <c r="J110" s="29">
        <f t="shared" si="17"/>
        <v>2.32254</v>
      </c>
      <c r="K110" s="29">
        <f t="shared" si="12"/>
        <v>28.12854</v>
      </c>
      <c r="L110" s="23">
        <f t="shared" si="13"/>
        <v>1350.16992</v>
      </c>
      <c r="M110" s="39" t="s">
        <v>57</v>
      </c>
    </row>
    <row r="111" s="1" customFormat="1" ht="45" outlineLevel="1" spans="1:13">
      <c r="A111" s="24">
        <v>9</v>
      </c>
      <c r="B111" s="25" t="s">
        <v>54</v>
      </c>
      <c r="C111" s="25" t="s">
        <v>218</v>
      </c>
      <c r="D111" s="26" t="s">
        <v>56</v>
      </c>
      <c r="E111" s="27">
        <v>8</v>
      </c>
      <c r="F111" s="24">
        <v>1.96</v>
      </c>
      <c r="G111" s="29">
        <v>35</v>
      </c>
      <c r="H111" s="29">
        <v>0.5</v>
      </c>
      <c r="I111" s="29">
        <f t="shared" si="16"/>
        <v>3.746</v>
      </c>
      <c r="J111" s="29">
        <f t="shared" si="17"/>
        <v>3.70854</v>
      </c>
      <c r="K111" s="29">
        <f t="shared" si="12"/>
        <v>44.91454</v>
      </c>
      <c r="L111" s="23">
        <f t="shared" si="13"/>
        <v>359.31632</v>
      </c>
      <c r="M111" s="39" t="s">
        <v>57</v>
      </c>
    </row>
    <row r="112" s="1" customFormat="1" ht="33.75" outlineLevel="1" spans="1:13">
      <c r="A112" s="24">
        <v>10</v>
      </c>
      <c r="B112" s="25" t="s">
        <v>219</v>
      </c>
      <c r="C112" s="25" t="s">
        <v>220</v>
      </c>
      <c r="D112" s="26" t="s">
        <v>60</v>
      </c>
      <c r="E112" s="27">
        <v>24</v>
      </c>
      <c r="F112" s="24">
        <v>1.96</v>
      </c>
      <c r="G112" s="29">
        <v>38</v>
      </c>
      <c r="H112" s="29">
        <v>0.5</v>
      </c>
      <c r="I112" s="29">
        <f t="shared" si="16"/>
        <v>4.046</v>
      </c>
      <c r="J112" s="29">
        <f t="shared" si="17"/>
        <v>4.00554</v>
      </c>
      <c r="K112" s="29">
        <f t="shared" si="12"/>
        <v>48.51154</v>
      </c>
      <c r="L112" s="23">
        <f t="shared" si="13"/>
        <v>1164.27696</v>
      </c>
      <c r="M112" s="39" t="s">
        <v>57</v>
      </c>
    </row>
    <row r="113" s="1" customFormat="1" ht="33.75" outlineLevel="1" spans="1:13">
      <c r="A113" s="24">
        <v>11</v>
      </c>
      <c r="B113" s="25" t="s">
        <v>58</v>
      </c>
      <c r="C113" s="25" t="s">
        <v>59</v>
      </c>
      <c r="D113" s="26" t="s">
        <v>60</v>
      </c>
      <c r="E113" s="27">
        <v>4</v>
      </c>
      <c r="F113" s="24">
        <v>79.59</v>
      </c>
      <c r="G113" s="29">
        <v>60</v>
      </c>
      <c r="H113" s="29">
        <v>18.2</v>
      </c>
      <c r="I113" s="29">
        <f t="shared" si="16"/>
        <v>15.779</v>
      </c>
      <c r="J113" s="29">
        <f t="shared" si="17"/>
        <v>15.62121</v>
      </c>
      <c r="K113" s="29">
        <f t="shared" si="12"/>
        <v>189.19021</v>
      </c>
      <c r="L113" s="29">
        <f t="shared" si="13"/>
        <v>756.76084</v>
      </c>
      <c r="M113" s="39" t="s">
        <v>61</v>
      </c>
    </row>
    <row r="114" s="1" customFormat="1" ht="33.75" outlineLevel="1" spans="1:13">
      <c r="A114" s="24">
        <v>12</v>
      </c>
      <c r="B114" s="25" t="s">
        <v>62</v>
      </c>
      <c r="C114" s="25" t="s">
        <v>63</v>
      </c>
      <c r="D114" s="26" t="s">
        <v>64</v>
      </c>
      <c r="E114" s="27">
        <f>E113</f>
        <v>4</v>
      </c>
      <c r="F114" s="24">
        <v>65.22</v>
      </c>
      <c r="G114" s="29">
        <v>15</v>
      </c>
      <c r="H114" s="29">
        <v>36.25</v>
      </c>
      <c r="I114" s="29">
        <f t="shared" si="16"/>
        <v>11.647</v>
      </c>
      <c r="J114" s="29">
        <f t="shared" si="17"/>
        <v>11.53053</v>
      </c>
      <c r="K114" s="29">
        <f t="shared" si="12"/>
        <v>139.64753</v>
      </c>
      <c r="L114" s="23">
        <f t="shared" si="13"/>
        <v>558.59012</v>
      </c>
      <c r="M114" s="39" t="s">
        <v>61</v>
      </c>
    </row>
    <row r="115" s="1" customFormat="1" ht="45" outlineLevel="1" spans="1:13">
      <c r="A115" s="24">
        <v>13</v>
      </c>
      <c r="B115" s="25" t="s">
        <v>65</v>
      </c>
      <c r="C115" s="25" t="s">
        <v>66</v>
      </c>
      <c r="D115" s="26" t="s">
        <v>60</v>
      </c>
      <c r="E115" s="27">
        <v>2</v>
      </c>
      <c r="F115" s="24">
        <v>19.59</v>
      </c>
      <c r="G115" s="29">
        <v>15</v>
      </c>
      <c r="H115" s="29">
        <v>5.54</v>
      </c>
      <c r="I115" s="29">
        <f t="shared" si="16"/>
        <v>4.013</v>
      </c>
      <c r="J115" s="29">
        <f t="shared" si="17"/>
        <v>3.97287</v>
      </c>
      <c r="K115" s="29">
        <f t="shared" si="12"/>
        <v>48.11587</v>
      </c>
      <c r="L115" s="23">
        <f t="shared" si="13"/>
        <v>96.23174</v>
      </c>
      <c r="M115" s="39" t="s">
        <v>61</v>
      </c>
    </row>
    <row r="116" s="1" customFormat="1" ht="45" outlineLevel="1" spans="1:13">
      <c r="A116" s="24">
        <v>14</v>
      </c>
      <c r="B116" s="25" t="s">
        <v>67</v>
      </c>
      <c r="C116" s="25" t="s">
        <v>68</v>
      </c>
      <c r="D116" s="26" t="s">
        <v>60</v>
      </c>
      <c r="E116" s="27">
        <v>2</v>
      </c>
      <c r="F116" s="28">
        <v>14.37</v>
      </c>
      <c r="G116" s="29">
        <v>25</v>
      </c>
      <c r="H116" s="29">
        <v>6.4</v>
      </c>
      <c r="I116" s="29">
        <f t="shared" si="16"/>
        <v>4.577</v>
      </c>
      <c r="J116" s="29">
        <f t="shared" si="17"/>
        <v>4.53123</v>
      </c>
      <c r="K116" s="29">
        <f t="shared" si="12"/>
        <v>54.87823</v>
      </c>
      <c r="L116" s="23">
        <f t="shared" si="13"/>
        <v>109.75646</v>
      </c>
      <c r="M116" s="39" t="s">
        <v>61</v>
      </c>
    </row>
    <row r="117" s="1" customFormat="1" ht="45" outlineLevel="1" spans="1:13">
      <c r="A117" s="24">
        <v>15</v>
      </c>
      <c r="B117" s="25" t="s">
        <v>69</v>
      </c>
      <c r="C117" s="25" t="s">
        <v>70</v>
      </c>
      <c r="D117" s="26" t="s">
        <v>71</v>
      </c>
      <c r="E117" s="27">
        <v>1</v>
      </c>
      <c r="F117" s="28">
        <v>285</v>
      </c>
      <c r="G117" s="29">
        <v>125</v>
      </c>
      <c r="H117" s="29">
        <v>68.5</v>
      </c>
      <c r="I117" s="29">
        <f t="shared" si="16"/>
        <v>47.85</v>
      </c>
      <c r="J117" s="29">
        <f t="shared" si="17"/>
        <v>47.3715</v>
      </c>
      <c r="K117" s="29">
        <f t="shared" si="12"/>
        <v>573.7215</v>
      </c>
      <c r="L117" s="23">
        <f t="shared" si="13"/>
        <v>573.7215</v>
      </c>
      <c r="M117" s="39"/>
    </row>
    <row r="118" s="1" customFormat="1" outlineLevel="1" spans="1:13">
      <c r="A118" s="24">
        <v>16</v>
      </c>
      <c r="B118" s="25" t="s">
        <v>72</v>
      </c>
      <c r="C118" s="25" t="s">
        <v>73</v>
      </c>
      <c r="D118" s="26" t="s">
        <v>71</v>
      </c>
      <c r="E118" s="27">
        <v>1</v>
      </c>
      <c r="F118" s="24">
        <v>366.15</v>
      </c>
      <c r="G118" s="29">
        <v>0</v>
      </c>
      <c r="H118" s="29">
        <v>185</v>
      </c>
      <c r="I118" s="29">
        <f t="shared" si="16"/>
        <v>55.115</v>
      </c>
      <c r="J118" s="29">
        <f t="shared" si="17"/>
        <v>54.56385</v>
      </c>
      <c r="K118" s="29">
        <f t="shared" si="12"/>
        <v>660.82885</v>
      </c>
      <c r="L118" s="23">
        <f t="shared" si="13"/>
        <v>660.82885</v>
      </c>
      <c r="M118" s="39"/>
    </row>
    <row r="119" s="1" customFormat="1" outlineLevel="1" spans="1:13">
      <c r="A119" s="20" t="s">
        <v>74</v>
      </c>
      <c r="B119" s="21" t="s">
        <v>221</v>
      </c>
      <c r="C119" s="21"/>
      <c r="D119" s="22"/>
      <c r="E119" s="22"/>
      <c r="F119" s="20"/>
      <c r="G119" s="23"/>
      <c r="H119" s="29"/>
      <c r="I119" s="29">
        <f t="shared" si="16"/>
        <v>0</v>
      </c>
      <c r="J119" s="29">
        <f t="shared" si="17"/>
        <v>0</v>
      </c>
      <c r="K119" s="29">
        <f t="shared" si="12"/>
        <v>0</v>
      </c>
      <c r="L119" s="23">
        <f t="shared" si="13"/>
        <v>0</v>
      </c>
      <c r="M119" s="38"/>
    </row>
    <row r="120" s="1" customFormat="1" ht="101.25" outlineLevel="1" spans="1:13">
      <c r="A120" s="24">
        <v>1</v>
      </c>
      <c r="B120" s="25" t="s">
        <v>222</v>
      </c>
      <c r="C120" s="25" t="s">
        <v>223</v>
      </c>
      <c r="D120" s="26" t="s">
        <v>103</v>
      </c>
      <c r="E120" s="27">
        <v>2</v>
      </c>
      <c r="F120" s="24">
        <v>135.8</v>
      </c>
      <c r="G120" s="29">
        <v>592</v>
      </c>
      <c r="H120" s="29">
        <v>25.6</v>
      </c>
      <c r="I120" s="29">
        <f t="shared" si="16"/>
        <v>75.34</v>
      </c>
      <c r="J120" s="29">
        <f t="shared" si="17"/>
        <v>74.5866</v>
      </c>
      <c r="K120" s="29">
        <f t="shared" si="12"/>
        <v>903.3266</v>
      </c>
      <c r="L120" s="23">
        <f t="shared" si="13"/>
        <v>1806.6532</v>
      </c>
      <c r="M120" s="39" t="s">
        <v>104</v>
      </c>
    </row>
    <row r="121" s="1" customFormat="1" ht="101.25" outlineLevel="1" spans="1:13">
      <c r="A121" s="24">
        <v>2</v>
      </c>
      <c r="B121" s="25" t="s">
        <v>222</v>
      </c>
      <c r="C121" s="25" t="s">
        <v>224</v>
      </c>
      <c r="D121" s="26" t="s">
        <v>103</v>
      </c>
      <c r="E121" s="27">
        <v>4</v>
      </c>
      <c r="F121" s="24">
        <v>135.8</v>
      </c>
      <c r="G121" s="29">
        <v>410</v>
      </c>
      <c r="H121" s="29">
        <v>25.6</v>
      </c>
      <c r="I121" s="29">
        <f t="shared" si="16"/>
        <v>57.14</v>
      </c>
      <c r="J121" s="29">
        <f t="shared" si="17"/>
        <v>56.5686</v>
      </c>
      <c r="K121" s="29">
        <f t="shared" si="12"/>
        <v>685.1086</v>
      </c>
      <c r="L121" s="23">
        <f t="shared" si="13"/>
        <v>2740.4344</v>
      </c>
      <c r="M121" s="39" t="s">
        <v>104</v>
      </c>
    </row>
    <row r="122" s="1" customFormat="1" ht="45" outlineLevel="1" spans="1:13">
      <c r="A122" s="24">
        <v>3</v>
      </c>
      <c r="B122" s="25" t="s">
        <v>123</v>
      </c>
      <c r="C122" s="25" t="s">
        <v>225</v>
      </c>
      <c r="D122" s="26" t="s">
        <v>60</v>
      </c>
      <c r="E122" s="27">
        <v>4</v>
      </c>
      <c r="F122" s="24">
        <v>51.2</v>
      </c>
      <c r="G122" s="43">
        <v>169</v>
      </c>
      <c r="H122" s="29">
        <v>7.42</v>
      </c>
      <c r="I122" s="29">
        <f t="shared" si="16"/>
        <v>22.762</v>
      </c>
      <c r="J122" s="29">
        <f t="shared" si="17"/>
        <v>22.53438</v>
      </c>
      <c r="K122" s="29">
        <f t="shared" si="12"/>
        <v>272.91638</v>
      </c>
      <c r="L122" s="23">
        <f t="shared" si="13"/>
        <v>1091.66552</v>
      </c>
      <c r="M122" s="39" t="s">
        <v>104</v>
      </c>
    </row>
    <row r="123" s="1" customFormat="1" outlineLevel="1" spans="1:13">
      <c r="A123" s="20" t="s">
        <v>99</v>
      </c>
      <c r="B123" s="21" t="s">
        <v>226</v>
      </c>
      <c r="C123" s="21"/>
      <c r="D123" s="22"/>
      <c r="E123" s="22"/>
      <c r="F123" s="20"/>
      <c r="G123" s="29"/>
      <c r="H123" s="29"/>
      <c r="I123" s="29">
        <f t="shared" si="16"/>
        <v>0</v>
      </c>
      <c r="J123" s="29">
        <f t="shared" si="17"/>
        <v>0</v>
      </c>
      <c r="K123" s="29">
        <f t="shared" si="12"/>
        <v>0</v>
      </c>
      <c r="L123" s="23">
        <f t="shared" si="13"/>
        <v>0</v>
      </c>
      <c r="M123" s="38"/>
    </row>
    <row r="124" s="1" customFormat="1" ht="56.25" outlineLevel="1" spans="1:13">
      <c r="A124" s="24">
        <v>1</v>
      </c>
      <c r="B124" s="25" t="s">
        <v>154</v>
      </c>
      <c r="C124" s="25" t="s">
        <v>227</v>
      </c>
      <c r="D124" s="26" t="s">
        <v>42</v>
      </c>
      <c r="E124" s="27">
        <v>232.63</v>
      </c>
      <c r="F124" s="28">
        <v>0.92</v>
      </c>
      <c r="G124" s="29">
        <v>2.04</v>
      </c>
      <c r="H124" s="29">
        <v>0.85</v>
      </c>
      <c r="I124" s="29">
        <f t="shared" si="16"/>
        <v>0.381</v>
      </c>
      <c r="J124" s="29">
        <f t="shared" si="17"/>
        <v>0.37719</v>
      </c>
      <c r="K124" s="29">
        <f t="shared" si="12"/>
        <v>4.56819</v>
      </c>
      <c r="L124" s="23">
        <f t="shared" si="13"/>
        <v>1062.6980397</v>
      </c>
      <c r="M124" s="39" t="s">
        <v>142</v>
      </c>
    </row>
    <row r="125" s="1" customFormat="1" ht="56.25" outlineLevel="1" spans="1:13">
      <c r="A125" s="24">
        <v>2</v>
      </c>
      <c r="B125" s="25" t="s">
        <v>154</v>
      </c>
      <c r="C125" s="25" t="s">
        <v>228</v>
      </c>
      <c r="D125" s="26" t="s">
        <v>42</v>
      </c>
      <c r="E125" s="27">
        <f>E124*2</f>
        <v>465.26</v>
      </c>
      <c r="F125" s="28">
        <v>0.92</v>
      </c>
      <c r="G125" s="29">
        <v>1.89</v>
      </c>
      <c r="H125" s="29">
        <v>0.85</v>
      </c>
      <c r="I125" s="29">
        <f t="shared" si="16"/>
        <v>0.366</v>
      </c>
      <c r="J125" s="29">
        <f t="shared" si="17"/>
        <v>0.36234</v>
      </c>
      <c r="K125" s="29">
        <f t="shared" si="12"/>
        <v>4.38834</v>
      </c>
      <c r="L125" s="23">
        <f t="shared" si="13"/>
        <v>2041.7190684</v>
      </c>
      <c r="M125" s="39" t="s">
        <v>142</v>
      </c>
    </row>
    <row r="126" s="1" customFormat="1" ht="33.75" outlineLevel="1" spans="1:13">
      <c r="A126" s="24">
        <v>3</v>
      </c>
      <c r="B126" s="25" t="s">
        <v>157</v>
      </c>
      <c r="C126" s="25" t="s">
        <v>158</v>
      </c>
      <c r="D126" s="26" t="s">
        <v>60</v>
      </c>
      <c r="E126" s="27">
        <v>1</v>
      </c>
      <c r="F126" s="24">
        <v>285.43</v>
      </c>
      <c r="G126" s="29">
        <v>232</v>
      </c>
      <c r="H126" s="29">
        <v>16.5</v>
      </c>
      <c r="I126" s="29">
        <f t="shared" si="16"/>
        <v>53.393</v>
      </c>
      <c r="J126" s="29">
        <f t="shared" si="17"/>
        <v>52.85907</v>
      </c>
      <c r="K126" s="29">
        <f t="shared" si="12"/>
        <v>640.18207</v>
      </c>
      <c r="L126" s="23">
        <f t="shared" si="13"/>
        <v>640.18207</v>
      </c>
      <c r="M126" s="39" t="s">
        <v>159</v>
      </c>
    </row>
    <row r="127" s="1" customFormat="1" outlineLevel="1" spans="1:13">
      <c r="A127" s="20" t="s">
        <v>152</v>
      </c>
      <c r="B127" s="21" t="s">
        <v>229</v>
      </c>
      <c r="C127" s="21"/>
      <c r="D127" s="26"/>
      <c r="E127" s="27"/>
      <c r="F127" s="24"/>
      <c r="G127" s="29"/>
      <c r="H127" s="29"/>
      <c r="I127" s="29">
        <f t="shared" si="16"/>
        <v>0</v>
      </c>
      <c r="J127" s="29">
        <f t="shared" si="17"/>
        <v>0</v>
      </c>
      <c r="K127" s="29">
        <f t="shared" si="12"/>
        <v>0</v>
      </c>
      <c r="L127" s="23">
        <f t="shared" si="13"/>
        <v>0</v>
      </c>
      <c r="M127" s="39"/>
    </row>
    <row r="128" s="1" customFormat="1" ht="56.25" outlineLevel="1" spans="1:13">
      <c r="A128" s="24">
        <v>1</v>
      </c>
      <c r="B128" s="25" t="s">
        <v>154</v>
      </c>
      <c r="C128" s="25" t="s">
        <v>230</v>
      </c>
      <c r="D128" s="26" t="s">
        <v>42</v>
      </c>
      <c r="E128" s="27">
        <f>232.63+13.73+22.76+2.95*6*2</f>
        <v>304.52</v>
      </c>
      <c r="F128" s="28">
        <v>0.92</v>
      </c>
      <c r="G128" s="29">
        <v>2.95</v>
      </c>
      <c r="H128" s="29">
        <v>0.85</v>
      </c>
      <c r="I128" s="29">
        <f t="shared" si="16"/>
        <v>0.472</v>
      </c>
      <c r="J128" s="29">
        <f t="shared" si="17"/>
        <v>0.46728</v>
      </c>
      <c r="K128" s="29">
        <f t="shared" si="12"/>
        <v>5.65928</v>
      </c>
      <c r="L128" s="23">
        <f t="shared" si="13"/>
        <v>1723.3639456</v>
      </c>
      <c r="M128" s="39" t="s">
        <v>142</v>
      </c>
    </row>
    <row r="129" s="1" customFormat="1" ht="33.75" outlineLevel="1" spans="1:13">
      <c r="A129" s="24">
        <v>2</v>
      </c>
      <c r="B129" s="25" t="s">
        <v>157</v>
      </c>
      <c r="C129" s="25" t="s">
        <v>163</v>
      </c>
      <c r="D129" s="26" t="s">
        <v>60</v>
      </c>
      <c r="E129" s="27">
        <v>4</v>
      </c>
      <c r="F129" s="24">
        <v>325.43</v>
      </c>
      <c r="G129" s="29">
        <v>78.4</v>
      </c>
      <c r="H129" s="29">
        <v>66.5</v>
      </c>
      <c r="I129" s="29">
        <f t="shared" si="16"/>
        <v>47.033</v>
      </c>
      <c r="J129" s="29">
        <f t="shared" si="17"/>
        <v>46.56267</v>
      </c>
      <c r="K129" s="29">
        <f t="shared" si="12"/>
        <v>563.92567</v>
      </c>
      <c r="L129" s="23">
        <f t="shared" si="13"/>
        <v>2255.70268</v>
      </c>
      <c r="M129" s="39" t="s">
        <v>159</v>
      </c>
    </row>
    <row r="130" s="1" customFormat="1" ht="22.5" outlineLevel="1" spans="1:13">
      <c r="A130" s="20" t="s">
        <v>160</v>
      </c>
      <c r="B130" s="21" t="s">
        <v>231</v>
      </c>
      <c r="C130" s="21"/>
      <c r="D130" s="22"/>
      <c r="E130" s="22"/>
      <c r="F130" s="20"/>
      <c r="G130" s="29"/>
      <c r="H130" s="29"/>
      <c r="I130" s="29">
        <f t="shared" si="16"/>
        <v>0</v>
      </c>
      <c r="J130" s="29">
        <f t="shared" si="17"/>
        <v>0</v>
      </c>
      <c r="K130" s="29">
        <f t="shared" si="12"/>
        <v>0</v>
      </c>
      <c r="L130" s="23">
        <f t="shared" si="13"/>
        <v>0</v>
      </c>
      <c r="M130" s="38"/>
    </row>
    <row r="131" s="1" customFormat="1" ht="67.5" outlineLevel="1" spans="1:13">
      <c r="A131" s="24">
        <v>1</v>
      </c>
      <c r="B131" s="25" t="s">
        <v>154</v>
      </c>
      <c r="C131" s="25" t="s">
        <v>166</v>
      </c>
      <c r="D131" s="26" t="s">
        <v>42</v>
      </c>
      <c r="E131" s="27">
        <f>232.63*3*2+(13.73+22.76)*3+2.9*11*2+2.9*5*2</f>
        <v>1598.05</v>
      </c>
      <c r="F131" s="28">
        <v>0.92</v>
      </c>
      <c r="G131" s="29">
        <v>3.46</v>
      </c>
      <c r="H131" s="29">
        <v>0.85</v>
      </c>
      <c r="I131" s="29">
        <f t="shared" si="16"/>
        <v>0.523</v>
      </c>
      <c r="J131" s="29">
        <f t="shared" si="17"/>
        <v>0.51777</v>
      </c>
      <c r="K131" s="29">
        <f t="shared" si="12"/>
        <v>6.27077</v>
      </c>
      <c r="L131" s="23">
        <f t="shared" si="13"/>
        <v>10021.0039985</v>
      </c>
      <c r="M131" s="39" t="s">
        <v>142</v>
      </c>
    </row>
    <row r="132" s="1" customFormat="1" ht="67.5" outlineLevel="1" spans="1:13">
      <c r="A132" s="24">
        <v>2</v>
      </c>
      <c r="B132" s="25" t="s">
        <v>154</v>
      </c>
      <c r="C132" s="25" t="s">
        <v>232</v>
      </c>
      <c r="D132" s="26" t="s">
        <v>42</v>
      </c>
      <c r="E132" s="27">
        <f>(232.63+(13.73+22.76)+2.9*11*2)*2</f>
        <v>665.84</v>
      </c>
      <c r="F132" s="28">
        <v>0.92</v>
      </c>
      <c r="G132" s="29">
        <v>4.2</v>
      </c>
      <c r="H132" s="29">
        <v>0.85</v>
      </c>
      <c r="I132" s="29">
        <f t="shared" si="16"/>
        <v>0.597</v>
      </c>
      <c r="J132" s="29">
        <f t="shared" si="17"/>
        <v>0.59103</v>
      </c>
      <c r="K132" s="29">
        <f t="shared" si="12"/>
        <v>7.15803</v>
      </c>
      <c r="L132" s="23">
        <f t="shared" si="13"/>
        <v>4766.1026952</v>
      </c>
      <c r="M132" s="39" t="s">
        <v>142</v>
      </c>
    </row>
    <row r="133" s="1" customFormat="1" ht="67.5" outlineLevel="1" spans="1:13">
      <c r="A133" s="24">
        <v>3</v>
      </c>
      <c r="B133" s="25" t="s">
        <v>154</v>
      </c>
      <c r="C133" s="25" t="s">
        <v>168</v>
      </c>
      <c r="D133" s="26" t="s">
        <v>42</v>
      </c>
      <c r="E133" s="27">
        <f>(232.63+(13.73+22.76))</f>
        <v>269.12</v>
      </c>
      <c r="F133" s="28">
        <v>0.92</v>
      </c>
      <c r="G133" s="29">
        <v>3.64</v>
      </c>
      <c r="H133" s="29">
        <v>0.85</v>
      </c>
      <c r="I133" s="29">
        <f t="shared" si="16"/>
        <v>0.541</v>
      </c>
      <c r="J133" s="29">
        <f t="shared" si="17"/>
        <v>0.53559</v>
      </c>
      <c r="K133" s="29">
        <f t="shared" si="12"/>
        <v>6.48659</v>
      </c>
      <c r="L133" s="23">
        <f t="shared" si="13"/>
        <v>1745.6711008</v>
      </c>
      <c r="M133" s="39" t="s">
        <v>142</v>
      </c>
    </row>
    <row r="134" s="1" customFormat="1" ht="67.5" outlineLevel="1" spans="1:13">
      <c r="A134" s="24">
        <v>4</v>
      </c>
      <c r="B134" s="25" t="s">
        <v>154</v>
      </c>
      <c r="C134" s="25" t="s">
        <v>169</v>
      </c>
      <c r="D134" s="26" t="s">
        <v>42</v>
      </c>
      <c r="E134" s="27">
        <f>(232.63+(13.73+22.76))</f>
        <v>269.12</v>
      </c>
      <c r="F134" s="28">
        <v>0.92</v>
      </c>
      <c r="G134" s="29">
        <v>3.64</v>
      </c>
      <c r="H134" s="29">
        <v>0.85</v>
      </c>
      <c r="I134" s="29">
        <f t="shared" si="16"/>
        <v>0.541</v>
      </c>
      <c r="J134" s="29">
        <f t="shared" si="17"/>
        <v>0.53559</v>
      </c>
      <c r="K134" s="29">
        <f t="shared" ref="K134:K197" si="18">F134+G134+H134+I134+J134</f>
        <v>6.48659</v>
      </c>
      <c r="L134" s="23">
        <f t="shared" ref="L134:L197" si="19">K134*E134</f>
        <v>1745.6711008</v>
      </c>
      <c r="M134" s="39" t="s">
        <v>142</v>
      </c>
    </row>
    <row r="135" s="1" customFormat="1" ht="67.5" outlineLevel="1" spans="1:13">
      <c r="A135" s="24">
        <v>5</v>
      </c>
      <c r="B135" s="25" t="s">
        <v>154</v>
      </c>
      <c r="C135" s="25" t="s">
        <v>170</v>
      </c>
      <c r="D135" s="26" t="s">
        <v>42</v>
      </c>
      <c r="E135" s="27">
        <v>503.11</v>
      </c>
      <c r="F135" s="28">
        <v>0.92</v>
      </c>
      <c r="G135" s="29">
        <v>2.04</v>
      </c>
      <c r="H135" s="29">
        <v>0.85</v>
      </c>
      <c r="I135" s="29">
        <f t="shared" si="16"/>
        <v>0.381</v>
      </c>
      <c r="J135" s="29">
        <f t="shared" si="17"/>
        <v>0.37719</v>
      </c>
      <c r="K135" s="29">
        <f t="shared" si="18"/>
        <v>4.56819</v>
      </c>
      <c r="L135" s="23">
        <f t="shared" si="19"/>
        <v>2298.3020709</v>
      </c>
      <c r="M135" s="39" t="s">
        <v>142</v>
      </c>
    </row>
    <row r="136" s="1" customFormat="1" ht="67.5" outlineLevel="1" spans="1:13">
      <c r="A136" s="24">
        <v>6</v>
      </c>
      <c r="B136" s="25" t="s">
        <v>154</v>
      </c>
      <c r="C136" s="25" t="s">
        <v>233</v>
      </c>
      <c r="D136" s="26" t="s">
        <v>42</v>
      </c>
      <c r="E136" s="27">
        <v>418.07</v>
      </c>
      <c r="F136" s="28">
        <v>0.92</v>
      </c>
      <c r="G136" s="29">
        <v>1.89</v>
      </c>
      <c r="H136" s="29">
        <v>0.85</v>
      </c>
      <c r="I136" s="29">
        <f t="shared" si="16"/>
        <v>0.366</v>
      </c>
      <c r="J136" s="29">
        <f t="shared" si="17"/>
        <v>0.36234</v>
      </c>
      <c r="K136" s="29">
        <f t="shared" si="18"/>
        <v>4.38834</v>
      </c>
      <c r="L136" s="23">
        <f t="shared" si="19"/>
        <v>1834.6333038</v>
      </c>
      <c r="M136" s="39" t="s">
        <v>142</v>
      </c>
    </row>
    <row r="137" s="1" customFormat="1" ht="67.5" outlineLevel="1" spans="1:13">
      <c r="A137" s="24">
        <v>7</v>
      </c>
      <c r="B137" s="25" t="s">
        <v>154</v>
      </c>
      <c r="C137" s="25" t="s">
        <v>172</v>
      </c>
      <c r="D137" s="26" t="s">
        <v>42</v>
      </c>
      <c r="E137" s="27">
        <v>171.45</v>
      </c>
      <c r="F137" s="28">
        <v>0.92</v>
      </c>
      <c r="G137" s="29">
        <v>3.64</v>
      </c>
      <c r="H137" s="29">
        <v>0.85</v>
      </c>
      <c r="I137" s="29">
        <f t="shared" si="16"/>
        <v>0.541</v>
      </c>
      <c r="J137" s="29">
        <f t="shared" si="17"/>
        <v>0.53559</v>
      </c>
      <c r="K137" s="29">
        <f t="shared" si="18"/>
        <v>6.48659</v>
      </c>
      <c r="L137" s="23">
        <f t="shared" si="19"/>
        <v>1112.1258555</v>
      </c>
      <c r="M137" s="39" t="s">
        <v>142</v>
      </c>
    </row>
    <row r="138" s="1" customFormat="1" ht="67.5" outlineLevel="1" spans="1:13">
      <c r="A138" s="24">
        <v>8</v>
      </c>
      <c r="B138" s="25" t="s">
        <v>154</v>
      </c>
      <c r="C138" s="25" t="s">
        <v>173</v>
      </c>
      <c r="D138" s="26" t="s">
        <v>42</v>
      </c>
      <c r="E138" s="27">
        <v>202.56</v>
      </c>
      <c r="F138" s="28">
        <v>0.92</v>
      </c>
      <c r="G138" s="29">
        <v>1.98</v>
      </c>
      <c r="H138" s="29">
        <v>0.85</v>
      </c>
      <c r="I138" s="29">
        <f t="shared" si="16"/>
        <v>0.375</v>
      </c>
      <c r="J138" s="29">
        <f t="shared" si="17"/>
        <v>0.37125</v>
      </c>
      <c r="K138" s="29">
        <f t="shared" si="18"/>
        <v>4.49625</v>
      </c>
      <c r="L138" s="23">
        <f t="shared" si="19"/>
        <v>910.7604</v>
      </c>
      <c r="M138" s="39" t="s">
        <v>142</v>
      </c>
    </row>
    <row r="139" s="1" customFormat="1" ht="33.75" outlineLevel="1" spans="1:13">
      <c r="A139" s="24">
        <v>9</v>
      </c>
      <c r="B139" s="25" t="s">
        <v>174</v>
      </c>
      <c r="C139" s="25" t="s">
        <v>175</v>
      </c>
      <c r="D139" s="26" t="s">
        <v>60</v>
      </c>
      <c r="E139" s="27">
        <v>26</v>
      </c>
      <c r="F139" s="28">
        <v>192.41</v>
      </c>
      <c r="G139" s="28">
        <v>26.6</v>
      </c>
      <c r="H139" s="29">
        <v>10.12</v>
      </c>
      <c r="I139" s="29">
        <f t="shared" si="16"/>
        <v>22.913</v>
      </c>
      <c r="J139" s="29">
        <f t="shared" si="17"/>
        <v>22.68387</v>
      </c>
      <c r="K139" s="29">
        <f t="shared" si="18"/>
        <v>274.72687</v>
      </c>
      <c r="L139" s="23">
        <f t="shared" si="19"/>
        <v>7142.89862</v>
      </c>
      <c r="M139" s="39" t="s">
        <v>159</v>
      </c>
    </row>
    <row r="140" s="1" customFormat="1" ht="33.75" outlineLevel="1" spans="1:13">
      <c r="A140" s="24">
        <v>10</v>
      </c>
      <c r="B140" s="25" t="s">
        <v>176</v>
      </c>
      <c r="C140" s="25" t="s">
        <v>177</v>
      </c>
      <c r="D140" s="26" t="s">
        <v>60</v>
      </c>
      <c r="E140" s="27">
        <v>64</v>
      </c>
      <c r="F140" s="28">
        <v>37.21</v>
      </c>
      <c r="G140" s="28">
        <v>19.2</v>
      </c>
      <c r="H140" s="29">
        <v>2.21</v>
      </c>
      <c r="I140" s="29">
        <f t="shared" si="16"/>
        <v>5.862</v>
      </c>
      <c r="J140" s="29">
        <f t="shared" si="17"/>
        <v>5.80338</v>
      </c>
      <c r="K140" s="29">
        <f t="shared" si="18"/>
        <v>70.28538</v>
      </c>
      <c r="L140" s="23">
        <f t="shared" si="19"/>
        <v>4498.26432</v>
      </c>
      <c r="M140" s="39" t="s">
        <v>159</v>
      </c>
    </row>
    <row r="141" s="1" customFormat="1" ht="45" outlineLevel="1" spans="1:13">
      <c r="A141" s="24">
        <v>11</v>
      </c>
      <c r="B141" s="25" t="s">
        <v>180</v>
      </c>
      <c r="C141" s="25" t="s">
        <v>181</v>
      </c>
      <c r="D141" s="26" t="s">
        <v>60</v>
      </c>
      <c r="E141" s="27">
        <v>26</v>
      </c>
      <c r="F141" s="28">
        <v>65.22</v>
      </c>
      <c r="G141" s="28">
        <v>26.92</v>
      </c>
      <c r="H141" s="29">
        <v>4.5</v>
      </c>
      <c r="I141" s="29">
        <f t="shared" si="16"/>
        <v>9.664</v>
      </c>
      <c r="J141" s="29">
        <f t="shared" si="17"/>
        <v>9.56736</v>
      </c>
      <c r="K141" s="29">
        <f t="shared" si="18"/>
        <v>115.87136</v>
      </c>
      <c r="L141" s="23">
        <f t="shared" si="19"/>
        <v>3012.65536</v>
      </c>
      <c r="M141" s="39" t="s">
        <v>159</v>
      </c>
    </row>
    <row r="142" s="1" customFormat="1" ht="33.75" outlineLevel="1" spans="1:13">
      <c r="A142" s="24">
        <v>12</v>
      </c>
      <c r="B142" s="25" t="s">
        <v>182</v>
      </c>
      <c r="C142" s="25" t="s">
        <v>183</v>
      </c>
      <c r="D142" s="26" t="s">
        <v>60</v>
      </c>
      <c r="E142" s="27">
        <v>26</v>
      </c>
      <c r="F142" s="28">
        <v>78.12</v>
      </c>
      <c r="G142" s="28">
        <v>30.08</v>
      </c>
      <c r="H142" s="29">
        <v>3.62</v>
      </c>
      <c r="I142" s="29">
        <f t="shared" si="16"/>
        <v>11.182</v>
      </c>
      <c r="J142" s="29">
        <f t="shared" si="17"/>
        <v>11.07018</v>
      </c>
      <c r="K142" s="29">
        <f t="shared" si="18"/>
        <v>134.07218</v>
      </c>
      <c r="L142" s="23">
        <f t="shared" si="19"/>
        <v>3485.87668</v>
      </c>
      <c r="M142" s="39" t="s">
        <v>159</v>
      </c>
    </row>
    <row r="143" s="1" customFormat="1" ht="33.75" outlineLevel="1" spans="1:13">
      <c r="A143" s="24">
        <v>13</v>
      </c>
      <c r="B143" s="25" t="s">
        <v>184</v>
      </c>
      <c r="C143" s="25" t="s">
        <v>185</v>
      </c>
      <c r="D143" s="26" t="s">
        <v>60</v>
      </c>
      <c r="E143" s="27">
        <v>26</v>
      </c>
      <c r="F143" s="28">
        <v>195.64</v>
      </c>
      <c r="G143" s="28">
        <v>22.56</v>
      </c>
      <c r="H143" s="29">
        <v>7.17</v>
      </c>
      <c r="I143" s="29">
        <f t="shared" si="16"/>
        <v>22.537</v>
      </c>
      <c r="J143" s="29">
        <f t="shared" si="17"/>
        <v>22.31163</v>
      </c>
      <c r="K143" s="29">
        <f t="shared" si="18"/>
        <v>270.21863</v>
      </c>
      <c r="L143" s="23">
        <f t="shared" si="19"/>
        <v>7025.68438</v>
      </c>
      <c r="M143" s="39" t="s">
        <v>159</v>
      </c>
    </row>
    <row r="144" s="1" customFormat="1" ht="33.75" outlineLevel="1" spans="1:13">
      <c r="A144" s="24">
        <v>14</v>
      </c>
      <c r="B144" s="25" t="s">
        <v>186</v>
      </c>
      <c r="C144" s="25" t="s">
        <v>187</v>
      </c>
      <c r="D144" s="26" t="s">
        <v>60</v>
      </c>
      <c r="E144" s="27">
        <v>28</v>
      </c>
      <c r="F144" s="28">
        <v>48.37</v>
      </c>
      <c r="G144" s="28">
        <v>19.4</v>
      </c>
      <c r="H144" s="29">
        <v>3.2</v>
      </c>
      <c r="I144" s="29">
        <f t="shared" si="16"/>
        <v>7.097</v>
      </c>
      <c r="J144" s="29">
        <f t="shared" si="17"/>
        <v>7.02603</v>
      </c>
      <c r="K144" s="29">
        <f t="shared" si="18"/>
        <v>85.09303</v>
      </c>
      <c r="L144" s="23">
        <f t="shared" si="19"/>
        <v>2382.60484</v>
      </c>
      <c r="M144" s="39" t="s">
        <v>159</v>
      </c>
    </row>
    <row r="145" s="1" customFormat="1" ht="33.75" outlineLevel="1" spans="1:13">
      <c r="A145" s="24">
        <v>15</v>
      </c>
      <c r="B145" s="25" t="s">
        <v>188</v>
      </c>
      <c r="C145" s="25" t="s">
        <v>189</v>
      </c>
      <c r="D145" s="26" t="s">
        <v>60</v>
      </c>
      <c r="E145" s="27">
        <v>26</v>
      </c>
      <c r="F145" s="28">
        <v>50.98</v>
      </c>
      <c r="G145" s="28">
        <v>46.66</v>
      </c>
      <c r="H145" s="29">
        <v>30.84</v>
      </c>
      <c r="I145" s="29">
        <f t="shared" si="16"/>
        <v>12.848</v>
      </c>
      <c r="J145" s="29">
        <f t="shared" si="17"/>
        <v>12.71952</v>
      </c>
      <c r="K145" s="29">
        <f t="shared" si="18"/>
        <v>154.04752</v>
      </c>
      <c r="L145" s="23">
        <f t="shared" si="19"/>
        <v>4005.23552</v>
      </c>
      <c r="M145" s="39" t="s">
        <v>159</v>
      </c>
    </row>
    <row r="146" s="1" customFormat="1" ht="33.75" outlineLevel="1" spans="1:13">
      <c r="A146" s="24">
        <v>16</v>
      </c>
      <c r="B146" s="25" t="s">
        <v>234</v>
      </c>
      <c r="C146" s="25" t="s">
        <v>235</v>
      </c>
      <c r="D146" s="26" t="s">
        <v>60</v>
      </c>
      <c r="E146" s="27">
        <v>2</v>
      </c>
      <c r="F146" s="28">
        <v>192.41</v>
      </c>
      <c r="G146" s="28">
        <v>29.56</v>
      </c>
      <c r="H146" s="29">
        <v>4.5</v>
      </c>
      <c r="I146" s="29">
        <f t="shared" si="16"/>
        <v>22.647</v>
      </c>
      <c r="J146" s="29">
        <f t="shared" si="17"/>
        <v>22.42053</v>
      </c>
      <c r="K146" s="29">
        <f t="shared" si="18"/>
        <v>271.53753</v>
      </c>
      <c r="L146" s="23">
        <f t="shared" si="19"/>
        <v>543.07506</v>
      </c>
      <c r="M146" s="39" t="s">
        <v>159</v>
      </c>
    </row>
    <row r="147" s="1" customFormat="1" ht="33.75" outlineLevel="1" spans="1:13">
      <c r="A147" s="24">
        <v>17</v>
      </c>
      <c r="B147" s="25" t="s">
        <v>236</v>
      </c>
      <c r="C147" s="25" t="s">
        <v>237</v>
      </c>
      <c r="D147" s="26" t="s">
        <v>60</v>
      </c>
      <c r="E147" s="27">
        <v>2</v>
      </c>
      <c r="F147" s="28">
        <v>192.47</v>
      </c>
      <c r="G147" s="28">
        <v>26.56</v>
      </c>
      <c r="H147" s="29">
        <v>7.5</v>
      </c>
      <c r="I147" s="29">
        <f t="shared" si="16"/>
        <v>22.653</v>
      </c>
      <c r="J147" s="29">
        <f t="shared" si="17"/>
        <v>22.42647</v>
      </c>
      <c r="K147" s="29">
        <f t="shared" si="18"/>
        <v>271.60947</v>
      </c>
      <c r="L147" s="23">
        <f t="shared" si="19"/>
        <v>543.21894</v>
      </c>
      <c r="M147" s="39" t="s">
        <v>159</v>
      </c>
    </row>
    <row r="148" s="1" customFormat="1" ht="33.75" outlineLevel="1" spans="1:13">
      <c r="A148" s="24">
        <v>18</v>
      </c>
      <c r="B148" s="25" t="s">
        <v>192</v>
      </c>
      <c r="C148" s="25" t="s">
        <v>193</v>
      </c>
      <c r="D148" s="26" t="s">
        <v>60</v>
      </c>
      <c r="E148" s="27">
        <v>8</v>
      </c>
      <c r="F148" s="28">
        <v>254.48</v>
      </c>
      <c r="G148" s="28">
        <v>21.15</v>
      </c>
      <c r="H148" s="29">
        <v>10.26</v>
      </c>
      <c r="I148" s="29">
        <f t="shared" si="16"/>
        <v>28.589</v>
      </c>
      <c r="J148" s="29">
        <f t="shared" si="17"/>
        <v>28.30311</v>
      </c>
      <c r="K148" s="29">
        <f t="shared" si="18"/>
        <v>342.78211</v>
      </c>
      <c r="L148" s="23">
        <f t="shared" si="19"/>
        <v>2742.25688</v>
      </c>
      <c r="M148" s="39" t="s">
        <v>159</v>
      </c>
    </row>
    <row r="149" s="1" customFormat="1" ht="33.75" outlineLevel="1" spans="1:13">
      <c r="A149" s="24">
        <v>19</v>
      </c>
      <c r="B149" s="25" t="s">
        <v>194</v>
      </c>
      <c r="C149" s="25" t="s">
        <v>195</v>
      </c>
      <c r="D149" s="26" t="s">
        <v>60</v>
      </c>
      <c r="E149" s="27">
        <v>2</v>
      </c>
      <c r="F149" s="28">
        <v>1425.47</v>
      </c>
      <c r="G149" s="28">
        <v>234.06</v>
      </c>
      <c r="H149" s="29">
        <v>58.4</v>
      </c>
      <c r="I149" s="29">
        <f t="shared" si="16"/>
        <v>171.793</v>
      </c>
      <c r="J149" s="29">
        <f t="shared" si="17"/>
        <v>170.07507</v>
      </c>
      <c r="K149" s="29">
        <f t="shared" si="18"/>
        <v>2059.79807</v>
      </c>
      <c r="L149" s="23">
        <f t="shared" si="19"/>
        <v>4119.59614</v>
      </c>
      <c r="M149" s="39" t="s">
        <v>159</v>
      </c>
    </row>
    <row r="150" s="1" customFormat="1" ht="33.75" outlineLevel="1" spans="1:13">
      <c r="A150" s="24">
        <v>20</v>
      </c>
      <c r="B150" s="25" t="s">
        <v>238</v>
      </c>
      <c r="C150" s="25" t="s">
        <v>239</v>
      </c>
      <c r="D150" s="26" t="s">
        <v>60</v>
      </c>
      <c r="E150" s="27">
        <v>2</v>
      </c>
      <c r="F150" s="28">
        <v>47.27</v>
      </c>
      <c r="G150" s="28">
        <v>43.24</v>
      </c>
      <c r="H150" s="29">
        <v>2.7</v>
      </c>
      <c r="I150" s="29">
        <f t="shared" si="16"/>
        <v>9.321</v>
      </c>
      <c r="J150" s="29">
        <f t="shared" si="17"/>
        <v>9.22779</v>
      </c>
      <c r="K150" s="29">
        <f t="shared" si="18"/>
        <v>111.75879</v>
      </c>
      <c r="L150" s="23">
        <f t="shared" si="19"/>
        <v>223.51758</v>
      </c>
      <c r="M150" s="39" t="s">
        <v>159</v>
      </c>
    </row>
    <row r="151" s="1" customFormat="1" outlineLevel="1" spans="1:13">
      <c r="A151" s="20" t="s">
        <v>164</v>
      </c>
      <c r="B151" s="21" t="s">
        <v>240</v>
      </c>
      <c r="C151" s="21"/>
      <c r="D151" s="22"/>
      <c r="E151" s="22"/>
      <c r="F151" s="20"/>
      <c r="G151" s="29"/>
      <c r="H151" s="29"/>
      <c r="I151" s="29">
        <f t="shared" si="16"/>
        <v>0</v>
      </c>
      <c r="J151" s="29">
        <f t="shared" si="17"/>
        <v>0</v>
      </c>
      <c r="K151" s="29">
        <f t="shared" si="18"/>
        <v>0</v>
      </c>
      <c r="L151" s="23">
        <f t="shared" si="19"/>
        <v>0</v>
      </c>
      <c r="M151" s="38"/>
    </row>
    <row r="152" s="1" customFormat="1" ht="56.25" outlineLevel="1" spans="1:13">
      <c r="A152" s="24">
        <v>1</v>
      </c>
      <c r="B152" s="25" t="s">
        <v>154</v>
      </c>
      <c r="C152" s="25" t="s">
        <v>241</v>
      </c>
      <c r="D152" s="26" t="s">
        <v>42</v>
      </c>
      <c r="E152" s="27">
        <f>232.63+13.73+22.76+2.9*3*2</f>
        <v>286.52</v>
      </c>
      <c r="F152" s="28">
        <v>0.92</v>
      </c>
      <c r="G152" s="29">
        <v>2.57</v>
      </c>
      <c r="H152" s="29">
        <v>0.85</v>
      </c>
      <c r="I152" s="29">
        <f t="shared" si="16"/>
        <v>0.434</v>
      </c>
      <c r="J152" s="29">
        <f t="shared" si="17"/>
        <v>0.42966</v>
      </c>
      <c r="K152" s="29">
        <f t="shared" si="18"/>
        <v>5.20366</v>
      </c>
      <c r="L152" s="23">
        <f t="shared" si="19"/>
        <v>1490.9526632</v>
      </c>
      <c r="M152" s="39" t="s">
        <v>142</v>
      </c>
    </row>
    <row r="153" s="1" customFormat="1" ht="33.75" outlineLevel="1" spans="1:13">
      <c r="A153" s="24">
        <v>2</v>
      </c>
      <c r="B153" s="25" t="s">
        <v>157</v>
      </c>
      <c r="C153" s="25" t="s">
        <v>242</v>
      </c>
      <c r="D153" s="26" t="s">
        <v>60</v>
      </c>
      <c r="E153" s="27">
        <v>6</v>
      </c>
      <c r="F153" s="24">
        <v>285.43</v>
      </c>
      <c r="G153" s="29">
        <v>43.6</v>
      </c>
      <c r="H153" s="29">
        <v>16.5</v>
      </c>
      <c r="I153" s="29">
        <f t="shared" si="16"/>
        <v>34.553</v>
      </c>
      <c r="J153" s="29">
        <f t="shared" si="17"/>
        <v>34.20747</v>
      </c>
      <c r="K153" s="29">
        <f t="shared" si="18"/>
        <v>414.29047</v>
      </c>
      <c r="L153" s="23">
        <f t="shared" si="19"/>
        <v>2485.74282</v>
      </c>
      <c r="M153" s="39" t="s">
        <v>159</v>
      </c>
    </row>
    <row r="154" s="1" customFormat="1" ht="33.75" outlineLevel="1" spans="1:13">
      <c r="A154" s="24">
        <v>3</v>
      </c>
      <c r="B154" s="25" t="s">
        <v>157</v>
      </c>
      <c r="C154" s="25" t="s">
        <v>243</v>
      </c>
      <c r="D154" s="26" t="s">
        <v>60</v>
      </c>
      <c r="E154" s="27">
        <v>2</v>
      </c>
      <c r="F154" s="24">
        <v>325.43</v>
      </c>
      <c r="G154" s="29">
        <v>500</v>
      </c>
      <c r="H154" s="29">
        <v>16.5</v>
      </c>
      <c r="I154" s="29">
        <f t="shared" si="16"/>
        <v>84.193</v>
      </c>
      <c r="J154" s="29">
        <f t="shared" si="17"/>
        <v>83.35107</v>
      </c>
      <c r="K154" s="29">
        <f t="shared" si="18"/>
        <v>1009.47407</v>
      </c>
      <c r="L154" s="23">
        <f t="shared" si="19"/>
        <v>2018.94814</v>
      </c>
      <c r="M154" s="39" t="s">
        <v>159</v>
      </c>
    </row>
    <row r="155" s="1" customFormat="1" outlineLevel="1" spans="1:13">
      <c r="A155" s="20" t="s">
        <v>196</v>
      </c>
      <c r="B155" s="21" t="s">
        <v>244</v>
      </c>
      <c r="C155" s="21"/>
      <c r="D155" s="22"/>
      <c r="E155" s="22"/>
      <c r="F155" s="20"/>
      <c r="G155" s="29"/>
      <c r="H155" s="29"/>
      <c r="I155" s="29">
        <f t="shared" si="16"/>
        <v>0</v>
      </c>
      <c r="J155" s="29">
        <f t="shared" si="17"/>
        <v>0</v>
      </c>
      <c r="K155" s="29">
        <f t="shared" si="18"/>
        <v>0</v>
      </c>
      <c r="L155" s="23">
        <f t="shared" si="19"/>
        <v>0</v>
      </c>
      <c r="M155" s="38"/>
    </row>
    <row r="156" s="1" customFormat="1" ht="33.75" outlineLevel="1" spans="1:13">
      <c r="A156" s="24">
        <v>1</v>
      </c>
      <c r="B156" s="25" t="s">
        <v>198</v>
      </c>
      <c r="C156" s="25" t="s">
        <v>245</v>
      </c>
      <c r="D156" s="26" t="s">
        <v>103</v>
      </c>
      <c r="E156" s="27">
        <v>3</v>
      </c>
      <c r="F156" s="24">
        <v>90.73</v>
      </c>
      <c r="G156" s="29">
        <v>360</v>
      </c>
      <c r="H156" s="29">
        <v>19.3</v>
      </c>
      <c r="I156" s="29">
        <f t="shared" si="16"/>
        <v>47.003</v>
      </c>
      <c r="J156" s="29">
        <f t="shared" si="17"/>
        <v>46.53297</v>
      </c>
      <c r="K156" s="29">
        <f t="shared" si="18"/>
        <v>563.56597</v>
      </c>
      <c r="L156" s="23">
        <f t="shared" si="19"/>
        <v>1690.69791</v>
      </c>
      <c r="M156" s="39" t="s">
        <v>202</v>
      </c>
    </row>
    <row r="157" s="1" customFormat="1" ht="56.25" outlineLevel="1" spans="1:13">
      <c r="A157" s="24">
        <v>2</v>
      </c>
      <c r="B157" s="25" t="s">
        <v>200</v>
      </c>
      <c r="C157" s="25" t="s">
        <v>246</v>
      </c>
      <c r="D157" s="26" t="s">
        <v>51</v>
      </c>
      <c r="E157" s="27">
        <v>10</v>
      </c>
      <c r="F157" s="28">
        <v>26.59</v>
      </c>
      <c r="G157" s="29">
        <v>34</v>
      </c>
      <c r="H157" s="29">
        <v>22.37</v>
      </c>
      <c r="I157" s="29">
        <f t="shared" si="16"/>
        <v>8.296</v>
      </c>
      <c r="J157" s="29">
        <f t="shared" si="17"/>
        <v>8.21304</v>
      </c>
      <c r="K157" s="29">
        <f t="shared" si="18"/>
        <v>99.46904</v>
      </c>
      <c r="L157" s="23">
        <f t="shared" si="19"/>
        <v>994.6904</v>
      </c>
      <c r="M157" s="39" t="s">
        <v>202</v>
      </c>
    </row>
    <row r="158" s="1" customFormat="1" ht="56.25" outlineLevel="1" spans="1:13">
      <c r="A158" s="24">
        <v>3</v>
      </c>
      <c r="B158" s="25" t="s">
        <v>200</v>
      </c>
      <c r="C158" s="25" t="s">
        <v>247</v>
      </c>
      <c r="D158" s="26" t="s">
        <v>51</v>
      </c>
      <c r="E158" s="27">
        <v>58</v>
      </c>
      <c r="F158" s="28">
        <v>26.59</v>
      </c>
      <c r="G158" s="29">
        <v>34</v>
      </c>
      <c r="H158" s="29">
        <v>22.37</v>
      </c>
      <c r="I158" s="29">
        <f t="shared" si="16"/>
        <v>8.296</v>
      </c>
      <c r="J158" s="29">
        <f t="shared" si="17"/>
        <v>8.21304</v>
      </c>
      <c r="K158" s="29">
        <f t="shared" si="18"/>
        <v>99.46904</v>
      </c>
      <c r="L158" s="23">
        <f t="shared" si="19"/>
        <v>5769.20432</v>
      </c>
      <c r="M158" s="39" t="s">
        <v>202</v>
      </c>
    </row>
    <row r="159" s="1" customFormat="1" ht="56.25" outlineLevel="1" spans="1:13">
      <c r="A159" s="24">
        <v>4</v>
      </c>
      <c r="B159" s="25" t="s">
        <v>200</v>
      </c>
      <c r="C159" s="25" t="s">
        <v>248</v>
      </c>
      <c r="D159" s="26" t="s">
        <v>51</v>
      </c>
      <c r="E159" s="27">
        <v>26</v>
      </c>
      <c r="F159" s="28">
        <v>26.59</v>
      </c>
      <c r="G159" s="29">
        <v>33</v>
      </c>
      <c r="H159" s="29">
        <v>22.37</v>
      </c>
      <c r="I159" s="29">
        <f t="shared" si="16"/>
        <v>8.196</v>
      </c>
      <c r="J159" s="29">
        <f t="shared" si="17"/>
        <v>8.11404</v>
      </c>
      <c r="K159" s="29">
        <f t="shared" si="18"/>
        <v>98.27004</v>
      </c>
      <c r="L159" s="23">
        <f t="shared" si="19"/>
        <v>2555.02104</v>
      </c>
      <c r="M159" s="39" t="s">
        <v>202</v>
      </c>
    </row>
    <row r="160" s="1" customFormat="1" ht="56.25" outlineLevel="1" spans="1:13">
      <c r="A160" s="24">
        <v>5</v>
      </c>
      <c r="B160" s="25" t="s">
        <v>200</v>
      </c>
      <c r="C160" s="25" t="s">
        <v>249</v>
      </c>
      <c r="D160" s="26" t="s">
        <v>51</v>
      </c>
      <c r="E160" s="27">
        <v>30</v>
      </c>
      <c r="F160" s="28">
        <v>26.59</v>
      </c>
      <c r="G160" s="29">
        <v>33</v>
      </c>
      <c r="H160" s="29">
        <v>22.37</v>
      </c>
      <c r="I160" s="29">
        <f t="shared" si="16"/>
        <v>8.196</v>
      </c>
      <c r="J160" s="29">
        <f t="shared" si="17"/>
        <v>8.11404</v>
      </c>
      <c r="K160" s="29">
        <f t="shared" si="18"/>
        <v>98.27004</v>
      </c>
      <c r="L160" s="23">
        <f t="shared" si="19"/>
        <v>2948.1012</v>
      </c>
      <c r="M160" s="39" t="s">
        <v>202</v>
      </c>
    </row>
    <row r="161" s="1" customFormat="1" ht="56.25" outlineLevel="1" spans="1:13">
      <c r="A161" s="24">
        <v>6</v>
      </c>
      <c r="B161" s="25" t="s">
        <v>200</v>
      </c>
      <c r="C161" s="25" t="s">
        <v>250</v>
      </c>
      <c r="D161" s="26" t="s">
        <v>51</v>
      </c>
      <c r="E161" s="27">
        <v>2</v>
      </c>
      <c r="F161" s="28">
        <v>26.59</v>
      </c>
      <c r="G161" s="29">
        <v>34</v>
      </c>
      <c r="H161" s="29">
        <v>22.37</v>
      </c>
      <c r="I161" s="29">
        <f t="shared" si="16"/>
        <v>8.296</v>
      </c>
      <c r="J161" s="29">
        <f t="shared" si="17"/>
        <v>8.21304</v>
      </c>
      <c r="K161" s="29">
        <f t="shared" si="18"/>
        <v>99.46904</v>
      </c>
      <c r="L161" s="23">
        <f t="shared" si="19"/>
        <v>198.93808</v>
      </c>
      <c r="M161" s="39" t="s">
        <v>202</v>
      </c>
    </row>
    <row r="162" s="1" customFormat="1" ht="56.25" outlineLevel="1" spans="1:13">
      <c r="A162" s="24">
        <v>7</v>
      </c>
      <c r="B162" s="25" t="s">
        <v>154</v>
      </c>
      <c r="C162" s="25" t="s">
        <v>206</v>
      </c>
      <c r="D162" s="26" t="s">
        <v>42</v>
      </c>
      <c r="E162" s="27">
        <v>1309.61</v>
      </c>
      <c r="F162" s="28">
        <v>0.92</v>
      </c>
      <c r="G162" s="29">
        <v>1.93</v>
      </c>
      <c r="H162" s="29">
        <v>0.85</v>
      </c>
      <c r="I162" s="29">
        <f t="shared" si="16"/>
        <v>0.37</v>
      </c>
      <c r="J162" s="29">
        <f t="shared" si="17"/>
        <v>0.3663</v>
      </c>
      <c r="K162" s="29">
        <f t="shared" si="18"/>
        <v>4.4363</v>
      </c>
      <c r="L162" s="23">
        <f t="shared" si="19"/>
        <v>5809.822843</v>
      </c>
      <c r="M162" s="39" t="s">
        <v>142</v>
      </c>
    </row>
    <row r="163" s="4" customFormat="1" spans="1:13">
      <c r="A163" s="40" t="s">
        <v>207</v>
      </c>
      <c r="B163" s="41" t="s">
        <v>251</v>
      </c>
      <c r="C163" s="41"/>
      <c r="D163" s="40"/>
      <c r="E163" s="40"/>
      <c r="F163" s="40"/>
      <c r="G163" s="23"/>
      <c r="H163" s="42"/>
      <c r="I163" s="42"/>
      <c r="J163" s="42"/>
      <c r="K163" s="42"/>
      <c r="L163" s="44">
        <f>SUM(L103:L162)</f>
        <v>145434.1608258</v>
      </c>
      <c r="M163" s="45"/>
    </row>
    <row r="164" s="1" customFormat="1" outlineLevel="1" spans="1:13">
      <c r="A164" s="20" t="s">
        <v>38</v>
      </c>
      <c r="B164" s="21" t="s">
        <v>252</v>
      </c>
      <c r="C164" s="21"/>
      <c r="D164" s="22"/>
      <c r="E164" s="22"/>
      <c r="F164" s="20"/>
      <c r="G164" s="23"/>
      <c r="H164" s="23"/>
      <c r="I164" s="29">
        <f t="shared" si="16"/>
        <v>0</v>
      </c>
      <c r="J164" s="29">
        <f t="shared" si="17"/>
        <v>0</v>
      </c>
      <c r="K164" s="29"/>
      <c r="L164" s="23"/>
      <c r="M164" s="38"/>
    </row>
    <row r="165" s="1" customFormat="1" ht="78.75" outlineLevel="1" spans="1:13">
      <c r="A165" s="24">
        <v>1</v>
      </c>
      <c r="B165" s="25" t="s">
        <v>40</v>
      </c>
      <c r="C165" s="25" t="s">
        <v>41</v>
      </c>
      <c r="D165" s="26" t="s">
        <v>42</v>
      </c>
      <c r="E165" s="27">
        <v>184.4</v>
      </c>
      <c r="F165" s="28">
        <v>29.46</v>
      </c>
      <c r="G165" s="29">
        <f>46.5+10</f>
        <v>56.5</v>
      </c>
      <c r="H165" s="29">
        <v>1.31</v>
      </c>
      <c r="I165" s="29">
        <f t="shared" ref="I165:I228" si="20">(F165+G165+H165)*$I$4</f>
        <v>8.727</v>
      </c>
      <c r="J165" s="29">
        <f t="shared" ref="J165:J228" si="21">(F165+G165+H165+I165)*$J$4</f>
        <v>8.63973</v>
      </c>
      <c r="K165" s="29">
        <f t="shared" si="18"/>
        <v>104.63673</v>
      </c>
      <c r="L165" s="23">
        <f t="shared" si="19"/>
        <v>19295.013012</v>
      </c>
      <c r="M165" s="39" t="s">
        <v>43</v>
      </c>
    </row>
    <row r="166" s="1" customFormat="1" ht="78.75" outlineLevel="1" spans="1:13">
      <c r="A166" s="24">
        <v>2</v>
      </c>
      <c r="B166" s="25" t="s">
        <v>40</v>
      </c>
      <c r="C166" s="25" t="s">
        <v>44</v>
      </c>
      <c r="D166" s="26" t="s">
        <v>42</v>
      </c>
      <c r="E166" s="27">
        <v>31.95</v>
      </c>
      <c r="F166" s="28">
        <v>24.65</v>
      </c>
      <c r="G166" s="29">
        <f>30.67+10</f>
        <v>40.67</v>
      </c>
      <c r="H166" s="29">
        <v>1.31</v>
      </c>
      <c r="I166" s="29">
        <f t="shared" si="20"/>
        <v>6.663</v>
      </c>
      <c r="J166" s="29">
        <f t="shared" si="21"/>
        <v>6.59637</v>
      </c>
      <c r="K166" s="29">
        <f t="shared" si="18"/>
        <v>79.88937</v>
      </c>
      <c r="L166" s="23">
        <f t="shared" si="19"/>
        <v>2552.4653715</v>
      </c>
      <c r="M166" s="39" t="s">
        <v>43</v>
      </c>
    </row>
    <row r="167" s="1" customFormat="1" ht="56.25" outlineLevel="1" spans="1:13">
      <c r="A167" s="24">
        <v>3</v>
      </c>
      <c r="B167" s="25" t="s">
        <v>45</v>
      </c>
      <c r="C167" s="25" t="s">
        <v>210</v>
      </c>
      <c r="D167" s="26" t="s">
        <v>47</v>
      </c>
      <c r="E167" s="27">
        <v>112.99</v>
      </c>
      <c r="F167" s="28">
        <v>12.5</v>
      </c>
      <c r="G167" s="29">
        <v>3.92</v>
      </c>
      <c r="H167" s="29">
        <v>4.5</v>
      </c>
      <c r="I167" s="29">
        <f t="shared" si="20"/>
        <v>2.092</v>
      </c>
      <c r="J167" s="29">
        <f t="shared" si="21"/>
        <v>2.07108</v>
      </c>
      <c r="K167" s="29">
        <f t="shared" si="18"/>
        <v>25.08308</v>
      </c>
      <c r="L167" s="23">
        <f t="shared" si="19"/>
        <v>2834.1372092</v>
      </c>
      <c r="M167" s="39" t="s">
        <v>48</v>
      </c>
    </row>
    <row r="168" s="1" customFormat="1" ht="33.75" outlineLevel="1" spans="1:13">
      <c r="A168" s="24">
        <v>4</v>
      </c>
      <c r="B168" s="25" t="s">
        <v>211</v>
      </c>
      <c r="C168" s="25" t="s">
        <v>212</v>
      </c>
      <c r="D168" s="26" t="s">
        <v>213</v>
      </c>
      <c r="E168" s="26">
        <v>0.46</v>
      </c>
      <c r="F168" s="28">
        <v>428.58</v>
      </c>
      <c r="G168" s="29">
        <v>500</v>
      </c>
      <c r="H168" s="29">
        <v>80.32</v>
      </c>
      <c r="I168" s="29">
        <f t="shared" si="20"/>
        <v>100.89</v>
      </c>
      <c r="J168" s="29">
        <f t="shared" si="21"/>
        <v>99.8811</v>
      </c>
      <c r="K168" s="29">
        <f t="shared" si="18"/>
        <v>1209.6711</v>
      </c>
      <c r="L168" s="23">
        <f t="shared" si="19"/>
        <v>556.448706</v>
      </c>
      <c r="M168" s="39"/>
    </row>
    <row r="169" s="1" customFormat="1" ht="78.75" outlineLevel="1" spans="1:13">
      <c r="A169" s="24">
        <v>5</v>
      </c>
      <c r="B169" s="25" t="s">
        <v>49</v>
      </c>
      <c r="C169" s="25" t="s">
        <v>214</v>
      </c>
      <c r="D169" s="26" t="s">
        <v>51</v>
      </c>
      <c r="E169" s="27">
        <v>28</v>
      </c>
      <c r="F169" s="24">
        <v>75.07</v>
      </c>
      <c r="G169" s="29">
        <v>510</v>
      </c>
      <c r="H169" s="29">
        <v>3.63</v>
      </c>
      <c r="I169" s="29">
        <f t="shared" si="20"/>
        <v>58.87</v>
      </c>
      <c r="J169" s="29">
        <f t="shared" si="21"/>
        <v>58.2813</v>
      </c>
      <c r="K169" s="29">
        <f t="shared" si="18"/>
        <v>705.8513</v>
      </c>
      <c r="L169" s="23">
        <f t="shared" si="19"/>
        <v>19763.8364</v>
      </c>
      <c r="M169" s="39" t="s">
        <v>52</v>
      </c>
    </row>
    <row r="170" s="1" customFormat="1" ht="78.75" outlineLevel="1" spans="1:13">
      <c r="A170" s="24">
        <v>6</v>
      </c>
      <c r="B170" s="25" t="s">
        <v>49</v>
      </c>
      <c r="C170" s="25" t="s">
        <v>253</v>
      </c>
      <c r="D170" s="26" t="s">
        <v>51</v>
      </c>
      <c r="E170" s="27">
        <v>2</v>
      </c>
      <c r="F170" s="24">
        <v>75.07</v>
      </c>
      <c r="G170" s="29">
        <v>375</v>
      </c>
      <c r="H170" s="29">
        <v>3.63</v>
      </c>
      <c r="I170" s="29">
        <f t="shared" si="20"/>
        <v>45.37</v>
      </c>
      <c r="J170" s="29">
        <f t="shared" si="21"/>
        <v>44.9163</v>
      </c>
      <c r="K170" s="29">
        <f t="shared" si="18"/>
        <v>543.9863</v>
      </c>
      <c r="L170" s="23">
        <f t="shared" si="19"/>
        <v>1087.9726</v>
      </c>
      <c r="M170" s="39" t="s">
        <v>52</v>
      </c>
    </row>
    <row r="171" s="1" customFormat="1" ht="67.5" outlineLevel="1" spans="1:13">
      <c r="A171" s="24">
        <v>7</v>
      </c>
      <c r="B171" s="25" t="s">
        <v>49</v>
      </c>
      <c r="C171" s="25" t="s">
        <v>216</v>
      </c>
      <c r="D171" s="26" t="s">
        <v>51</v>
      </c>
      <c r="E171" s="27">
        <v>1</v>
      </c>
      <c r="F171" s="24">
        <v>75.07</v>
      </c>
      <c r="G171" s="29">
        <v>375</v>
      </c>
      <c r="H171" s="29">
        <v>3.63</v>
      </c>
      <c r="I171" s="29">
        <f t="shared" si="20"/>
        <v>45.37</v>
      </c>
      <c r="J171" s="29">
        <f t="shared" si="21"/>
        <v>44.9163</v>
      </c>
      <c r="K171" s="29">
        <f t="shared" si="18"/>
        <v>543.9863</v>
      </c>
      <c r="L171" s="23">
        <f t="shared" si="19"/>
        <v>543.9863</v>
      </c>
      <c r="M171" s="39" t="s">
        <v>52</v>
      </c>
    </row>
    <row r="172" s="1" customFormat="1" ht="45" outlineLevel="1" spans="1:13">
      <c r="A172" s="24">
        <v>8</v>
      </c>
      <c r="B172" s="25" t="s">
        <v>54</v>
      </c>
      <c r="C172" s="25" t="s">
        <v>217</v>
      </c>
      <c r="D172" s="26" t="s">
        <v>56</v>
      </c>
      <c r="E172" s="27">
        <v>56</v>
      </c>
      <c r="F172" s="24">
        <v>1.96</v>
      </c>
      <c r="G172" s="29">
        <v>21</v>
      </c>
      <c r="H172" s="29">
        <v>0.5</v>
      </c>
      <c r="I172" s="29">
        <f t="shared" si="20"/>
        <v>2.346</v>
      </c>
      <c r="J172" s="29">
        <f t="shared" si="21"/>
        <v>2.32254</v>
      </c>
      <c r="K172" s="29">
        <f t="shared" si="18"/>
        <v>28.12854</v>
      </c>
      <c r="L172" s="23">
        <f t="shared" si="19"/>
        <v>1575.19824</v>
      </c>
      <c r="M172" s="39" t="s">
        <v>57</v>
      </c>
    </row>
    <row r="173" s="1" customFormat="1" ht="45" outlineLevel="1" spans="1:13">
      <c r="A173" s="24">
        <v>9</v>
      </c>
      <c r="B173" s="25" t="s">
        <v>54</v>
      </c>
      <c r="C173" s="25" t="s">
        <v>218</v>
      </c>
      <c r="D173" s="26" t="s">
        <v>56</v>
      </c>
      <c r="E173" s="27">
        <v>12</v>
      </c>
      <c r="F173" s="24">
        <v>1.96</v>
      </c>
      <c r="G173" s="29">
        <v>35</v>
      </c>
      <c r="H173" s="29">
        <v>0.5</v>
      </c>
      <c r="I173" s="29">
        <f t="shared" si="20"/>
        <v>3.746</v>
      </c>
      <c r="J173" s="29">
        <f t="shared" si="21"/>
        <v>3.70854</v>
      </c>
      <c r="K173" s="29">
        <f t="shared" si="18"/>
        <v>44.91454</v>
      </c>
      <c r="L173" s="23">
        <f t="shared" si="19"/>
        <v>538.97448</v>
      </c>
      <c r="M173" s="39" t="s">
        <v>57</v>
      </c>
    </row>
    <row r="174" s="1" customFormat="1" ht="33.75" outlineLevel="1" spans="1:13">
      <c r="A174" s="24">
        <v>10</v>
      </c>
      <c r="B174" s="25" t="s">
        <v>219</v>
      </c>
      <c r="C174" s="25" t="s">
        <v>220</v>
      </c>
      <c r="D174" s="26" t="s">
        <v>60</v>
      </c>
      <c r="E174" s="27">
        <v>4</v>
      </c>
      <c r="F174" s="24">
        <v>1.96</v>
      </c>
      <c r="G174" s="29">
        <v>38</v>
      </c>
      <c r="H174" s="29">
        <v>0.5</v>
      </c>
      <c r="I174" s="29">
        <f t="shared" si="20"/>
        <v>4.046</v>
      </c>
      <c r="J174" s="29">
        <f t="shared" si="21"/>
        <v>4.00554</v>
      </c>
      <c r="K174" s="29">
        <f t="shared" si="18"/>
        <v>48.51154</v>
      </c>
      <c r="L174" s="23">
        <f t="shared" si="19"/>
        <v>194.04616</v>
      </c>
      <c r="M174" s="39" t="s">
        <v>57</v>
      </c>
    </row>
    <row r="175" s="1" customFormat="1" ht="33.75" outlineLevel="1" spans="1:13">
      <c r="A175" s="24">
        <v>11</v>
      </c>
      <c r="B175" s="25" t="s">
        <v>58</v>
      </c>
      <c r="C175" s="25" t="s">
        <v>59</v>
      </c>
      <c r="D175" s="26" t="s">
        <v>60</v>
      </c>
      <c r="E175" s="27">
        <v>4</v>
      </c>
      <c r="F175" s="24">
        <v>79.59</v>
      </c>
      <c r="G175" s="24">
        <v>60</v>
      </c>
      <c r="H175" s="29">
        <v>18.2</v>
      </c>
      <c r="I175" s="29">
        <f t="shared" si="20"/>
        <v>15.779</v>
      </c>
      <c r="J175" s="29">
        <f t="shared" si="21"/>
        <v>15.62121</v>
      </c>
      <c r="K175" s="29">
        <f t="shared" si="18"/>
        <v>189.19021</v>
      </c>
      <c r="L175" s="29">
        <f t="shared" si="19"/>
        <v>756.76084</v>
      </c>
      <c r="M175" s="39" t="s">
        <v>61</v>
      </c>
    </row>
    <row r="176" s="1" customFormat="1" ht="33.75" outlineLevel="1" spans="1:13">
      <c r="A176" s="24">
        <v>12</v>
      </c>
      <c r="B176" s="25" t="s">
        <v>58</v>
      </c>
      <c r="C176" s="25" t="s">
        <v>254</v>
      </c>
      <c r="D176" s="26" t="s">
        <v>60</v>
      </c>
      <c r="E176" s="27">
        <v>1</v>
      </c>
      <c r="F176" s="28">
        <v>24.65</v>
      </c>
      <c r="G176" s="24">
        <v>45</v>
      </c>
      <c r="H176" s="29">
        <v>21.86</v>
      </c>
      <c r="I176" s="29">
        <f t="shared" si="20"/>
        <v>9.151</v>
      </c>
      <c r="J176" s="29">
        <f t="shared" si="21"/>
        <v>9.05949</v>
      </c>
      <c r="K176" s="29">
        <f t="shared" si="18"/>
        <v>109.72049</v>
      </c>
      <c r="L176" s="29">
        <f t="shared" si="19"/>
        <v>109.72049</v>
      </c>
      <c r="M176" s="39" t="s">
        <v>61</v>
      </c>
    </row>
    <row r="177" s="1" customFormat="1" ht="33.75" outlineLevel="1" spans="1:13">
      <c r="A177" s="24">
        <v>13</v>
      </c>
      <c r="B177" s="25" t="s">
        <v>62</v>
      </c>
      <c r="C177" s="25" t="s">
        <v>63</v>
      </c>
      <c r="D177" s="26" t="s">
        <v>64</v>
      </c>
      <c r="E177" s="27">
        <f>E175</f>
        <v>4</v>
      </c>
      <c r="F177" s="24">
        <v>65.22</v>
      </c>
      <c r="G177" s="24">
        <v>15</v>
      </c>
      <c r="H177" s="29">
        <v>36.25</v>
      </c>
      <c r="I177" s="29">
        <f t="shared" si="20"/>
        <v>11.647</v>
      </c>
      <c r="J177" s="29">
        <f t="shared" si="21"/>
        <v>11.53053</v>
      </c>
      <c r="K177" s="29">
        <f t="shared" si="18"/>
        <v>139.64753</v>
      </c>
      <c r="L177" s="23">
        <f t="shared" si="19"/>
        <v>558.59012</v>
      </c>
      <c r="M177" s="39" t="s">
        <v>61</v>
      </c>
    </row>
    <row r="178" s="1" customFormat="1" ht="33.75" outlineLevel="1" spans="1:13">
      <c r="A178" s="24">
        <v>14</v>
      </c>
      <c r="B178" s="25" t="s">
        <v>58</v>
      </c>
      <c r="C178" s="25" t="s">
        <v>255</v>
      </c>
      <c r="D178" s="26" t="s">
        <v>60</v>
      </c>
      <c r="E178" s="27">
        <f>E176</f>
        <v>1</v>
      </c>
      <c r="F178" s="28">
        <v>24.65</v>
      </c>
      <c r="G178" s="24">
        <v>12</v>
      </c>
      <c r="H178" s="29">
        <v>21.86</v>
      </c>
      <c r="I178" s="29">
        <f t="shared" si="20"/>
        <v>5.851</v>
      </c>
      <c r="J178" s="29">
        <f t="shared" si="21"/>
        <v>5.79249</v>
      </c>
      <c r="K178" s="29">
        <f t="shared" si="18"/>
        <v>70.15349</v>
      </c>
      <c r="L178" s="29">
        <f t="shared" si="19"/>
        <v>70.15349</v>
      </c>
      <c r="M178" s="39" t="s">
        <v>61</v>
      </c>
    </row>
    <row r="179" s="1" customFormat="1" ht="45" outlineLevel="1" spans="1:13">
      <c r="A179" s="24">
        <v>15</v>
      </c>
      <c r="B179" s="25" t="s">
        <v>65</v>
      </c>
      <c r="C179" s="25" t="s">
        <v>66</v>
      </c>
      <c r="D179" s="26" t="s">
        <v>60</v>
      </c>
      <c r="E179" s="27">
        <v>2</v>
      </c>
      <c r="F179" s="24">
        <v>19.59</v>
      </c>
      <c r="G179" s="24">
        <v>15</v>
      </c>
      <c r="H179" s="29">
        <v>5.54</v>
      </c>
      <c r="I179" s="29">
        <f t="shared" si="20"/>
        <v>4.013</v>
      </c>
      <c r="J179" s="29">
        <f t="shared" si="21"/>
        <v>3.97287</v>
      </c>
      <c r="K179" s="29">
        <f t="shared" si="18"/>
        <v>48.11587</v>
      </c>
      <c r="L179" s="23">
        <f t="shared" si="19"/>
        <v>96.23174</v>
      </c>
      <c r="M179" s="39" t="s">
        <v>61</v>
      </c>
    </row>
    <row r="180" s="1" customFormat="1" ht="45" outlineLevel="1" spans="1:13">
      <c r="A180" s="24">
        <v>16</v>
      </c>
      <c r="B180" s="25" t="s">
        <v>67</v>
      </c>
      <c r="C180" s="25" t="s">
        <v>68</v>
      </c>
      <c r="D180" s="26" t="s">
        <v>60</v>
      </c>
      <c r="E180" s="27">
        <v>2</v>
      </c>
      <c r="F180" s="28">
        <v>14.37</v>
      </c>
      <c r="G180" s="28">
        <v>25</v>
      </c>
      <c r="H180" s="29">
        <v>6.4</v>
      </c>
      <c r="I180" s="29">
        <f t="shared" si="20"/>
        <v>4.577</v>
      </c>
      <c r="J180" s="29">
        <f t="shared" si="21"/>
        <v>4.53123</v>
      </c>
      <c r="K180" s="29">
        <f t="shared" si="18"/>
        <v>54.87823</v>
      </c>
      <c r="L180" s="23">
        <f t="shared" si="19"/>
        <v>109.75646</v>
      </c>
      <c r="M180" s="39" t="s">
        <v>61</v>
      </c>
    </row>
    <row r="181" s="1" customFormat="1" ht="45" outlineLevel="1" spans="1:13">
      <c r="A181" s="24">
        <v>17</v>
      </c>
      <c r="B181" s="25" t="s">
        <v>69</v>
      </c>
      <c r="C181" s="25" t="s">
        <v>70</v>
      </c>
      <c r="D181" s="26" t="s">
        <v>71</v>
      </c>
      <c r="E181" s="27">
        <v>1</v>
      </c>
      <c r="F181" s="28">
        <v>285</v>
      </c>
      <c r="G181" s="29">
        <v>125</v>
      </c>
      <c r="H181" s="29">
        <v>68.5</v>
      </c>
      <c r="I181" s="29">
        <f t="shared" si="20"/>
        <v>47.85</v>
      </c>
      <c r="J181" s="29">
        <f t="shared" si="21"/>
        <v>47.3715</v>
      </c>
      <c r="K181" s="29">
        <f t="shared" si="18"/>
        <v>573.7215</v>
      </c>
      <c r="L181" s="23">
        <f t="shared" si="19"/>
        <v>573.7215</v>
      </c>
      <c r="M181" s="39"/>
    </row>
    <row r="182" s="1" customFormat="1" outlineLevel="1" spans="1:13">
      <c r="A182" s="24">
        <v>18</v>
      </c>
      <c r="B182" s="25" t="s">
        <v>72</v>
      </c>
      <c r="C182" s="25" t="s">
        <v>73</v>
      </c>
      <c r="D182" s="26" t="s">
        <v>71</v>
      </c>
      <c r="E182" s="27">
        <v>1</v>
      </c>
      <c r="F182" s="24">
        <v>366.15</v>
      </c>
      <c r="G182" s="29">
        <v>0</v>
      </c>
      <c r="H182" s="29">
        <v>185</v>
      </c>
      <c r="I182" s="29">
        <f t="shared" si="20"/>
        <v>55.115</v>
      </c>
      <c r="J182" s="29">
        <f t="shared" si="21"/>
        <v>54.56385</v>
      </c>
      <c r="K182" s="29">
        <f t="shared" si="18"/>
        <v>660.82885</v>
      </c>
      <c r="L182" s="23">
        <f t="shared" si="19"/>
        <v>660.82885</v>
      </c>
      <c r="M182" s="39"/>
    </row>
    <row r="183" s="1" customFormat="1" outlineLevel="1" spans="1:13">
      <c r="A183" s="20" t="s">
        <v>74</v>
      </c>
      <c r="B183" s="21" t="s">
        <v>256</v>
      </c>
      <c r="C183" s="21"/>
      <c r="D183" s="22"/>
      <c r="E183" s="22"/>
      <c r="F183" s="20"/>
      <c r="G183" s="23"/>
      <c r="H183" s="29"/>
      <c r="I183" s="29">
        <f t="shared" si="20"/>
        <v>0</v>
      </c>
      <c r="J183" s="29">
        <f t="shared" si="21"/>
        <v>0</v>
      </c>
      <c r="K183" s="29">
        <f t="shared" si="18"/>
        <v>0</v>
      </c>
      <c r="L183" s="23">
        <f t="shared" si="19"/>
        <v>0</v>
      </c>
      <c r="M183" s="38"/>
    </row>
    <row r="184" s="1" customFormat="1" ht="101.25" outlineLevel="1" spans="1:13">
      <c r="A184" s="24">
        <v>1</v>
      </c>
      <c r="B184" s="25" t="s">
        <v>101</v>
      </c>
      <c r="C184" s="25" t="s">
        <v>257</v>
      </c>
      <c r="D184" s="26" t="s">
        <v>103</v>
      </c>
      <c r="E184" s="26">
        <v>4</v>
      </c>
      <c r="F184" s="24">
        <v>928.1</v>
      </c>
      <c r="G184" s="24">
        <v>4300</v>
      </c>
      <c r="H184" s="29">
        <v>193.9</v>
      </c>
      <c r="I184" s="29">
        <f t="shared" si="20"/>
        <v>542.2</v>
      </c>
      <c r="J184" s="29">
        <f t="shared" si="21"/>
        <v>536.778</v>
      </c>
      <c r="K184" s="29">
        <f t="shared" si="18"/>
        <v>6500.978</v>
      </c>
      <c r="L184" s="23">
        <f t="shared" si="19"/>
        <v>26003.912</v>
      </c>
      <c r="M184" s="39" t="s">
        <v>104</v>
      </c>
    </row>
    <row r="185" s="1" customFormat="1" ht="101.25" outlineLevel="1" spans="1:13">
      <c r="A185" s="24">
        <v>2</v>
      </c>
      <c r="B185" s="25" t="s">
        <v>222</v>
      </c>
      <c r="C185" s="25" t="s">
        <v>258</v>
      </c>
      <c r="D185" s="26" t="s">
        <v>103</v>
      </c>
      <c r="E185" s="27">
        <v>4</v>
      </c>
      <c r="F185" s="24">
        <v>135.8</v>
      </c>
      <c r="G185" s="24">
        <v>592</v>
      </c>
      <c r="H185" s="29">
        <v>25.6</v>
      </c>
      <c r="I185" s="29">
        <f t="shared" si="20"/>
        <v>75.34</v>
      </c>
      <c r="J185" s="29">
        <f t="shared" si="21"/>
        <v>74.5866</v>
      </c>
      <c r="K185" s="29">
        <f t="shared" si="18"/>
        <v>903.3266</v>
      </c>
      <c r="L185" s="23">
        <f t="shared" si="19"/>
        <v>3613.3064</v>
      </c>
      <c r="M185" s="39" t="s">
        <v>104</v>
      </c>
    </row>
    <row r="186" s="1" customFormat="1" ht="101.25" outlineLevel="1" spans="1:13">
      <c r="A186" s="24">
        <v>3</v>
      </c>
      <c r="B186" s="25" t="s">
        <v>222</v>
      </c>
      <c r="C186" s="25" t="s">
        <v>259</v>
      </c>
      <c r="D186" s="26" t="s">
        <v>103</v>
      </c>
      <c r="E186" s="27">
        <v>3</v>
      </c>
      <c r="F186" s="24">
        <v>135.8</v>
      </c>
      <c r="G186" s="24">
        <v>410</v>
      </c>
      <c r="H186" s="29">
        <v>25.6</v>
      </c>
      <c r="I186" s="29">
        <f t="shared" si="20"/>
        <v>57.14</v>
      </c>
      <c r="J186" s="29">
        <f t="shared" si="21"/>
        <v>56.5686</v>
      </c>
      <c r="K186" s="29">
        <f t="shared" si="18"/>
        <v>685.1086</v>
      </c>
      <c r="L186" s="23">
        <f t="shared" si="19"/>
        <v>2055.3258</v>
      </c>
      <c r="M186" s="39" t="s">
        <v>104</v>
      </c>
    </row>
    <row r="187" s="1" customFormat="1" ht="45" outlineLevel="1" spans="1:13">
      <c r="A187" s="24">
        <v>4</v>
      </c>
      <c r="B187" s="30" t="s">
        <v>114</v>
      </c>
      <c r="C187" s="30" t="s">
        <v>115</v>
      </c>
      <c r="D187" s="31" t="s">
        <v>116</v>
      </c>
      <c r="E187" s="27">
        <v>4.02</v>
      </c>
      <c r="F187" s="24">
        <v>53.22</v>
      </c>
      <c r="G187" s="24">
        <v>132</v>
      </c>
      <c r="H187" s="29">
        <v>24.2</v>
      </c>
      <c r="I187" s="29">
        <f t="shared" si="20"/>
        <v>20.942</v>
      </c>
      <c r="J187" s="29">
        <f t="shared" si="21"/>
        <v>20.73258</v>
      </c>
      <c r="K187" s="29">
        <f t="shared" si="18"/>
        <v>251.09458</v>
      </c>
      <c r="L187" s="23">
        <f t="shared" si="19"/>
        <v>1009.4002116</v>
      </c>
      <c r="M187" s="39"/>
    </row>
    <row r="188" s="1" customFormat="1" ht="112.5" outlineLevel="1" spans="1:13">
      <c r="A188" s="24">
        <v>5</v>
      </c>
      <c r="B188" s="30" t="s">
        <v>117</v>
      </c>
      <c r="C188" s="30" t="s">
        <v>260</v>
      </c>
      <c r="D188" s="31" t="s">
        <v>116</v>
      </c>
      <c r="E188" s="27">
        <v>5.69</v>
      </c>
      <c r="F188" s="24">
        <v>69.69</v>
      </c>
      <c r="G188" s="24">
        <v>42.15</v>
      </c>
      <c r="H188" s="29">
        <v>16.68</v>
      </c>
      <c r="I188" s="29">
        <f t="shared" si="20"/>
        <v>12.852</v>
      </c>
      <c r="J188" s="29">
        <f t="shared" si="21"/>
        <v>12.72348</v>
      </c>
      <c r="K188" s="29">
        <f t="shared" si="18"/>
        <v>154.09548</v>
      </c>
      <c r="L188" s="23">
        <f t="shared" si="19"/>
        <v>876.8032812</v>
      </c>
      <c r="M188" s="39" t="s">
        <v>119</v>
      </c>
    </row>
    <row r="189" s="1" customFormat="1" ht="112.5" outlineLevel="1" spans="1:13">
      <c r="A189" s="24">
        <v>6</v>
      </c>
      <c r="B189" s="30" t="s">
        <v>117</v>
      </c>
      <c r="C189" s="30" t="s">
        <v>120</v>
      </c>
      <c r="D189" s="31" t="s">
        <v>116</v>
      </c>
      <c r="E189" s="27">
        <v>127.97</v>
      </c>
      <c r="F189" s="24">
        <v>44.05</v>
      </c>
      <c r="G189" s="24">
        <v>42.15</v>
      </c>
      <c r="H189" s="29">
        <v>17.18</v>
      </c>
      <c r="I189" s="29">
        <f t="shared" si="20"/>
        <v>10.338</v>
      </c>
      <c r="J189" s="29">
        <f t="shared" si="21"/>
        <v>10.23462</v>
      </c>
      <c r="K189" s="29">
        <f t="shared" si="18"/>
        <v>123.95262</v>
      </c>
      <c r="L189" s="23">
        <f t="shared" si="19"/>
        <v>15862.2167814</v>
      </c>
      <c r="M189" s="39" t="s">
        <v>119</v>
      </c>
    </row>
    <row r="190" s="1" customFormat="1" ht="112.5" outlineLevel="1" spans="1:13">
      <c r="A190" s="24">
        <v>7</v>
      </c>
      <c r="B190" s="30" t="s">
        <v>117</v>
      </c>
      <c r="C190" s="30" t="s">
        <v>261</v>
      </c>
      <c r="D190" s="31" t="s">
        <v>116</v>
      </c>
      <c r="E190" s="27">
        <v>15.05</v>
      </c>
      <c r="F190" s="24">
        <v>46.43</v>
      </c>
      <c r="G190" s="24">
        <v>44</v>
      </c>
      <c r="H190" s="29">
        <v>18.9</v>
      </c>
      <c r="I190" s="29">
        <f t="shared" si="20"/>
        <v>10.933</v>
      </c>
      <c r="J190" s="29">
        <f t="shared" si="21"/>
        <v>10.82367</v>
      </c>
      <c r="K190" s="29">
        <f t="shared" si="18"/>
        <v>131.08667</v>
      </c>
      <c r="L190" s="23">
        <f t="shared" si="19"/>
        <v>1972.8543835</v>
      </c>
      <c r="M190" s="39" t="s">
        <v>119</v>
      </c>
    </row>
    <row r="191" s="1" customFormat="1" ht="112.5" outlineLevel="1" spans="1:13">
      <c r="A191" s="24">
        <v>8</v>
      </c>
      <c r="B191" s="30" t="s">
        <v>117</v>
      </c>
      <c r="C191" s="30" t="s">
        <v>262</v>
      </c>
      <c r="D191" s="31" t="s">
        <v>116</v>
      </c>
      <c r="E191" s="27">
        <v>497.28</v>
      </c>
      <c r="F191" s="24">
        <v>44.05</v>
      </c>
      <c r="G191" s="24">
        <v>42.15</v>
      </c>
      <c r="H191" s="29">
        <v>17.18</v>
      </c>
      <c r="I191" s="29">
        <f t="shared" si="20"/>
        <v>10.338</v>
      </c>
      <c r="J191" s="29">
        <f t="shared" si="21"/>
        <v>10.23462</v>
      </c>
      <c r="K191" s="29">
        <f t="shared" si="18"/>
        <v>123.95262</v>
      </c>
      <c r="L191" s="23">
        <f t="shared" si="19"/>
        <v>61639.1588736</v>
      </c>
      <c r="M191" s="39" t="s">
        <v>119</v>
      </c>
    </row>
    <row r="192" s="1" customFormat="1" ht="45" outlineLevel="1" spans="1:13">
      <c r="A192" s="24">
        <v>9</v>
      </c>
      <c r="B192" s="25" t="s">
        <v>123</v>
      </c>
      <c r="C192" s="25" t="s">
        <v>225</v>
      </c>
      <c r="D192" s="26" t="s">
        <v>60</v>
      </c>
      <c r="E192" s="27">
        <v>3</v>
      </c>
      <c r="F192" s="24">
        <v>51.2</v>
      </c>
      <c r="G192" s="24">
        <v>169</v>
      </c>
      <c r="H192" s="29">
        <v>7.42</v>
      </c>
      <c r="I192" s="29">
        <f t="shared" si="20"/>
        <v>22.762</v>
      </c>
      <c r="J192" s="29">
        <f t="shared" si="21"/>
        <v>22.53438</v>
      </c>
      <c r="K192" s="29">
        <f t="shared" si="18"/>
        <v>272.91638</v>
      </c>
      <c r="L192" s="23">
        <f t="shared" si="19"/>
        <v>818.74914</v>
      </c>
      <c r="M192" s="39" t="s">
        <v>104</v>
      </c>
    </row>
    <row r="193" s="1" customFormat="1" ht="56.25" outlineLevel="1" spans="1:13">
      <c r="A193" s="24">
        <v>10</v>
      </c>
      <c r="B193" s="25" t="s">
        <v>123</v>
      </c>
      <c r="C193" s="25" t="s">
        <v>263</v>
      </c>
      <c r="D193" s="26" t="s">
        <v>60</v>
      </c>
      <c r="E193" s="27">
        <v>56</v>
      </c>
      <c r="F193" s="24">
        <v>51.2</v>
      </c>
      <c r="G193" s="24">
        <v>381</v>
      </c>
      <c r="H193" s="29">
        <v>7.42</v>
      </c>
      <c r="I193" s="29">
        <f t="shared" si="20"/>
        <v>43.962</v>
      </c>
      <c r="J193" s="29">
        <f t="shared" si="21"/>
        <v>43.52238</v>
      </c>
      <c r="K193" s="29">
        <f t="shared" si="18"/>
        <v>527.10438</v>
      </c>
      <c r="L193" s="23">
        <f t="shared" si="19"/>
        <v>29517.84528</v>
      </c>
      <c r="M193" s="39" t="s">
        <v>104</v>
      </c>
    </row>
    <row r="194" s="1" customFormat="1" ht="45" outlineLevel="1" spans="1:13">
      <c r="A194" s="24">
        <v>11</v>
      </c>
      <c r="B194" s="25" t="s">
        <v>127</v>
      </c>
      <c r="C194" s="25" t="s">
        <v>264</v>
      </c>
      <c r="D194" s="26" t="s">
        <v>60</v>
      </c>
      <c r="E194" s="27">
        <v>4</v>
      </c>
      <c r="F194" s="24">
        <v>127.67</v>
      </c>
      <c r="G194" s="24">
        <v>292</v>
      </c>
      <c r="H194" s="29">
        <v>19.82</v>
      </c>
      <c r="I194" s="29">
        <f t="shared" si="20"/>
        <v>43.949</v>
      </c>
      <c r="J194" s="29">
        <f t="shared" si="21"/>
        <v>43.50951</v>
      </c>
      <c r="K194" s="29">
        <f t="shared" si="18"/>
        <v>526.94851</v>
      </c>
      <c r="L194" s="23">
        <f t="shared" si="19"/>
        <v>2107.79404</v>
      </c>
      <c r="M194" s="39" t="s">
        <v>104</v>
      </c>
    </row>
    <row r="195" s="1" customFormat="1" ht="45" outlineLevel="1" spans="1:13">
      <c r="A195" s="24">
        <v>12</v>
      </c>
      <c r="B195" s="25" t="s">
        <v>127</v>
      </c>
      <c r="C195" s="25" t="s">
        <v>265</v>
      </c>
      <c r="D195" s="26" t="s">
        <v>60</v>
      </c>
      <c r="E195" s="27">
        <v>4</v>
      </c>
      <c r="F195" s="24">
        <v>128.67</v>
      </c>
      <c r="G195" s="24">
        <v>200</v>
      </c>
      <c r="H195" s="29">
        <v>20.82</v>
      </c>
      <c r="I195" s="29">
        <f t="shared" si="20"/>
        <v>34.949</v>
      </c>
      <c r="J195" s="29">
        <f t="shared" si="21"/>
        <v>34.59951</v>
      </c>
      <c r="K195" s="29">
        <f t="shared" si="18"/>
        <v>419.03851</v>
      </c>
      <c r="L195" s="23">
        <f t="shared" si="19"/>
        <v>1676.15404</v>
      </c>
      <c r="M195" s="39" t="s">
        <v>104</v>
      </c>
    </row>
    <row r="196" s="1" customFormat="1" ht="45" outlineLevel="1" spans="1:13">
      <c r="A196" s="24">
        <v>13</v>
      </c>
      <c r="B196" s="25" t="s">
        <v>127</v>
      </c>
      <c r="C196" s="25" t="s">
        <v>266</v>
      </c>
      <c r="D196" s="26" t="s">
        <v>60</v>
      </c>
      <c r="E196" s="27">
        <v>6</v>
      </c>
      <c r="F196" s="24">
        <v>127.67</v>
      </c>
      <c r="G196" s="24">
        <v>243</v>
      </c>
      <c r="H196" s="29">
        <v>19.82</v>
      </c>
      <c r="I196" s="29">
        <f t="shared" si="20"/>
        <v>39.049</v>
      </c>
      <c r="J196" s="29">
        <f t="shared" si="21"/>
        <v>38.65851</v>
      </c>
      <c r="K196" s="29">
        <f t="shared" si="18"/>
        <v>468.19751</v>
      </c>
      <c r="L196" s="23">
        <f t="shared" si="19"/>
        <v>2809.18506</v>
      </c>
      <c r="M196" s="39" t="s">
        <v>104</v>
      </c>
    </row>
    <row r="197" s="1" customFormat="1" ht="45" outlineLevel="1" spans="1:13">
      <c r="A197" s="24">
        <v>14</v>
      </c>
      <c r="B197" s="25" t="s">
        <v>127</v>
      </c>
      <c r="C197" s="25" t="s">
        <v>267</v>
      </c>
      <c r="D197" s="26" t="s">
        <v>60</v>
      </c>
      <c r="E197" s="27">
        <v>2</v>
      </c>
      <c r="F197" s="24">
        <v>127.67</v>
      </c>
      <c r="G197" s="24">
        <v>274</v>
      </c>
      <c r="H197" s="29">
        <v>19.82</v>
      </c>
      <c r="I197" s="29">
        <f t="shared" si="20"/>
        <v>42.149</v>
      </c>
      <c r="J197" s="29">
        <f t="shared" si="21"/>
        <v>41.72751</v>
      </c>
      <c r="K197" s="29">
        <f t="shared" si="18"/>
        <v>505.36651</v>
      </c>
      <c r="L197" s="23">
        <f t="shared" si="19"/>
        <v>1010.73302</v>
      </c>
      <c r="M197" s="39" t="s">
        <v>104</v>
      </c>
    </row>
    <row r="198" s="1" customFormat="1" ht="45" outlineLevel="1" spans="1:13">
      <c r="A198" s="24">
        <v>15</v>
      </c>
      <c r="B198" s="25" t="s">
        <v>127</v>
      </c>
      <c r="C198" s="25" t="s">
        <v>268</v>
      </c>
      <c r="D198" s="26" t="s">
        <v>60</v>
      </c>
      <c r="E198" s="27">
        <v>2</v>
      </c>
      <c r="F198" s="24">
        <v>127.67</v>
      </c>
      <c r="G198" s="24">
        <v>245</v>
      </c>
      <c r="H198" s="29">
        <v>19.82</v>
      </c>
      <c r="I198" s="29">
        <f t="shared" si="20"/>
        <v>39.249</v>
      </c>
      <c r="J198" s="29">
        <f t="shared" si="21"/>
        <v>38.85651</v>
      </c>
      <c r="K198" s="29">
        <f t="shared" ref="K198:K261" si="22">F198+G198+H198+I198+J198</f>
        <v>470.59551</v>
      </c>
      <c r="L198" s="23">
        <f t="shared" ref="L198:L261" si="23">K198*E198</f>
        <v>941.19102</v>
      </c>
      <c r="M198" s="39" t="s">
        <v>104</v>
      </c>
    </row>
    <row r="199" s="1" customFormat="1" ht="45" outlineLevel="1" spans="1:13">
      <c r="A199" s="24">
        <v>16</v>
      </c>
      <c r="B199" s="25" t="s">
        <v>127</v>
      </c>
      <c r="C199" s="25" t="s">
        <v>269</v>
      </c>
      <c r="D199" s="26" t="s">
        <v>60</v>
      </c>
      <c r="E199" s="27">
        <v>4</v>
      </c>
      <c r="F199" s="24">
        <v>127.67</v>
      </c>
      <c r="G199" s="24">
        <v>227</v>
      </c>
      <c r="H199" s="29">
        <v>19.82</v>
      </c>
      <c r="I199" s="29">
        <f t="shared" si="20"/>
        <v>37.449</v>
      </c>
      <c r="J199" s="29">
        <f t="shared" si="21"/>
        <v>37.07451</v>
      </c>
      <c r="K199" s="29">
        <f t="shared" si="22"/>
        <v>449.01351</v>
      </c>
      <c r="L199" s="23">
        <f t="shared" si="23"/>
        <v>1796.05404</v>
      </c>
      <c r="M199" s="39" t="s">
        <v>104</v>
      </c>
    </row>
    <row r="200" s="1" customFormat="1" ht="45" outlineLevel="1" spans="1:13">
      <c r="A200" s="24">
        <v>17</v>
      </c>
      <c r="B200" s="25" t="s">
        <v>127</v>
      </c>
      <c r="C200" s="25" t="s">
        <v>270</v>
      </c>
      <c r="D200" s="26" t="s">
        <v>60</v>
      </c>
      <c r="E200" s="27">
        <v>4</v>
      </c>
      <c r="F200" s="24">
        <v>30.63</v>
      </c>
      <c r="G200" s="24">
        <v>168</v>
      </c>
      <c r="H200" s="29">
        <v>9.1</v>
      </c>
      <c r="I200" s="29">
        <f t="shared" si="20"/>
        <v>20.773</v>
      </c>
      <c r="J200" s="29">
        <f t="shared" si="21"/>
        <v>20.56527</v>
      </c>
      <c r="K200" s="29">
        <f t="shared" si="22"/>
        <v>249.06827</v>
      </c>
      <c r="L200" s="23">
        <f t="shared" si="23"/>
        <v>996.27308</v>
      </c>
      <c r="M200" s="39" t="s">
        <v>104</v>
      </c>
    </row>
    <row r="201" s="1" customFormat="1" ht="33.75" outlineLevel="1" spans="1:13">
      <c r="A201" s="24">
        <v>18</v>
      </c>
      <c r="B201" s="25" t="s">
        <v>271</v>
      </c>
      <c r="C201" s="25" t="s">
        <v>272</v>
      </c>
      <c r="D201" s="26" t="s">
        <v>60</v>
      </c>
      <c r="E201" s="27">
        <f>13*4</f>
        <v>52</v>
      </c>
      <c r="F201" s="24">
        <v>35.5</v>
      </c>
      <c r="G201" s="24">
        <v>28</v>
      </c>
      <c r="H201" s="29">
        <v>12.5</v>
      </c>
      <c r="I201" s="29">
        <f t="shared" si="20"/>
        <v>7.6</v>
      </c>
      <c r="J201" s="29">
        <f t="shared" si="21"/>
        <v>7.524</v>
      </c>
      <c r="K201" s="29">
        <f t="shared" si="22"/>
        <v>91.124</v>
      </c>
      <c r="L201" s="23">
        <f t="shared" si="23"/>
        <v>4738.448</v>
      </c>
      <c r="M201" s="39" t="s">
        <v>61</v>
      </c>
    </row>
    <row r="202" s="1" customFormat="1" ht="56.25" outlineLevel="1" spans="1:13">
      <c r="A202" s="24">
        <v>19</v>
      </c>
      <c r="B202" s="25" t="s">
        <v>273</v>
      </c>
      <c r="C202" s="25" t="s">
        <v>274</v>
      </c>
      <c r="D202" s="26" t="s">
        <v>71</v>
      </c>
      <c r="E202" s="27">
        <v>1</v>
      </c>
      <c r="F202" s="24">
        <v>5000</v>
      </c>
      <c r="G202" s="24">
        <v>5000</v>
      </c>
      <c r="H202" s="29">
        <v>350</v>
      </c>
      <c r="I202" s="29">
        <f t="shared" si="20"/>
        <v>1035</v>
      </c>
      <c r="J202" s="29">
        <f t="shared" si="21"/>
        <v>1024.65</v>
      </c>
      <c r="K202" s="29">
        <f t="shared" si="22"/>
        <v>12409.65</v>
      </c>
      <c r="L202" s="23">
        <f t="shared" si="23"/>
        <v>12409.65</v>
      </c>
      <c r="M202" s="39" t="s">
        <v>142</v>
      </c>
    </row>
    <row r="203" s="1" customFormat="1" ht="56.25" outlineLevel="1" spans="1:13">
      <c r="A203" s="24">
        <v>20</v>
      </c>
      <c r="B203" s="25" t="s">
        <v>275</v>
      </c>
      <c r="C203" s="25" t="s">
        <v>276</v>
      </c>
      <c r="D203" s="26" t="s">
        <v>42</v>
      </c>
      <c r="E203" s="27">
        <f>15.6*4</f>
        <v>62.4</v>
      </c>
      <c r="F203" s="24">
        <v>7.1</v>
      </c>
      <c r="G203" s="24">
        <v>7</v>
      </c>
      <c r="H203" s="29">
        <v>3.6</v>
      </c>
      <c r="I203" s="29">
        <f t="shared" si="20"/>
        <v>1.77</v>
      </c>
      <c r="J203" s="29">
        <f t="shared" si="21"/>
        <v>1.7523</v>
      </c>
      <c r="K203" s="29">
        <f t="shared" si="22"/>
        <v>21.2223</v>
      </c>
      <c r="L203" s="23">
        <f t="shared" si="23"/>
        <v>1324.27152</v>
      </c>
      <c r="M203" s="39" t="s">
        <v>142</v>
      </c>
    </row>
    <row r="204" s="1" customFormat="1" ht="56.25" outlineLevel="1" spans="1:13">
      <c r="A204" s="24">
        <v>21</v>
      </c>
      <c r="B204" s="25" t="s">
        <v>277</v>
      </c>
      <c r="C204" s="25" t="s">
        <v>278</v>
      </c>
      <c r="D204" s="26" t="s">
        <v>42</v>
      </c>
      <c r="E204" s="27">
        <f>261.31*4+12.99*2+34.19*2+33.57+34.42+37.52+36.33</f>
        <v>1281.44</v>
      </c>
      <c r="F204" s="24">
        <v>6.77</v>
      </c>
      <c r="G204" s="29">
        <v>9.5</v>
      </c>
      <c r="H204" s="29">
        <v>1.2</v>
      </c>
      <c r="I204" s="29">
        <f t="shared" si="20"/>
        <v>1.747</v>
      </c>
      <c r="J204" s="29">
        <f t="shared" si="21"/>
        <v>1.72953</v>
      </c>
      <c r="K204" s="29">
        <f t="shared" si="22"/>
        <v>20.94653</v>
      </c>
      <c r="L204" s="23">
        <f t="shared" si="23"/>
        <v>26841.7214032</v>
      </c>
      <c r="M204" s="39" t="s">
        <v>142</v>
      </c>
    </row>
    <row r="205" s="1" customFormat="1" ht="56.25" outlineLevel="1" spans="1:13">
      <c r="A205" s="24">
        <v>22</v>
      </c>
      <c r="B205" s="25" t="s">
        <v>279</v>
      </c>
      <c r="C205" s="25" t="s">
        <v>280</v>
      </c>
      <c r="D205" s="26" t="s">
        <v>42</v>
      </c>
      <c r="E205" s="27">
        <f>261.31*4+12.99*2+34.19*2+33.57+34.42+37.52+36.33</f>
        <v>1281.44</v>
      </c>
      <c r="F205" s="24">
        <v>6.77</v>
      </c>
      <c r="G205" s="29">
        <v>9.5</v>
      </c>
      <c r="H205" s="29">
        <v>1.2</v>
      </c>
      <c r="I205" s="29">
        <v>1.26</v>
      </c>
      <c r="J205" s="29">
        <f t="shared" si="21"/>
        <v>1.6857</v>
      </c>
      <c r="K205" s="29">
        <f t="shared" si="22"/>
        <v>20.4157</v>
      </c>
      <c r="L205" s="23">
        <f t="shared" si="23"/>
        <v>26161.494608</v>
      </c>
      <c r="M205" s="39" t="s">
        <v>142</v>
      </c>
    </row>
    <row r="206" s="1" customFormat="1" outlineLevel="1" spans="1:13">
      <c r="A206" s="20" t="s">
        <v>99</v>
      </c>
      <c r="B206" s="21" t="s">
        <v>281</v>
      </c>
      <c r="C206" s="21"/>
      <c r="D206" s="22"/>
      <c r="E206" s="22"/>
      <c r="F206" s="20"/>
      <c r="G206" s="29"/>
      <c r="H206" s="29"/>
      <c r="I206" s="29">
        <f t="shared" si="20"/>
        <v>0</v>
      </c>
      <c r="J206" s="29">
        <f t="shared" si="21"/>
        <v>0</v>
      </c>
      <c r="K206" s="29">
        <f t="shared" si="22"/>
        <v>0</v>
      </c>
      <c r="L206" s="23">
        <f t="shared" si="23"/>
        <v>0</v>
      </c>
      <c r="M206" s="38"/>
    </row>
    <row r="207" s="1" customFormat="1" ht="56.25" outlineLevel="1" spans="1:13">
      <c r="A207" s="24">
        <v>1</v>
      </c>
      <c r="B207" s="25" t="s">
        <v>154</v>
      </c>
      <c r="C207" s="25" t="s">
        <v>282</v>
      </c>
      <c r="D207" s="26" t="s">
        <v>42</v>
      </c>
      <c r="E207" s="27">
        <f>261.3+12.99+34.19+2.9*13*2+33+34+37+36</f>
        <v>523.88</v>
      </c>
      <c r="F207" s="28">
        <v>0.92</v>
      </c>
      <c r="G207" s="29">
        <v>2.04</v>
      </c>
      <c r="H207" s="29">
        <v>0.85</v>
      </c>
      <c r="I207" s="29">
        <f t="shared" si="20"/>
        <v>0.381</v>
      </c>
      <c r="J207" s="29">
        <f t="shared" si="21"/>
        <v>0.37719</v>
      </c>
      <c r="K207" s="29">
        <f t="shared" si="22"/>
        <v>4.56819</v>
      </c>
      <c r="L207" s="23">
        <f t="shared" si="23"/>
        <v>2393.1833772</v>
      </c>
      <c r="M207" s="39" t="s">
        <v>142</v>
      </c>
    </row>
    <row r="208" s="1" customFormat="1" ht="56.25" outlineLevel="1" spans="1:13">
      <c r="A208" s="24">
        <v>2</v>
      </c>
      <c r="B208" s="25" t="s">
        <v>154</v>
      </c>
      <c r="C208" s="25" t="s">
        <v>283</v>
      </c>
      <c r="D208" s="26" t="s">
        <v>42</v>
      </c>
      <c r="E208" s="27">
        <f>261.3+12.99+34.19+2.9*13*2+33+34+37+36</f>
        <v>523.88</v>
      </c>
      <c r="F208" s="28">
        <v>0.92</v>
      </c>
      <c r="G208" s="29">
        <v>2.8</v>
      </c>
      <c r="H208" s="29">
        <v>0.85</v>
      </c>
      <c r="I208" s="29">
        <f t="shared" si="20"/>
        <v>0.457</v>
      </c>
      <c r="J208" s="29">
        <f t="shared" si="21"/>
        <v>0.45243</v>
      </c>
      <c r="K208" s="29">
        <f t="shared" si="22"/>
        <v>5.47943</v>
      </c>
      <c r="L208" s="23">
        <f t="shared" si="23"/>
        <v>2870.5637884</v>
      </c>
      <c r="M208" s="39" t="s">
        <v>142</v>
      </c>
    </row>
    <row r="209" s="1" customFormat="1" ht="33.75" outlineLevel="1" spans="1:13">
      <c r="A209" s="24">
        <v>3</v>
      </c>
      <c r="B209" s="25" t="s">
        <v>157</v>
      </c>
      <c r="C209" s="25" t="s">
        <v>284</v>
      </c>
      <c r="D209" s="26" t="s">
        <v>60</v>
      </c>
      <c r="E209" s="27">
        <v>8</v>
      </c>
      <c r="F209" s="24">
        <v>285.43</v>
      </c>
      <c r="G209" s="29">
        <v>116</v>
      </c>
      <c r="H209" s="29">
        <v>66.5</v>
      </c>
      <c r="I209" s="29">
        <f t="shared" si="20"/>
        <v>46.793</v>
      </c>
      <c r="J209" s="29">
        <f t="shared" si="21"/>
        <v>46.32507</v>
      </c>
      <c r="K209" s="29">
        <f t="shared" si="22"/>
        <v>561.04807</v>
      </c>
      <c r="L209" s="23">
        <f t="shared" si="23"/>
        <v>4488.38456</v>
      </c>
      <c r="M209" s="39" t="s">
        <v>159</v>
      </c>
    </row>
    <row r="210" s="1" customFormat="1" ht="22.5" outlineLevel="1" spans="1:13">
      <c r="A210" s="20" t="s">
        <v>152</v>
      </c>
      <c r="B210" s="21" t="s">
        <v>285</v>
      </c>
      <c r="C210" s="21"/>
      <c r="D210" s="22"/>
      <c r="E210" s="22"/>
      <c r="F210" s="20"/>
      <c r="G210" s="29"/>
      <c r="H210" s="29"/>
      <c r="I210" s="29">
        <f t="shared" si="20"/>
        <v>0</v>
      </c>
      <c r="J210" s="29">
        <f t="shared" si="21"/>
        <v>0</v>
      </c>
      <c r="K210" s="29">
        <f t="shared" si="22"/>
        <v>0</v>
      </c>
      <c r="L210" s="23">
        <f t="shared" si="23"/>
        <v>0</v>
      </c>
      <c r="M210" s="38"/>
    </row>
    <row r="211" s="1" customFormat="1" ht="67.5" outlineLevel="1" spans="1:13">
      <c r="A211" s="24">
        <v>1</v>
      </c>
      <c r="B211" s="25" t="s">
        <v>154</v>
      </c>
      <c r="C211" s="25" t="s">
        <v>166</v>
      </c>
      <c r="D211" s="26" t="s">
        <v>42</v>
      </c>
      <c r="E211" s="27">
        <f>261.31+12.99+34.19+2.9*14*2</f>
        <v>389.69</v>
      </c>
      <c r="F211" s="28">
        <v>0.92</v>
      </c>
      <c r="G211" s="29">
        <v>3.46</v>
      </c>
      <c r="H211" s="29">
        <v>0.85</v>
      </c>
      <c r="I211" s="29">
        <f t="shared" si="20"/>
        <v>0.523</v>
      </c>
      <c r="J211" s="29">
        <f t="shared" si="21"/>
        <v>0.51777</v>
      </c>
      <c r="K211" s="29">
        <f t="shared" si="22"/>
        <v>6.27077</v>
      </c>
      <c r="L211" s="23">
        <f t="shared" si="23"/>
        <v>2443.6563613</v>
      </c>
      <c r="M211" s="39" t="s">
        <v>142</v>
      </c>
    </row>
    <row r="212" s="1" customFormat="1" ht="67.5" outlineLevel="1" spans="1:13">
      <c r="A212" s="24">
        <v>2</v>
      </c>
      <c r="B212" s="25" t="s">
        <v>154</v>
      </c>
      <c r="C212" s="25" t="s">
        <v>232</v>
      </c>
      <c r="D212" s="26" t="s">
        <v>42</v>
      </c>
      <c r="E212" s="27">
        <f>E211*2</f>
        <v>779.38</v>
      </c>
      <c r="F212" s="28">
        <v>0.92</v>
      </c>
      <c r="G212" s="29">
        <v>4.2</v>
      </c>
      <c r="H212" s="29">
        <v>0.85</v>
      </c>
      <c r="I212" s="29">
        <f t="shared" si="20"/>
        <v>0.597</v>
      </c>
      <c r="J212" s="29">
        <f t="shared" si="21"/>
        <v>0.59103</v>
      </c>
      <c r="K212" s="29">
        <f t="shared" si="22"/>
        <v>7.15803</v>
      </c>
      <c r="L212" s="23">
        <f t="shared" si="23"/>
        <v>5578.8254214</v>
      </c>
      <c r="M212" s="39" t="s">
        <v>142</v>
      </c>
    </row>
    <row r="213" s="1" customFormat="1" ht="67.5" outlineLevel="1" spans="1:13">
      <c r="A213" s="24">
        <v>3</v>
      </c>
      <c r="B213" s="25" t="s">
        <v>154</v>
      </c>
      <c r="C213" s="25" t="s">
        <v>168</v>
      </c>
      <c r="D213" s="26" t="s">
        <v>42</v>
      </c>
      <c r="E213" s="27">
        <f>261.31+12.99+34.19</f>
        <v>308.49</v>
      </c>
      <c r="F213" s="28">
        <v>0.92</v>
      </c>
      <c r="G213" s="29">
        <v>3.64</v>
      </c>
      <c r="H213" s="29">
        <v>0.85</v>
      </c>
      <c r="I213" s="29">
        <f t="shared" si="20"/>
        <v>0.541</v>
      </c>
      <c r="J213" s="29">
        <f t="shared" si="21"/>
        <v>0.53559</v>
      </c>
      <c r="K213" s="29">
        <f t="shared" si="22"/>
        <v>6.48659</v>
      </c>
      <c r="L213" s="23">
        <f t="shared" si="23"/>
        <v>2001.0481491</v>
      </c>
      <c r="M213" s="39" t="s">
        <v>142</v>
      </c>
    </row>
    <row r="214" s="1" customFormat="1" ht="67.5" outlineLevel="1" spans="1:13">
      <c r="A214" s="24">
        <v>4</v>
      </c>
      <c r="B214" s="25" t="s">
        <v>154</v>
      </c>
      <c r="C214" s="25" t="s">
        <v>169</v>
      </c>
      <c r="D214" s="26" t="s">
        <v>42</v>
      </c>
      <c r="E214" s="27">
        <f>261.31+12.99+34.19</f>
        <v>308.49</v>
      </c>
      <c r="F214" s="28">
        <v>0.92</v>
      </c>
      <c r="G214" s="29">
        <v>3.64</v>
      </c>
      <c r="H214" s="29">
        <v>0.85</v>
      </c>
      <c r="I214" s="29">
        <f t="shared" si="20"/>
        <v>0.541</v>
      </c>
      <c r="J214" s="29">
        <f t="shared" si="21"/>
        <v>0.53559</v>
      </c>
      <c r="K214" s="29">
        <f t="shared" si="22"/>
        <v>6.48659</v>
      </c>
      <c r="L214" s="23">
        <f t="shared" si="23"/>
        <v>2001.0481491</v>
      </c>
      <c r="M214" s="39" t="s">
        <v>142</v>
      </c>
    </row>
    <row r="215" s="1" customFormat="1" ht="67.5" outlineLevel="1" spans="1:13">
      <c r="A215" s="24">
        <v>5</v>
      </c>
      <c r="B215" s="25" t="s">
        <v>154</v>
      </c>
      <c r="C215" s="25" t="s">
        <v>170</v>
      </c>
      <c r="D215" s="26" t="s">
        <v>42</v>
      </c>
      <c r="E215" s="27">
        <v>972.55</v>
      </c>
      <c r="F215" s="28">
        <v>0.92</v>
      </c>
      <c r="G215" s="29">
        <v>2.04</v>
      </c>
      <c r="H215" s="29">
        <v>0.85</v>
      </c>
      <c r="I215" s="29">
        <f t="shared" si="20"/>
        <v>0.381</v>
      </c>
      <c r="J215" s="29">
        <f t="shared" si="21"/>
        <v>0.37719</v>
      </c>
      <c r="K215" s="29">
        <f t="shared" si="22"/>
        <v>4.56819</v>
      </c>
      <c r="L215" s="23">
        <f t="shared" si="23"/>
        <v>4442.7931845</v>
      </c>
      <c r="M215" s="39" t="s">
        <v>142</v>
      </c>
    </row>
    <row r="216" s="1" customFormat="1" ht="67.5" outlineLevel="1" spans="1:13">
      <c r="A216" s="24">
        <v>6</v>
      </c>
      <c r="B216" s="25" t="s">
        <v>154</v>
      </c>
      <c r="C216" s="25" t="s">
        <v>233</v>
      </c>
      <c r="D216" s="26" t="s">
        <v>42</v>
      </c>
      <c r="E216" s="27">
        <v>1238.84</v>
      </c>
      <c r="F216" s="28">
        <v>0.92</v>
      </c>
      <c r="G216" s="29">
        <v>1.89</v>
      </c>
      <c r="H216" s="29">
        <v>0.85</v>
      </c>
      <c r="I216" s="29">
        <f t="shared" si="20"/>
        <v>0.366</v>
      </c>
      <c r="J216" s="29">
        <f t="shared" si="21"/>
        <v>0.36234</v>
      </c>
      <c r="K216" s="29">
        <f t="shared" si="22"/>
        <v>4.38834</v>
      </c>
      <c r="L216" s="23">
        <f t="shared" si="23"/>
        <v>5436.4511256</v>
      </c>
      <c r="M216" s="39" t="s">
        <v>142</v>
      </c>
    </row>
    <row r="217" s="1" customFormat="1" ht="67.5" outlineLevel="1" spans="1:13">
      <c r="A217" s="24">
        <v>7</v>
      </c>
      <c r="B217" s="25" t="s">
        <v>154</v>
      </c>
      <c r="C217" s="25" t="s">
        <v>172</v>
      </c>
      <c r="D217" s="26" t="s">
        <v>42</v>
      </c>
      <c r="E217" s="27">
        <v>448.53</v>
      </c>
      <c r="F217" s="28">
        <v>0.92</v>
      </c>
      <c r="G217" s="29">
        <v>3.64</v>
      </c>
      <c r="H217" s="29">
        <v>0.85</v>
      </c>
      <c r="I217" s="29">
        <f t="shared" si="20"/>
        <v>0.541</v>
      </c>
      <c r="J217" s="29">
        <f t="shared" si="21"/>
        <v>0.53559</v>
      </c>
      <c r="K217" s="29">
        <f t="shared" si="22"/>
        <v>6.48659</v>
      </c>
      <c r="L217" s="23">
        <f t="shared" si="23"/>
        <v>2909.4302127</v>
      </c>
      <c r="M217" s="39" t="s">
        <v>142</v>
      </c>
    </row>
    <row r="218" s="1" customFormat="1" ht="67.5" outlineLevel="1" spans="1:13">
      <c r="A218" s="24">
        <v>8</v>
      </c>
      <c r="B218" s="25" t="s">
        <v>154</v>
      </c>
      <c r="C218" s="25" t="s">
        <v>173</v>
      </c>
      <c r="D218" s="26" t="s">
        <v>42</v>
      </c>
      <c r="E218" s="27">
        <v>362.57</v>
      </c>
      <c r="F218" s="28">
        <v>0.92</v>
      </c>
      <c r="G218" s="29">
        <v>1.98</v>
      </c>
      <c r="H218" s="29">
        <v>0.85</v>
      </c>
      <c r="I218" s="29">
        <f t="shared" si="20"/>
        <v>0.375</v>
      </c>
      <c r="J218" s="29">
        <f t="shared" si="21"/>
        <v>0.37125</v>
      </c>
      <c r="K218" s="29">
        <f t="shared" si="22"/>
        <v>4.49625</v>
      </c>
      <c r="L218" s="23">
        <f t="shared" si="23"/>
        <v>1630.2053625</v>
      </c>
      <c r="M218" s="39" t="s">
        <v>142</v>
      </c>
    </row>
    <row r="219" s="1" customFormat="1" ht="33.75" outlineLevel="1" spans="1:13">
      <c r="A219" s="24">
        <v>9</v>
      </c>
      <c r="B219" s="25" t="s">
        <v>174</v>
      </c>
      <c r="C219" s="25" t="s">
        <v>175</v>
      </c>
      <c r="D219" s="26" t="s">
        <v>60</v>
      </c>
      <c r="E219" s="27">
        <v>30</v>
      </c>
      <c r="F219" s="28">
        <v>192.41</v>
      </c>
      <c r="G219" s="28">
        <v>26.6</v>
      </c>
      <c r="H219" s="29">
        <v>10.12</v>
      </c>
      <c r="I219" s="29">
        <f t="shared" si="20"/>
        <v>22.913</v>
      </c>
      <c r="J219" s="29">
        <f t="shared" si="21"/>
        <v>22.68387</v>
      </c>
      <c r="K219" s="29">
        <f t="shared" si="22"/>
        <v>274.72687</v>
      </c>
      <c r="L219" s="23">
        <f t="shared" si="23"/>
        <v>8241.8061</v>
      </c>
      <c r="M219" s="39" t="s">
        <v>159</v>
      </c>
    </row>
    <row r="220" s="1" customFormat="1" ht="33.75" outlineLevel="1" spans="1:13">
      <c r="A220" s="24">
        <v>10</v>
      </c>
      <c r="B220" s="25" t="s">
        <v>176</v>
      </c>
      <c r="C220" s="25" t="s">
        <v>177</v>
      </c>
      <c r="D220" s="26" t="s">
        <v>60</v>
      </c>
      <c r="E220" s="27">
        <v>140</v>
      </c>
      <c r="F220" s="28">
        <v>37.21</v>
      </c>
      <c r="G220" s="28">
        <v>19.2</v>
      </c>
      <c r="H220" s="29">
        <v>2.21</v>
      </c>
      <c r="I220" s="29">
        <f t="shared" si="20"/>
        <v>5.862</v>
      </c>
      <c r="J220" s="29">
        <f t="shared" si="21"/>
        <v>5.80338</v>
      </c>
      <c r="K220" s="29">
        <f t="shared" si="22"/>
        <v>70.28538</v>
      </c>
      <c r="L220" s="23">
        <f t="shared" si="23"/>
        <v>9839.9532</v>
      </c>
      <c r="M220" s="39" t="s">
        <v>159</v>
      </c>
    </row>
    <row r="221" s="1" customFormat="1" ht="45" outlineLevel="1" spans="1:13">
      <c r="A221" s="24">
        <v>11</v>
      </c>
      <c r="B221" s="25" t="s">
        <v>180</v>
      </c>
      <c r="C221" s="25" t="s">
        <v>181</v>
      </c>
      <c r="D221" s="26" t="s">
        <v>60</v>
      </c>
      <c r="E221" s="27">
        <v>30</v>
      </c>
      <c r="F221" s="28">
        <v>65.22</v>
      </c>
      <c r="G221" s="28">
        <v>26.92</v>
      </c>
      <c r="H221" s="29">
        <v>4.5</v>
      </c>
      <c r="I221" s="29">
        <f t="shared" si="20"/>
        <v>9.664</v>
      </c>
      <c r="J221" s="29">
        <f t="shared" si="21"/>
        <v>9.56736</v>
      </c>
      <c r="K221" s="29">
        <f t="shared" si="22"/>
        <v>115.87136</v>
      </c>
      <c r="L221" s="23">
        <f t="shared" si="23"/>
        <v>3476.1408</v>
      </c>
      <c r="M221" s="39" t="s">
        <v>159</v>
      </c>
    </row>
    <row r="222" s="1" customFormat="1" ht="33.75" outlineLevel="1" spans="1:13">
      <c r="A222" s="24">
        <v>12</v>
      </c>
      <c r="B222" s="25" t="s">
        <v>182</v>
      </c>
      <c r="C222" s="25" t="s">
        <v>183</v>
      </c>
      <c r="D222" s="26" t="s">
        <v>60</v>
      </c>
      <c r="E222" s="27">
        <v>30</v>
      </c>
      <c r="F222" s="28">
        <v>78.12</v>
      </c>
      <c r="G222" s="28">
        <v>30.08</v>
      </c>
      <c r="H222" s="29">
        <v>3.62</v>
      </c>
      <c r="I222" s="29">
        <f t="shared" si="20"/>
        <v>11.182</v>
      </c>
      <c r="J222" s="29">
        <f t="shared" si="21"/>
        <v>11.07018</v>
      </c>
      <c r="K222" s="29">
        <f t="shared" si="22"/>
        <v>134.07218</v>
      </c>
      <c r="L222" s="23">
        <f t="shared" si="23"/>
        <v>4022.1654</v>
      </c>
      <c r="M222" s="39" t="s">
        <v>159</v>
      </c>
    </row>
    <row r="223" s="1" customFormat="1" ht="33.75" outlineLevel="1" spans="1:13">
      <c r="A223" s="24">
        <v>13</v>
      </c>
      <c r="B223" s="25" t="s">
        <v>184</v>
      </c>
      <c r="C223" s="25" t="s">
        <v>185</v>
      </c>
      <c r="D223" s="26" t="s">
        <v>60</v>
      </c>
      <c r="E223" s="27">
        <v>57</v>
      </c>
      <c r="F223" s="28">
        <v>195.64</v>
      </c>
      <c r="G223" s="28">
        <v>22.56</v>
      </c>
      <c r="H223" s="29">
        <v>7.17</v>
      </c>
      <c r="I223" s="29">
        <f t="shared" si="20"/>
        <v>22.537</v>
      </c>
      <c r="J223" s="29">
        <f t="shared" si="21"/>
        <v>22.31163</v>
      </c>
      <c r="K223" s="29">
        <f t="shared" si="22"/>
        <v>270.21863</v>
      </c>
      <c r="L223" s="23">
        <f t="shared" si="23"/>
        <v>15402.46191</v>
      </c>
      <c r="M223" s="39" t="s">
        <v>159</v>
      </c>
    </row>
    <row r="224" s="1" customFormat="1" ht="33.75" outlineLevel="1" spans="1:13">
      <c r="A224" s="24">
        <v>14</v>
      </c>
      <c r="B224" s="25" t="s">
        <v>186</v>
      </c>
      <c r="C224" s="25" t="s">
        <v>187</v>
      </c>
      <c r="D224" s="26" t="s">
        <v>60</v>
      </c>
      <c r="E224" s="27">
        <v>89</v>
      </c>
      <c r="F224" s="28">
        <v>48.37</v>
      </c>
      <c r="G224" s="28">
        <v>19.4</v>
      </c>
      <c r="H224" s="29">
        <v>3.2</v>
      </c>
      <c r="I224" s="29">
        <f t="shared" si="20"/>
        <v>7.097</v>
      </c>
      <c r="J224" s="29">
        <f t="shared" si="21"/>
        <v>7.02603</v>
      </c>
      <c r="K224" s="29">
        <f t="shared" si="22"/>
        <v>85.09303</v>
      </c>
      <c r="L224" s="23">
        <f t="shared" si="23"/>
        <v>7573.27967</v>
      </c>
      <c r="M224" s="39" t="s">
        <v>159</v>
      </c>
    </row>
    <row r="225" s="1" customFormat="1" ht="33.75" outlineLevel="1" spans="1:13">
      <c r="A225" s="24">
        <v>15</v>
      </c>
      <c r="B225" s="25" t="s">
        <v>188</v>
      </c>
      <c r="C225" s="25" t="s">
        <v>189</v>
      </c>
      <c r="D225" s="26" t="s">
        <v>60</v>
      </c>
      <c r="E225" s="27">
        <v>30</v>
      </c>
      <c r="F225" s="28">
        <v>50.98</v>
      </c>
      <c r="G225" s="28">
        <v>46.66</v>
      </c>
      <c r="H225" s="29">
        <v>30.84</v>
      </c>
      <c r="I225" s="29">
        <f t="shared" si="20"/>
        <v>12.848</v>
      </c>
      <c r="J225" s="29">
        <f t="shared" si="21"/>
        <v>12.71952</v>
      </c>
      <c r="K225" s="29">
        <f t="shared" si="22"/>
        <v>154.04752</v>
      </c>
      <c r="L225" s="23">
        <f t="shared" si="23"/>
        <v>4621.4256</v>
      </c>
      <c r="M225" s="39" t="s">
        <v>159</v>
      </c>
    </row>
    <row r="226" s="1" customFormat="1" ht="33.75" outlineLevel="1" spans="1:13">
      <c r="A226" s="24">
        <v>16</v>
      </c>
      <c r="B226" s="25" t="s">
        <v>234</v>
      </c>
      <c r="C226" s="25" t="s">
        <v>235</v>
      </c>
      <c r="D226" s="26" t="s">
        <v>60</v>
      </c>
      <c r="E226" s="27">
        <v>2</v>
      </c>
      <c r="F226" s="28">
        <v>192.41</v>
      </c>
      <c r="G226" s="28">
        <v>29.56</v>
      </c>
      <c r="H226" s="29">
        <v>4.5</v>
      </c>
      <c r="I226" s="29">
        <f t="shared" si="20"/>
        <v>22.647</v>
      </c>
      <c r="J226" s="29">
        <f t="shared" si="21"/>
        <v>22.42053</v>
      </c>
      <c r="K226" s="29">
        <f t="shared" si="22"/>
        <v>271.53753</v>
      </c>
      <c r="L226" s="23">
        <f t="shared" si="23"/>
        <v>543.07506</v>
      </c>
      <c r="M226" s="39" t="s">
        <v>159</v>
      </c>
    </row>
    <row r="227" s="1" customFormat="1" ht="33.75" outlineLevel="1" spans="1:13">
      <c r="A227" s="24">
        <v>17</v>
      </c>
      <c r="B227" s="25" t="s">
        <v>236</v>
      </c>
      <c r="C227" s="25" t="s">
        <v>237</v>
      </c>
      <c r="D227" s="26" t="s">
        <v>60</v>
      </c>
      <c r="E227" s="27">
        <v>2</v>
      </c>
      <c r="F227" s="28">
        <v>192.47</v>
      </c>
      <c r="G227" s="28">
        <v>26.56</v>
      </c>
      <c r="H227" s="29">
        <v>7.5</v>
      </c>
      <c r="I227" s="29">
        <f t="shared" si="20"/>
        <v>22.653</v>
      </c>
      <c r="J227" s="29">
        <f t="shared" si="21"/>
        <v>22.42647</v>
      </c>
      <c r="K227" s="29">
        <f t="shared" si="22"/>
        <v>271.60947</v>
      </c>
      <c r="L227" s="23">
        <f t="shared" si="23"/>
        <v>543.21894</v>
      </c>
      <c r="M227" s="39" t="s">
        <v>159</v>
      </c>
    </row>
    <row r="228" s="1" customFormat="1" ht="33.75" outlineLevel="1" spans="1:13">
      <c r="A228" s="24">
        <v>18</v>
      </c>
      <c r="B228" s="25" t="s">
        <v>286</v>
      </c>
      <c r="C228" s="25" t="s">
        <v>287</v>
      </c>
      <c r="D228" s="26" t="s">
        <v>60</v>
      </c>
      <c r="E228" s="27">
        <v>5</v>
      </c>
      <c r="F228" s="28">
        <v>45.9</v>
      </c>
      <c r="G228" s="28">
        <v>72.9</v>
      </c>
      <c r="H228" s="29">
        <v>33</v>
      </c>
      <c r="I228" s="29">
        <f t="shared" si="20"/>
        <v>15.18</v>
      </c>
      <c r="J228" s="29">
        <f t="shared" si="21"/>
        <v>15.0282</v>
      </c>
      <c r="K228" s="29">
        <f t="shared" si="22"/>
        <v>182.0082</v>
      </c>
      <c r="L228" s="23">
        <f t="shared" si="23"/>
        <v>910.041</v>
      </c>
      <c r="M228" s="39" t="s">
        <v>159</v>
      </c>
    </row>
    <row r="229" s="1" customFormat="1" ht="33.75" outlineLevel="1" spans="1:13">
      <c r="A229" s="24">
        <v>19</v>
      </c>
      <c r="B229" s="25" t="s">
        <v>192</v>
      </c>
      <c r="C229" s="25" t="s">
        <v>193</v>
      </c>
      <c r="D229" s="26" t="s">
        <v>60</v>
      </c>
      <c r="E229" s="27">
        <v>62</v>
      </c>
      <c r="F229" s="28">
        <v>254.48</v>
      </c>
      <c r="G229" s="28">
        <v>21.15</v>
      </c>
      <c r="H229" s="29">
        <v>10.26</v>
      </c>
      <c r="I229" s="29">
        <f t="shared" ref="I229:I292" si="24">(F229+G229+H229)*$I$4</f>
        <v>28.589</v>
      </c>
      <c r="J229" s="29">
        <f t="shared" ref="J229:J292" si="25">(F229+G229+H229+I229)*$J$4</f>
        <v>28.30311</v>
      </c>
      <c r="K229" s="29">
        <f t="shared" si="22"/>
        <v>342.78211</v>
      </c>
      <c r="L229" s="23">
        <f t="shared" si="23"/>
        <v>21252.49082</v>
      </c>
      <c r="M229" s="39" t="s">
        <v>159</v>
      </c>
    </row>
    <row r="230" s="1" customFormat="1" ht="33.75" outlineLevel="1" spans="1:13">
      <c r="A230" s="24">
        <v>20</v>
      </c>
      <c r="B230" s="25" t="s">
        <v>194</v>
      </c>
      <c r="C230" s="25" t="s">
        <v>195</v>
      </c>
      <c r="D230" s="26" t="s">
        <v>60</v>
      </c>
      <c r="E230" s="27">
        <v>2</v>
      </c>
      <c r="F230" s="28">
        <v>1425.47</v>
      </c>
      <c r="G230" s="28">
        <v>234.06</v>
      </c>
      <c r="H230" s="29">
        <v>58.4</v>
      </c>
      <c r="I230" s="29">
        <f t="shared" si="24"/>
        <v>171.793</v>
      </c>
      <c r="J230" s="29">
        <f t="shared" si="25"/>
        <v>170.07507</v>
      </c>
      <c r="K230" s="29">
        <f t="shared" si="22"/>
        <v>2059.79807</v>
      </c>
      <c r="L230" s="23">
        <f t="shared" si="23"/>
        <v>4119.59614</v>
      </c>
      <c r="M230" s="39" t="s">
        <v>159</v>
      </c>
    </row>
    <row r="231" s="1" customFormat="1" ht="33.75" outlineLevel="1" spans="1:13">
      <c r="A231" s="24">
        <v>21</v>
      </c>
      <c r="B231" s="25" t="s">
        <v>238</v>
      </c>
      <c r="C231" s="25" t="s">
        <v>239</v>
      </c>
      <c r="D231" s="26" t="s">
        <v>60</v>
      </c>
      <c r="E231" s="27">
        <v>7</v>
      </c>
      <c r="F231" s="28">
        <v>47.27</v>
      </c>
      <c r="G231" s="28">
        <v>43.24</v>
      </c>
      <c r="H231" s="29">
        <v>2.7</v>
      </c>
      <c r="I231" s="29">
        <f t="shared" si="24"/>
        <v>9.321</v>
      </c>
      <c r="J231" s="29">
        <f t="shared" si="25"/>
        <v>9.22779</v>
      </c>
      <c r="K231" s="29">
        <f t="shared" si="22"/>
        <v>111.75879</v>
      </c>
      <c r="L231" s="23">
        <f t="shared" si="23"/>
        <v>782.31153</v>
      </c>
      <c r="M231" s="39" t="s">
        <v>159</v>
      </c>
    </row>
    <row r="232" s="1" customFormat="1" outlineLevel="1" spans="1:13">
      <c r="A232" s="20" t="s">
        <v>160</v>
      </c>
      <c r="B232" s="21" t="s">
        <v>288</v>
      </c>
      <c r="C232" s="21"/>
      <c r="D232" s="22"/>
      <c r="E232" s="22"/>
      <c r="F232" s="20"/>
      <c r="G232" s="29"/>
      <c r="H232" s="29"/>
      <c r="I232" s="29">
        <f t="shared" si="24"/>
        <v>0</v>
      </c>
      <c r="J232" s="29">
        <f t="shared" si="25"/>
        <v>0</v>
      </c>
      <c r="K232" s="29">
        <f t="shared" si="22"/>
        <v>0</v>
      </c>
      <c r="L232" s="23">
        <f t="shared" si="23"/>
        <v>0</v>
      </c>
      <c r="M232" s="38"/>
    </row>
    <row r="233" s="1" customFormat="1" ht="56.25" outlineLevel="1" spans="1:13">
      <c r="A233" s="24">
        <v>1</v>
      </c>
      <c r="B233" s="25" t="s">
        <v>154</v>
      </c>
      <c r="C233" s="25" t="s">
        <v>241</v>
      </c>
      <c r="D233" s="26" t="s">
        <v>42</v>
      </c>
      <c r="E233" s="27">
        <f>261.3+12.99+34.19+2.9*13*2+(2+2+4.5)*2</f>
        <v>400.88</v>
      </c>
      <c r="F233" s="28">
        <v>0.92</v>
      </c>
      <c r="G233" s="29">
        <v>2.57</v>
      </c>
      <c r="H233" s="29">
        <v>0.85</v>
      </c>
      <c r="I233" s="29">
        <f t="shared" si="24"/>
        <v>0.434</v>
      </c>
      <c r="J233" s="29">
        <f t="shared" si="25"/>
        <v>0.42966</v>
      </c>
      <c r="K233" s="29">
        <f t="shared" si="22"/>
        <v>5.20366</v>
      </c>
      <c r="L233" s="23">
        <f t="shared" si="23"/>
        <v>2086.0432208</v>
      </c>
      <c r="M233" s="39" t="s">
        <v>142</v>
      </c>
    </row>
    <row r="234" s="1" customFormat="1" ht="33.75" outlineLevel="1" spans="1:13">
      <c r="A234" s="24">
        <v>2</v>
      </c>
      <c r="B234" s="25" t="s">
        <v>157</v>
      </c>
      <c r="C234" s="25" t="s">
        <v>289</v>
      </c>
      <c r="D234" s="26" t="s">
        <v>60</v>
      </c>
      <c r="E234" s="27">
        <f>(15*2+1+1)*2</f>
        <v>64</v>
      </c>
      <c r="F234" s="24">
        <v>285.43</v>
      </c>
      <c r="G234" s="29">
        <v>43.6</v>
      </c>
      <c r="H234" s="29">
        <v>16.5</v>
      </c>
      <c r="I234" s="29">
        <f t="shared" si="24"/>
        <v>34.553</v>
      </c>
      <c r="J234" s="29">
        <f t="shared" si="25"/>
        <v>34.20747</v>
      </c>
      <c r="K234" s="29">
        <f t="shared" si="22"/>
        <v>414.29047</v>
      </c>
      <c r="L234" s="23">
        <f t="shared" si="23"/>
        <v>26514.59008</v>
      </c>
      <c r="M234" s="39" t="s">
        <v>159</v>
      </c>
    </row>
    <row r="235" s="1" customFormat="1" ht="33.75" outlineLevel="1" spans="1:13">
      <c r="A235" s="24">
        <v>3</v>
      </c>
      <c r="B235" s="25" t="s">
        <v>157</v>
      </c>
      <c r="C235" s="25" t="s">
        <v>243</v>
      </c>
      <c r="D235" s="26" t="s">
        <v>60</v>
      </c>
      <c r="E235" s="27">
        <v>2</v>
      </c>
      <c r="F235" s="24">
        <v>325.43</v>
      </c>
      <c r="G235" s="29">
        <v>500</v>
      </c>
      <c r="H235" s="29">
        <v>16.5</v>
      </c>
      <c r="I235" s="29">
        <f t="shared" si="24"/>
        <v>84.193</v>
      </c>
      <c r="J235" s="29">
        <f t="shared" si="25"/>
        <v>83.35107</v>
      </c>
      <c r="K235" s="29">
        <f t="shared" si="22"/>
        <v>1009.47407</v>
      </c>
      <c r="L235" s="23">
        <f t="shared" si="23"/>
        <v>2018.94814</v>
      </c>
      <c r="M235" s="39" t="s">
        <v>159</v>
      </c>
    </row>
    <row r="236" s="1" customFormat="1" outlineLevel="1" spans="1:13">
      <c r="A236" s="20" t="s">
        <v>164</v>
      </c>
      <c r="B236" s="21" t="s">
        <v>290</v>
      </c>
      <c r="C236" s="21"/>
      <c r="D236" s="22"/>
      <c r="E236" s="22"/>
      <c r="F236" s="20"/>
      <c r="G236" s="29"/>
      <c r="H236" s="29"/>
      <c r="I236" s="29">
        <f t="shared" si="24"/>
        <v>0</v>
      </c>
      <c r="J236" s="29">
        <f t="shared" si="25"/>
        <v>0</v>
      </c>
      <c r="K236" s="29">
        <f t="shared" si="22"/>
        <v>0</v>
      </c>
      <c r="L236" s="23">
        <f t="shared" si="23"/>
        <v>0</v>
      </c>
      <c r="M236" s="38"/>
    </row>
    <row r="237" s="1" customFormat="1" ht="33.75" outlineLevel="1" spans="1:13">
      <c r="A237" s="24">
        <v>1</v>
      </c>
      <c r="B237" s="25" t="s">
        <v>198</v>
      </c>
      <c r="C237" s="25" t="s">
        <v>291</v>
      </c>
      <c r="D237" s="26" t="s">
        <v>103</v>
      </c>
      <c r="E237" s="27">
        <v>4</v>
      </c>
      <c r="F237" s="24">
        <v>90.73</v>
      </c>
      <c r="G237" s="29">
        <v>2500</v>
      </c>
      <c r="H237" s="29">
        <v>19.3</v>
      </c>
      <c r="I237" s="29">
        <f t="shared" si="24"/>
        <v>261.003</v>
      </c>
      <c r="J237" s="29">
        <f t="shared" si="25"/>
        <v>258.39297</v>
      </c>
      <c r="K237" s="29">
        <f t="shared" si="22"/>
        <v>3129.42597</v>
      </c>
      <c r="L237" s="23">
        <f t="shared" si="23"/>
        <v>12517.70388</v>
      </c>
      <c r="M237" s="39" t="s">
        <v>202</v>
      </c>
    </row>
    <row r="238" s="1" customFormat="1" ht="56.25" outlineLevel="1" spans="1:13">
      <c r="A238" s="24">
        <v>2</v>
      </c>
      <c r="B238" s="25" t="s">
        <v>200</v>
      </c>
      <c r="C238" s="25" t="s">
        <v>246</v>
      </c>
      <c r="D238" s="26" t="s">
        <v>51</v>
      </c>
      <c r="E238" s="27">
        <v>66</v>
      </c>
      <c r="F238" s="28">
        <v>26.59</v>
      </c>
      <c r="G238" s="29">
        <v>33</v>
      </c>
      <c r="H238" s="29">
        <v>22.37</v>
      </c>
      <c r="I238" s="29">
        <f t="shared" si="24"/>
        <v>8.196</v>
      </c>
      <c r="J238" s="29">
        <f t="shared" si="25"/>
        <v>8.11404</v>
      </c>
      <c r="K238" s="29">
        <f t="shared" si="22"/>
        <v>98.27004</v>
      </c>
      <c r="L238" s="23">
        <f t="shared" si="23"/>
        <v>6485.82264</v>
      </c>
      <c r="M238" s="39" t="s">
        <v>202</v>
      </c>
    </row>
    <row r="239" s="1" customFormat="1" ht="56.25" outlineLevel="1" spans="1:13">
      <c r="A239" s="24">
        <v>3</v>
      </c>
      <c r="B239" s="25" t="s">
        <v>200</v>
      </c>
      <c r="C239" s="25" t="s">
        <v>248</v>
      </c>
      <c r="D239" s="26" t="s">
        <v>51</v>
      </c>
      <c r="E239" s="27">
        <v>36</v>
      </c>
      <c r="F239" s="28">
        <v>26.59</v>
      </c>
      <c r="G239" s="29">
        <v>33</v>
      </c>
      <c r="H239" s="29">
        <v>22.37</v>
      </c>
      <c r="I239" s="29">
        <f t="shared" si="24"/>
        <v>8.196</v>
      </c>
      <c r="J239" s="29">
        <f t="shared" si="25"/>
        <v>8.11404</v>
      </c>
      <c r="K239" s="29">
        <f t="shared" si="22"/>
        <v>98.27004</v>
      </c>
      <c r="L239" s="23">
        <f t="shared" si="23"/>
        <v>3537.72144</v>
      </c>
      <c r="M239" s="39" t="s">
        <v>202</v>
      </c>
    </row>
    <row r="240" s="1" customFormat="1" ht="56.25" outlineLevel="1" spans="1:13">
      <c r="A240" s="24">
        <v>4</v>
      </c>
      <c r="B240" s="25" t="s">
        <v>200</v>
      </c>
      <c r="C240" s="25" t="s">
        <v>249</v>
      </c>
      <c r="D240" s="26" t="s">
        <v>51</v>
      </c>
      <c r="E240" s="27">
        <v>30</v>
      </c>
      <c r="F240" s="28">
        <v>26.59</v>
      </c>
      <c r="G240" s="29">
        <v>33</v>
      </c>
      <c r="H240" s="29">
        <v>22.37</v>
      </c>
      <c r="I240" s="29">
        <f t="shared" si="24"/>
        <v>8.196</v>
      </c>
      <c r="J240" s="29">
        <f t="shared" si="25"/>
        <v>8.11404</v>
      </c>
      <c r="K240" s="29">
        <f t="shared" si="22"/>
        <v>98.27004</v>
      </c>
      <c r="L240" s="23">
        <f t="shared" si="23"/>
        <v>2948.1012</v>
      </c>
      <c r="M240" s="39" t="s">
        <v>202</v>
      </c>
    </row>
    <row r="241" s="1" customFormat="1" ht="56.25" outlineLevel="1" spans="1:13">
      <c r="A241" s="24">
        <v>5</v>
      </c>
      <c r="B241" s="25" t="s">
        <v>200</v>
      </c>
      <c r="C241" s="25" t="s">
        <v>292</v>
      </c>
      <c r="D241" s="26" t="s">
        <v>51</v>
      </c>
      <c r="E241" s="27">
        <v>104</v>
      </c>
      <c r="F241" s="28">
        <v>26.59</v>
      </c>
      <c r="G241" s="29">
        <v>33</v>
      </c>
      <c r="H241" s="29">
        <v>22.37</v>
      </c>
      <c r="I241" s="29">
        <f t="shared" si="24"/>
        <v>8.196</v>
      </c>
      <c r="J241" s="29">
        <f t="shared" si="25"/>
        <v>8.11404</v>
      </c>
      <c r="K241" s="29">
        <f t="shared" si="22"/>
        <v>98.27004</v>
      </c>
      <c r="L241" s="23">
        <f t="shared" si="23"/>
        <v>10220.08416</v>
      </c>
      <c r="M241" s="39" t="s">
        <v>202</v>
      </c>
    </row>
    <row r="242" s="1" customFormat="1" ht="56.25" outlineLevel="1" spans="1:13">
      <c r="A242" s="24">
        <v>6</v>
      </c>
      <c r="B242" s="25" t="s">
        <v>154</v>
      </c>
      <c r="C242" s="25" t="s">
        <v>206</v>
      </c>
      <c r="D242" s="26" t="s">
        <v>42</v>
      </c>
      <c r="E242" s="27">
        <v>2562.02</v>
      </c>
      <c r="F242" s="28">
        <v>0.92</v>
      </c>
      <c r="G242" s="29">
        <v>1.93</v>
      </c>
      <c r="H242" s="29">
        <v>0.85</v>
      </c>
      <c r="I242" s="29">
        <f t="shared" si="24"/>
        <v>0.37</v>
      </c>
      <c r="J242" s="29">
        <f t="shared" si="25"/>
        <v>0.3663</v>
      </c>
      <c r="K242" s="29">
        <f t="shared" si="22"/>
        <v>4.4363</v>
      </c>
      <c r="L242" s="23">
        <f t="shared" si="23"/>
        <v>11365.889326</v>
      </c>
      <c r="M242" s="39" t="s">
        <v>142</v>
      </c>
    </row>
    <row r="243" s="4" customFormat="1" spans="1:13">
      <c r="A243" s="40" t="s">
        <v>196</v>
      </c>
      <c r="B243" s="41" t="s">
        <v>293</v>
      </c>
      <c r="C243" s="41"/>
      <c r="D243" s="40"/>
      <c r="E243" s="40"/>
      <c r="F243" s="40"/>
      <c r="G243" s="23"/>
      <c r="H243" s="42"/>
      <c r="I243" s="42"/>
      <c r="J243" s="42"/>
      <c r="K243" s="42"/>
      <c r="L243" s="44">
        <f>SUM(L165:L242)</f>
        <v>473278.8438998</v>
      </c>
      <c r="M243" s="45"/>
    </row>
    <row r="244" s="1" customFormat="1" outlineLevel="1" spans="1:13">
      <c r="A244" s="20" t="s">
        <v>38</v>
      </c>
      <c r="B244" s="21" t="s">
        <v>294</v>
      </c>
      <c r="C244" s="21"/>
      <c r="D244" s="22"/>
      <c r="E244" s="22"/>
      <c r="F244" s="20"/>
      <c r="G244" s="23"/>
      <c r="H244" s="23"/>
      <c r="I244" s="29">
        <f t="shared" si="24"/>
        <v>0</v>
      </c>
      <c r="J244" s="29">
        <f t="shared" si="25"/>
        <v>0</v>
      </c>
      <c r="K244" s="29"/>
      <c r="L244" s="23"/>
      <c r="M244" s="38"/>
    </row>
    <row r="245" s="1" customFormat="1" ht="78.75" outlineLevel="1" spans="1:13">
      <c r="A245" s="24">
        <v>1</v>
      </c>
      <c r="B245" s="25" t="s">
        <v>40</v>
      </c>
      <c r="C245" s="25" t="s">
        <v>41</v>
      </c>
      <c r="D245" s="26" t="s">
        <v>42</v>
      </c>
      <c r="E245" s="27">
        <v>246.46</v>
      </c>
      <c r="F245" s="28">
        <v>29.46</v>
      </c>
      <c r="G245" s="29">
        <f>46.5+10</f>
        <v>56.5</v>
      </c>
      <c r="H245" s="29">
        <v>1.31</v>
      </c>
      <c r="I245" s="29">
        <f t="shared" si="24"/>
        <v>8.727</v>
      </c>
      <c r="J245" s="29">
        <f t="shared" si="25"/>
        <v>8.63973</v>
      </c>
      <c r="K245" s="29">
        <f t="shared" si="22"/>
        <v>104.63673</v>
      </c>
      <c r="L245" s="23">
        <f t="shared" si="23"/>
        <v>25788.7684758</v>
      </c>
      <c r="M245" s="39" t="s">
        <v>43</v>
      </c>
    </row>
    <row r="246" s="1" customFormat="1" ht="78.75" outlineLevel="1" spans="1:13">
      <c r="A246" s="24">
        <v>2</v>
      </c>
      <c r="B246" s="25" t="s">
        <v>40</v>
      </c>
      <c r="C246" s="25" t="s">
        <v>44</v>
      </c>
      <c r="D246" s="26" t="s">
        <v>42</v>
      </c>
      <c r="E246" s="27">
        <v>42.45</v>
      </c>
      <c r="F246" s="28">
        <v>24.65</v>
      </c>
      <c r="G246" s="29">
        <f>30.67+10</f>
        <v>40.67</v>
      </c>
      <c r="H246" s="29">
        <v>1.31</v>
      </c>
      <c r="I246" s="29">
        <f t="shared" si="24"/>
        <v>6.663</v>
      </c>
      <c r="J246" s="29">
        <f t="shared" si="25"/>
        <v>6.59637</v>
      </c>
      <c r="K246" s="29">
        <f t="shared" si="22"/>
        <v>79.88937</v>
      </c>
      <c r="L246" s="23">
        <f t="shared" si="23"/>
        <v>3391.3037565</v>
      </c>
      <c r="M246" s="39" t="s">
        <v>43</v>
      </c>
    </row>
    <row r="247" s="1" customFormat="1" ht="56.25" outlineLevel="1" spans="1:13">
      <c r="A247" s="24">
        <v>3</v>
      </c>
      <c r="B247" s="25" t="s">
        <v>45</v>
      </c>
      <c r="C247" s="25" t="s">
        <v>210</v>
      </c>
      <c r="D247" s="26" t="s">
        <v>47</v>
      </c>
      <c r="E247" s="27">
        <v>150.91</v>
      </c>
      <c r="F247" s="28">
        <v>12.5</v>
      </c>
      <c r="G247" s="29">
        <v>3.92</v>
      </c>
      <c r="H247" s="29">
        <v>4.5</v>
      </c>
      <c r="I247" s="29">
        <f t="shared" si="24"/>
        <v>2.092</v>
      </c>
      <c r="J247" s="29">
        <f t="shared" si="25"/>
        <v>2.07108</v>
      </c>
      <c r="K247" s="29">
        <f t="shared" si="22"/>
        <v>25.08308</v>
      </c>
      <c r="L247" s="23">
        <f t="shared" si="23"/>
        <v>3785.2876028</v>
      </c>
      <c r="M247" s="39" t="s">
        <v>48</v>
      </c>
    </row>
    <row r="248" s="1" customFormat="1" ht="33.75" outlineLevel="1" spans="1:13">
      <c r="A248" s="24">
        <v>4</v>
      </c>
      <c r="B248" s="25" t="s">
        <v>211</v>
      </c>
      <c r="C248" s="25" t="s">
        <v>212</v>
      </c>
      <c r="D248" s="26" t="s">
        <v>213</v>
      </c>
      <c r="E248" s="26">
        <v>0.62</v>
      </c>
      <c r="F248" s="28">
        <v>428.58</v>
      </c>
      <c r="G248" s="29">
        <v>500</v>
      </c>
      <c r="H248" s="29">
        <v>80.32</v>
      </c>
      <c r="I248" s="29">
        <f t="shared" si="24"/>
        <v>100.89</v>
      </c>
      <c r="J248" s="29">
        <f t="shared" si="25"/>
        <v>99.8811</v>
      </c>
      <c r="K248" s="29">
        <f t="shared" si="22"/>
        <v>1209.6711</v>
      </c>
      <c r="L248" s="23">
        <f t="shared" si="23"/>
        <v>749.996082</v>
      </c>
      <c r="M248" s="39"/>
    </row>
    <row r="249" s="1" customFormat="1" ht="78.75" outlineLevel="1" spans="1:13">
      <c r="A249" s="24">
        <v>5</v>
      </c>
      <c r="B249" s="25" t="s">
        <v>49</v>
      </c>
      <c r="C249" s="25" t="s">
        <v>214</v>
      </c>
      <c r="D249" s="26" t="s">
        <v>51</v>
      </c>
      <c r="E249" s="27">
        <v>44</v>
      </c>
      <c r="F249" s="24">
        <v>75.07</v>
      </c>
      <c r="G249" s="29">
        <v>510</v>
      </c>
      <c r="H249" s="29">
        <v>3.63</v>
      </c>
      <c r="I249" s="29">
        <f t="shared" si="24"/>
        <v>58.87</v>
      </c>
      <c r="J249" s="29">
        <f t="shared" si="25"/>
        <v>58.2813</v>
      </c>
      <c r="K249" s="29">
        <f t="shared" si="22"/>
        <v>705.8513</v>
      </c>
      <c r="L249" s="23">
        <f t="shared" si="23"/>
        <v>31057.4572</v>
      </c>
      <c r="M249" s="39" t="s">
        <v>52</v>
      </c>
    </row>
    <row r="250" s="1" customFormat="1" ht="78.75" outlineLevel="1" spans="1:13">
      <c r="A250" s="24">
        <v>6</v>
      </c>
      <c r="B250" s="25" t="s">
        <v>49</v>
      </c>
      <c r="C250" s="25" t="s">
        <v>253</v>
      </c>
      <c r="D250" s="26" t="s">
        <v>51</v>
      </c>
      <c r="E250" s="27">
        <v>44</v>
      </c>
      <c r="F250" s="24">
        <v>75.07</v>
      </c>
      <c r="G250" s="29">
        <v>375</v>
      </c>
      <c r="H250" s="29">
        <v>3.63</v>
      </c>
      <c r="I250" s="29">
        <f t="shared" si="24"/>
        <v>45.37</v>
      </c>
      <c r="J250" s="29">
        <f t="shared" si="25"/>
        <v>44.9163</v>
      </c>
      <c r="K250" s="29">
        <f t="shared" si="22"/>
        <v>543.9863</v>
      </c>
      <c r="L250" s="23">
        <f t="shared" si="23"/>
        <v>23935.3972</v>
      </c>
      <c r="M250" s="39" t="s">
        <v>52</v>
      </c>
    </row>
    <row r="251" s="1" customFormat="1" ht="67.5" outlineLevel="1" spans="1:13">
      <c r="A251" s="24">
        <v>7</v>
      </c>
      <c r="B251" s="25" t="s">
        <v>49</v>
      </c>
      <c r="C251" s="25" t="s">
        <v>216</v>
      </c>
      <c r="D251" s="26" t="s">
        <v>51</v>
      </c>
      <c r="E251" s="27">
        <v>1</v>
      </c>
      <c r="F251" s="24">
        <v>75.07</v>
      </c>
      <c r="G251" s="29">
        <v>375</v>
      </c>
      <c r="H251" s="29">
        <v>3.63</v>
      </c>
      <c r="I251" s="29">
        <f t="shared" si="24"/>
        <v>45.37</v>
      </c>
      <c r="J251" s="29">
        <f t="shared" si="25"/>
        <v>44.9163</v>
      </c>
      <c r="K251" s="29">
        <f t="shared" si="22"/>
        <v>543.9863</v>
      </c>
      <c r="L251" s="23">
        <f t="shared" si="23"/>
        <v>543.9863</v>
      </c>
      <c r="M251" s="39" t="s">
        <v>52</v>
      </c>
    </row>
    <row r="252" s="1" customFormat="1" ht="45" outlineLevel="1" spans="1:13">
      <c r="A252" s="24">
        <v>8</v>
      </c>
      <c r="B252" s="25" t="s">
        <v>54</v>
      </c>
      <c r="C252" s="25" t="s">
        <v>217</v>
      </c>
      <c r="D252" s="26" t="s">
        <v>56</v>
      </c>
      <c r="E252" s="27">
        <v>82</v>
      </c>
      <c r="F252" s="24">
        <v>1.96</v>
      </c>
      <c r="G252" s="29">
        <v>21</v>
      </c>
      <c r="H252" s="29">
        <v>0.5</v>
      </c>
      <c r="I252" s="29">
        <f t="shared" si="24"/>
        <v>2.346</v>
      </c>
      <c r="J252" s="29">
        <f t="shared" si="25"/>
        <v>2.32254</v>
      </c>
      <c r="K252" s="29">
        <f t="shared" si="22"/>
        <v>28.12854</v>
      </c>
      <c r="L252" s="23">
        <f t="shared" si="23"/>
        <v>2306.54028</v>
      </c>
      <c r="M252" s="39" t="s">
        <v>57</v>
      </c>
    </row>
    <row r="253" s="1" customFormat="1" ht="45" outlineLevel="1" spans="1:13">
      <c r="A253" s="24">
        <v>9</v>
      </c>
      <c r="B253" s="25" t="s">
        <v>54</v>
      </c>
      <c r="C253" s="25" t="s">
        <v>218</v>
      </c>
      <c r="D253" s="26" t="s">
        <v>56</v>
      </c>
      <c r="E253" s="27">
        <v>28</v>
      </c>
      <c r="F253" s="24">
        <v>1.96</v>
      </c>
      <c r="G253" s="29">
        <v>35</v>
      </c>
      <c r="H253" s="29">
        <v>0.5</v>
      </c>
      <c r="I253" s="29">
        <f t="shared" si="24"/>
        <v>3.746</v>
      </c>
      <c r="J253" s="29">
        <f t="shared" si="25"/>
        <v>3.70854</v>
      </c>
      <c r="K253" s="29">
        <f t="shared" si="22"/>
        <v>44.91454</v>
      </c>
      <c r="L253" s="23">
        <f t="shared" si="23"/>
        <v>1257.60712</v>
      </c>
      <c r="M253" s="39" t="s">
        <v>57</v>
      </c>
    </row>
    <row r="254" s="1" customFormat="1" ht="33.75" outlineLevel="1" spans="1:13">
      <c r="A254" s="24">
        <v>10</v>
      </c>
      <c r="B254" s="25" t="s">
        <v>219</v>
      </c>
      <c r="C254" s="25" t="s">
        <v>220</v>
      </c>
      <c r="D254" s="26" t="s">
        <v>60</v>
      </c>
      <c r="E254" s="27">
        <v>11</v>
      </c>
      <c r="F254" s="24">
        <v>1.96</v>
      </c>
      <c r="G254" s="29">
        <v>38</v>
      </c>
      <c r="H254" s="29">
        <v>0.5</v>
      </c>
      <c r="I254" s="29">
        <f t="shared" si="24"/>
        <v>4.046</v>
      </c>
      <c r="J254" s="29">
        <f t="shared" si="25"/>
        <v>4.00554</v>
      </c>
      <c r="K254" s="29">
        <f t="shared" si="22"/>
        <v>48.51154</v>
      </c>
      <c r="L254" s="23">
        <f t="shared" si="23"/>
        <v>533.62694</v>
      </c>
      <c r="M254" s="39" t="s">
        <v>57</v>
      </c>
    </row>
    <row r="255" s="1" customFormat="1" ht="33.75" outlineLevel="1" spans="1:13">
      <c r="A255" s="24">
        <v>11</v>
      </c>
      <c r="B255" s="25" t="s">
        <v>58</v>
      </c>
      <c r="C255" s="25" t="s">
        <v>59</v>
      </c>
      <c r="D255" s="26" t="s">
        <v>60</v>
      </c>
      <c r="E255" s="27">
        <v>4</v>
      </c>
      <c r="F255" s="24">
        <v>79.59</v>
      </c>
      <c r="G255" s="24">
        <v>60</v>
      </c>
      <c r="H255" s="29">
        <v>18.2</v>
      </c>
      <c r="I255" s="29">
        <f t="shared" si="24"/>
        <v>15.779</v>
      </c>
      <c r="J255" s="29">
        <f t="shared" si="25"/>
        <v>15.62121</v>
      </c>
      <c r="K255" s="29">
        <f t="shared" si="22"/>
        <v>189.19021</v>
      </c>
      <c r="L255" s="29">
        <f t="shared" si="23"/>
        <v>756.76084</v>
      </c>
      <c r="M255" s="39" t="s">
        <v>61</v>
      </c>
    </row>
    <row r="256" s="1" customFormat="1" ht="33.75" outlineLevel="1" spans="1:13">
      <c r="A256" s="24">
        <v>12</v>
      </c>
      <c r="B256" s="25" t="s">
        <v>58</v>
      </c>
      <c r="C256" s="25" t="s">
        <v>254</v>
      </c>
      <c r="D256" s="26" t="s">
        <v>60</v>
      </c>
      <c r="E256" s="27">
        <v>1</v>
      </c>
      <c r="F256" s="28">
        <v>24.65</v>
      </c>
      <c r="G256" s="24">
        <v>45</v>
      </c>
      <c r="H256" s="29">
        <v>21.86</v>
      </c>
      <c r="I256" s="29">
        <f t="shared" si="24"/>
        <v>9.151</v>
      </c>
      <c r="J256" s="29">
        <f t="shared" si="25"/>
        <v>9.05949</v>
      </c>
      <c r="K256" s="29">
        <f t="shared" si="22"/>
        <v>109.72049</v>
      </c>
      <c r="L256" s="29">
        <f t="shared" si="23"/>
        <v>109.72049</v>
      </c>
      <c r="M256" s="39" t="s">
        <v>61</v>
      </c>
    </row>
    <row r="257" s="1" customFormat="1" ht="33.75" outlineLevel="1" spans="1:13">
      <c r="A257" s="24">
        <v>13</v>
      </c>
      <c r="B257" s="25" t="s">
        <v>62</v>
      </c>
      <c r="C257" s="25" t="s">
        <v>63</v>
      </c>
      <c r="D257" s="26" t="s">
        <v>64</v>
      </c>
      <c r="E257" s="27">
        <f>E255</f>
        <v>4</v>
      </c>
      <c r="F257" s="24">
        <v>65.22</v>
      </c>
      <c r="G257" s="24">
        <v>15</v>
      </c>
      <c r="H257" s="29">
        <v>36.25</v>
      </c>
      <c r="I257" s="29">
        <f t="shared" si="24"/>
        <v>11.647</v>
      </c>
      <c r="J257" s="29">
        <f t="shared" si="25"/>
        <v>11.53053</v>
      </c>
      <c r="K257" s="29">
        <f t="shared" si="22"/>
        <v>139.64753</v>
      </c>
      <c r="L257" s="23">
        <f t="shared" si="23"/>
        <v>558.59012</v>
      </c>
      <c r="M257" s="39" t="s">
        <v>61</v>
      </c>
    </row>
    <row r="258" s="1" customFormat="1" ht="33.75" outlineLevel="1" spans="1:13">
      <c r="A258" s="24">
        <v>14</v>
      </c>
      <c r="B258" s="25" t="s">
        <v>62</v>
      </c>
      <c r="C258" s="25" t="s">
        <v>255</v>
      </c>
      <c r="D258" s="26" t="s">
        <v>64</v>
      </c>
      <c r="E258" s="27">
        <v>1</v>
      </c>
      <c r="F258" s="24">
        <v>32.63</v>
      </c>
      <c r="G258" s="24">
        <v>12</v>
      </c>
      <c r="H258" s="29">
        <v>13.65</v>
      </c>
      <c r="I258" s="29">
        <f t="shared" si="24"/>
        <v>5.828</v>
      </c>
      <c r="J258" s="29">
        <f t="shared" si="25"/>
        <v>5.76972</v>
      </c>
      <c r="K258" s="29">
        <f t="shared" si="22"/>
        <v>69.87772</v>
      </c>
      <c r="L258" s="23">
        <f t="shared" si="23"/>
        <v>69.87772</v>
      </c>
      <c r="M258" s="39" t="s">
        <v>61</v>
      </c>
    </row>
    <row r="259" s="1" customFormat="1" ht="45" outlineLevel="1" spans="1:13">
      <c r="A259" s="24">
        <v>15</v>
      </c>
      <c r="B259" s="25" t="s">
        <v>65</v>
      </c>
      <c r="C259" s="25" t="s">
        <v>66</v>
      </c>
      <c r="D259" s="26" t="s">
        <v>60</v>
      </c>
      <c r="E259" s="27">
        <v>2</v>
      </c>
      <c r="F259" s="24">
        <v>19.59</v>
      </c>
      <c r="G259" s="24">
        <v>15</v>
      </c>
      <c r="H259" s="29">
        <v>5.54</v>
      </c>
      <c r="I259" s="29">
        <f t="shared" si="24"/>
        <v>4.013</v>
      </c>
      <c r="J259" s="29">
        <f t="shared" si="25"/>
        <v>3.97287</v>
      </c>
      <c r="K259" s="29">
        <f t="shared" si="22"/>
        <v>48.11587</v>
      </c>
      <c r="L259" s="23">
        <f t="shared" si="23"/>
        <v>96.23174</v>
      </c>
      <c r="M259" s="39" t="s">
        <v>61</v>
      </c>
    </row>
    <row r="260" s="1" customFormat="1" ht="45" outlineLevel="1" spans="1:13">
      <c r="A260" s="24">
        <v>16</v>
      </c>
      <c r="B260" s="25" t="s">
        <v>67</v>
      </c>
      <c r="C260" s="25" t="s">
        <v>68</v>
      </c>
      <c r="D260" s="26" t="s">
        <v>60</v>
      </c>
      <c r="E260" s="27">
        <v>2</v>
      </c>
      <c r="F260" s="28">
        <v>14.37</v>
      </c>
      <c r="G260" s="28">
        <v>25</v>
      </c>
      <c r="H260" s="29">
        <v>6.4</v>
      </c>
      <c r="I260" s="29">
        <f t="shared" si="24"/>
        <v>4.577</v>
      </c>
      <c r="J260" s="29">
        <f t="shared" si="25"/>
        <v>4.53123</v>
      </c>
      <c r="K260" s="29">
        <f t="shared" si="22"/>
        <v>54.87823</v>
      </c>
      <c r="L260" s="23">
        <f t="shared" si="23"/>
        <v>109.75646</v>
      </c>
      <c r="M260" s="39" t="s">
        <v>61</v>
      </c>
    </row>
    <row r="261" s="1" customFormat="1" ht="45" outlineLevel="1" spans="1:13">
      <c r="A261" s="24">
        <v>17</v>
      </c>
      <c r="B261" s="25" t="s">
        <v>69</v>
      </c>
      <c r="C261" s="25" t="s">
        <v>70</v>
      </c>
      <c r="D261" s="26" t="s">
        <v>71</v>
      </c>
      <c r="E261" s="27">
        <v>1</v>
      </c>
      <c r="F261" s="28">
        <v>285</v>
      </c>
      <c r="G261" s="29">
        <v>125</v>
      </c>
      <c r="H261" s="29">
        <v>68.5</v>
      </c>
      <c r="I261" s="29">
        <f t="shared" si="24"/>
        <v>47.85</v>
      </c>
      <c r="J261" s="29">
        <f t="shared" si="25"/>
        <v>47.3715</v>
      </c>
      <c r="K261" s="29">
        <f t="shared" si="22"/>
        <v>573.7215</v>
      </c>
      <c r="L261" s="23">
        <f t="shared" si="23"/>
        <v>573.7215</v>
      </c>
      <c r="M261" s="39"/>
    </row>
    <row r="262" s="1" customFormat="1" outlineLevel="1" spans="1:13">
      <c r="A262" s="24">
        <v>18</v>
      </c>
      <c r="B262" s="25" t="s">
        <v>72</v>
      </c>
      <c r="C262" s="25" t="s">
        <v>73</v>
      </c>
      <c r="D262" s="26" t="s">
        <v>71</v>
      </c>
      <c r="E262" s="27">
        <v>1</v>
      </c>
      <c r="F262" s="24">
        <v>366.15</v>
      </c>
      <c r="G262" s="29">
        <v>0</v>
      </c>
      <c r="H262" s="29">
        <v>185</v>
      </c>
      <c r="I262" s="29">
        <f t="shared" si="24"/>
        <v>55.115</v>
      </c>
      <c r="J262" s="29">
        <f t="shared" si="25"/>
        <v>54.56385</v>
      </c>
      <c r="K262" s="29">
        <f t="shared" ref="K262:K325" si="26">F262+G262+H262+I262+J262</f>
        <v>660.82885</v>
      </c>
      <c r="L262" s="23">
        <f t="shared" ref="L262:L325" si="27">K262*E262</f>
        <v>660.82885</v>
      </c>
      <c r="M262" s="39"/>
    </row>
    <row r="263" s="1" customFormat="1" outlineLevel="1" spans="1:13">
      <c r="A263" s="20" t="s">
        <v>74</v>
      </c>
      <c r="B263" s="21" t="s">
        <v>295</v>
      </c>
      <c r="C263" s="21"/>
      <c r="D263" s="22"/>
      <c r="E263" s="22"/>
      <c r="F263" s="20"/>
      <c r="G263" s="23"/>
      <c r="H263" s="29"/>
      <c r="I263" s="29">
        <f t="shared" si="24"/>
        <v>0</v>
      </c>
      <c r="J263" s="29">
        <f t="shared" si="25"/>
        <v>0</v>
      </c>
      <c r="K263" s="29">
        <f t="shared" si="26"/>
        <v>0</v>
      </c>
      <c r="L263" s="23">
        <f t="shared" si="27"/>
        <v>0</v>
      </c>
      <c r="M263" s="38"/>
    </row>
    <row r="264" s="1" customFormat="1" ht="101.25" outlineLevel="1" spans="1:13">
      <c r="A264" s="24">
        <v>1</v>
      </c>
      <c r="B264" s="25" t="s">
        <v>101</v>
      </c>
      <c r="C264" s="25" t="s">
        <v>296</v>
      </c>
      <c r="D264" s="26" t="s">
        <v>103</v>
      </c>
      <c r="E264" s="26">
        <v>2</v>
      </c>
      <c r="F264" s="24">
        <v>928.1</v>
      </c>
      <c r="G264" s="24">
        <v>2357</v>
      </c>
      <c r="H264" s="29">
        <v>193.9</v>
      </c>
      <c r="I264" s="29">
        <f t="shared" si="24"/>
        <v>347.9</v>
      </c>
      <c r="J264" s="29">
        <f t="shared" si="25"/>
        <v>344.421</v>
      </c>
      <c r="K264" s="29">
        <f t="shared" si="26"/>
        <v>4171.321</v>
      </c>
      <c r="L264" s="23">
        <f t="shared" si="27"/>
        <v>8342.642</v>
      </c>
      <c r="M264" s="39" t="s">
        <v>104</v>
      </c>
    </row>
    <row r="265" s="1" customFormat="1" ht="101.25" outlineLevel="1" spans="1:13">
      <c r="A265" s="24">
        <v>2</v>
      </c>
      <c r="B265" s="25" t="s">
        <v>222</v>
      </c>
      <c r="C265" s="25" t="s">
        <v>223</v>
      </c>
      <c r="D265" s="26" t="s">
        <v>103</v>
      </c>
      <c r="E265" s="26">
        <v>4</v>
      </c>
      <c r="F265" s="24">
        <v>135.8</v>
      </c>
      <c r="G265" s="24">
        <v>592</v>
      </c>
      <c r="H265" s="29">
        <v>25.6</v>
      </c>
      <c r="I265" s="29">
        <f t="shared" si="24"/>
        <v>75.34</v>
      </c>
      <c r="J265" s="29">
        <f t="shared" si="25"/>
        <v>74.5866</v>
      </c>
      <c r="K265" s="29">
        <f t="shared" si="26"/>
        <v>903.3266</v>
      </c>
      <c r="L265" s="23">
        <f t="shared" si="27"/>
        <v>3613.3064</v>
      </c>
      <c r="M265" s="39" t="s">
        <v>104</v>
      </c>
    </row>
    <row r="266" s="1" customFormat="1" ht="101.25" outlineLevel="1" spans="1:13">
      <c r="A266" s="24">
        <v>3</v>
      </c>
      <c r="B266" s="25" t="s">
        <v>222</v>
      </c>
      <c r="C266" s="25" t="s">
        <v>224</v>
      </c>
      <c r="D266" s="26" t="s">
        <v>103</v>
      </c>
      <c r="E266" s="26">
        <v>4</v>
      </c>
      <c r="F266" s="24">
        <v>135.8</v>
      </c>
      <c r="G266" s="24">
        <v>410</v>
      </c>
      <c r="H266" s="29">
        <v>25.6</v>
      </c>
      <c r="I266" s="29">
        <f t="shared" si="24"/>
        <v>57.14</v>
      </c>
      <c r="J266" s="29">
        <f t="shared" si="25"/>
        <v>56.5686</v>
      </c>
      <c r="K266" s="29">
        <f t="shared" si="26"/>
        <v>685.1086</v>
      </c>
      <c r="L266" s="23">
        <f t="shared" si="27"/>
        <v>2740.4344</v>
      </c>
      <c r="M266" s="39" t="s">
        <v>104</v>
      </c>
    </row>
    <row r="267" s="1" customFormat="1" ht="45" outlineLevel="1" spans="1:13">
      <c r="A267" s="24">
        <v>4</v>
      </c>
      <c r="B267" s="30" t="s">
        <v>114</v>
      </c>
      <c r="C267" s="30" t="s">
        <v>115</v>
      </c>
      <c r="D267" s="31" t="s">
        <v>116</v>
      </c>
      <c r="E267" s="26">
        <v>1.85</v>
      </c>
      <c r="F267" s="24">
        <v>53.22</v>
      </c>
      <c r="G267" s="24">
        <v>132</v>
      </c>
      <c r="H267" s="29">
        <v>24.2</v>
      </c>
      <c r="I267" s="29">
        <f t="shared" si="24"/>
        <v>20.942</v>
      </c>
      <c r="J267" s="29">
        <f t="shared" si="25"/>
        <v>20.73258</v>
      </c>
      <c r="K267" s="29">
        <f t="shared" si="26"/>
        <v>251.09458</v>
      </c>
      <c r="L267" s="23">
        <f t="shared" si="27"/>
        <v>464.524973</v>
      </c>
      <c r="M267" s="39"/>
    </row>
    <row r="268" s="1" customFormat="1" ht="112.5" outlineLevel="1" spans="1:13">
      <c r="A268" s="24">
        <v>5</v>
      </c>
      <c r="B268" s="30" t="s">
        <v>117</v>
      </c>
      <c r="C268" s="30" t="s">
        <v>260</v>
      </c>
      <c r="D268" s="31" t="s">
        <v>116</v>
      </c>
      <c r="E268" s="26">
        <v>4.9</v>
      </c>
      <c r="F268" s="24">
        <v>69.69</v>
      </c>
      <c r="G268" s="24">
        <v>42.15</v>
      </c>
      <c r="H268" s="29">
        <v>16.68</v>
      </c>
      <c r="I268" s="29">
        <f t="shared" si="24"/>
        <v>12.852</v>
      </c>
      <c r="J268" s="29">
        <f t="shared" si="25"/>
        <v>12.72348</v>
      </c>
      <c r="K268" s="29">
        <f t="shared" si="26"/>
        <v>154.09548</v>
      </c>
      <c r="L268" s="23">
        <f t="shared" si="27"/>
        <v>755.067852</v>
      </c>
      <c r="M268" s="39" t="s">
        <v>119</v>
      </c>
    </row>
    <row r="269" s="1" customFormat="1" ht="112.5" outlineLevel="1" spans="1:13">
      <c r="A269" s="24">
        <v>6</v>
      </c>
      <c r="B269" s="30" t="s">
        <v>117</v>
      </c>
      <c r="C269" s="30" t="s">
        <v>120</v>
      </c>
      <c r="D269" s="31" t="s">
        <v>116</v>
      </c>
      <c r="E269" s="26">
        <v>36.77</v>
      </c>
      <c r="F269" s="24">
        <v>44.05</v>
      </c>
      <c r="G269" s="24">
        <v>42.15</v>
      </c>
      <c r="H269" s="29">
        <v>17.18</v>
      </c>
      <c r="I269" s="29">
        <f t="shared" si="24"/>
        <v>10.338</v>
      </c>
      <c r="J269" s="29">
        <f t="shared" si="25"/>
        <v>10.23462</v>
      </c>
      <c r="K269" s="29">
        <f t="shared" si="26"/>
        <v>123.95262</v>
      </c>
      <c r="L269" s="23">
        <f t="shared" si="27"/>
        <v>4557.7378374</v>
      </c>
      <c r="M269" s="39" t="s">
        <v>119</v>
      </c>
    </row>
    <row r="270" s="1" customFormat="1" ht="112.5" outlineLevel="1" spans="1:13">
      <c r="A270" s="24">
        <v>7</v>
      </c>
      <c r="B270" s="30" t="s">
        <v>117</v>
      </c>
      <c r="C270" s="30" t="s">
        <v>262</v>
      </c>
      <c r="D270" s="31" t="s">
        <v>116</v>
      </c>
      <c r="E270" s="26">
        <v>52.81</v>
      </c>
      <c r="F270" s="24">
        <v>44.05</v>
      </c>
      <c r="G270" s="24">
        <v>42.15</v>
      </c>
      <c r="H270" s="29">
        <v>17.18</v>
      </c>
      <c r="I270" s="29">
        <f t="shared" si="24"/>
        <v>10.338</v>
      </c>
      <c r="J270" s="29">
        <f t="shared" si="25"/>
        <v>10.23462</v>
      </c>
      <c r="K270" s="29">
        <f t="shared" si="26"/>
        <v>123.95262</v>
      </c>
      <c r="L270" s="23">
        <f t="shared" si="27"/>
        <v>6545.9378622</v>
      </c>
      <c r="M270" s="39" t="s">
        <v>119</v>
      </c>
    </row>
    <row r="271" s="1" customFormat="1" ht="45" outlineLevel="1" spans="1:13">
      <c r="A271" s="24">
        <v>8</v>
      </c>
      <c r="B271" s="25" t="s">
        <v>123</v>
      </c>
      <c r="C271" s="25" t="s">
        <v>225</v>
      </c>
      <c r="D271" s="26" t="s">
        <v>60</v>
      </c>
      <c r="E271" s="26">
        <v>4</v>
      </c>
      <c r="F271" s="24">
        <v>51.2</v>
      </c>
      <c r="G271" s="24">
        <v>159</v>
      </c>
      <c r="H271" s="29">
        <v>7.42</v>
      </c>
      <c r="I271" s="29">
        <f t="shared" si="24"/>
        <v>21.762</v>
      </c>
      <c r="J271" s="29">
        <f t="shared" si="25"/>
        <v>21.54438</v>
      </c>
      <c r="K271" s="29">
        <f t="shared" si="26"/>
        <v>260.92638</v>
      </c>
      <c r="L271" s="23">
        <f t="shared" si="27"/>
        <v>1043.70552</v>
      </c>
      <c r="M271" s="39" t="s">
        <v>104</v>
      </c>
    </row>
    <row r="272" s="1" customFormat="1" ht="45" outlineLevel="1" spans="1:13">
      <c r="A272" s="24">
        <v>9</v>
      </c>
      <c r="B272" s="25" t="s">
        <v>123</v>
      </c>
      <c r="C272" s="25" t="s">
        <v>297</v>
      </c>
      <c r="D272" s="26" t="s">
        <v>60</v>
      </c>
      <c r="E272" s="26">
        <v>1</v>
      </c>
      <c r="F272" s="24">
        <v>51.2</v>
      </c>
      <c r="G272" s="24">
        <v>154</v>
      </c>
      <c r="H272" s="29">
        <v>7.42</v>
      </c>
      <c r="I272" s="29">
        <f t="shared" si="24"/>
        <v>21.262</v>
      </c>
      <c r="J272" s="29">
        <f t="shared" si="25"/>
        <v>21.04938</v>
      </c>
      <c r="K272" s="29">
        <f t="shared" si="26"/>
        <v>254.93138</v>
      </c>
      <c r="L272" s="23">
        <f t="shared" si="27"/>
        <v>254.93138</v>
      </c>
      <c r="M272" s="39" t="s">
        <v>104</v>
      </c>
    </row>
    <row r="273" s="1" customFormat="1" ht="45" outlineLevel="1" spans="1:13">
      <c r="A273" s="24">
        <v>10</v>
      </c>
      <c r="B273" s="25" t="s">
        <v>123</v>
      </c>
      <c r="C273" s="25" t="s">
        <v>298</v>
      </c>
      <c r="D273" s="26" t="s">
        <v>60</v>
      </c>
      <c r="E273" s="26">
        <v>2</v>
      </c>
      <c r="F273" s="24">
        <v>51.2</v>
      </c>
      <c r="G273" s="24">
        <v>141</v>
      </c>
      <c r="H273" s="29">
        <v>7.42</v>
      </c>
      <c r="I273" s="29">
        <f t="shared" si="24"/>
        <v>19.962</v>
      </c>
      <c r="J273" s="29">
        <f t="shared" si="25"/>
        <v>19.76238</v>
      </c>
      <c r="K273" s="29">
        <f t="shared" si="26"/>
        <v>239.34438</v>
      </c>
      <c r="L273" s="23">
        <f t="shared" si="27"/>
        <v>478.68876</v>
      </c>
      <c r="M273" s="39" t="s">
        <v>104</v>
      </c>
    </row>
    <row r="274" s="1" customFormat="1" ht="45" outlineLevel="1" spans="1:13">
      <c r="A274" s="24">
        <v>11</v>
      </c>
      <c r="B274" s="25" t="s">
        <v>123</v>
      </c>
      <c r="C274" s="25" t="s">
        <v>299</v>
      </c>
      <c r="D274" s="26" t="s">
        <v>60</v>
      </c>
      <c r="E274" s="26">
        <v>2</v>
      </c>
      <c r="F274" s="24">
        <v>51.2</v>
      </c>
      <c r="G274" s="24">
        <v>332</v>
      </c>
      <c r="H274" s="29">
        <v>7.42</v>
      </c>
      <c r="I274" s="29">
        <f t="shared" si="24"/>
        <v>39.062</v>
      </c>
      <c r="J274" s="29">
        <f t="shared" si="25"/>
        <v>38.67138</v>
      </c>
      <c r="K274" s="29">
        <f t="shared" si="26"/>
        <v>468.35338</v>
      </c>
      <c r="L274" s="23">
        <f t="shared" si="27"/>
        <v>936.70676</v>
      </c>
      <c r="M274" s="39" t="s">
        <v>104</v>
      </c>
    </row>
    <row r="275" s="1" customFormat="1" ht="45" outlineLevel="1" spans="1:13">
      <c r="A275" s="24">
        <v>12</v>
      </c>
      <c r="B275" s="25" t="s">
        <v>127</v>
      </c>
      <c r="C275" s="25" t="s">
        <v>264</v>
      </c>
      <c r="D275" s="26" t="s">
        <v>60</v>
      </c>
      <c r="E275" s="26">
        <v>4</v>
      </c>
      <c r="F275" s="24">
        <v>127.67</v>
      </c>
      <c r="G275" s="24">
        <v>292</v>
      </c>
      <c r="H275" s="29">
        <v>19.82</v>
      </c>
      <c r="I275" s="29">
        <f t="shared" si="24"/>
        <v>43.949</v>
      </c>
      <c r="J275" s="29">
        <f t="shared" si="25"/>
        <v>43.50951</v>
      </c>
      <c r="K275" s="29">
        <f t="shared" si="26"/>
        <v>526.94851</v>
      </c>
      <c r="L275" s="23">
        <f t="shared" si="27"/>
        <v>2107.79404</v>
      </c>
      <c r="M275" s="39" t="s">
        <v>104</v>
      </c>
    </row>
    <row r="276" s="1" customFormat="1" ht="45" outlineLevel="1" spans="1:13">
      <c r="A276" s="24">
        <v>13</v>
      </c>
      <c r="B276" s="25" t="s">
        <v>127</v>
      </c>
      <c r="C276" s="25" t="s">
        <v>300</v>
      </c>
      <c r="D276" s="26" t="s">
        <v>60</v>
      </c>
      <c r="E276" s="26">
        <v>2</v>
      </c>
      <c r="F276" s="24">
        <v>128.67</v>
      </c>
      <c r="G276" s="24">
        <v>172</v>
      </c>
      <c r="H276" s="29"/>
      <c r="I276" s="29">
        <f t="shared" si="24"/>
        <v>30.067</v>
      </c>
      <c r="J276" s="29">
        <f t="shared" si="25"/>
        <v>29.76633</v>
      </c>
      <c r="K276" s="29">
        <f t="shared" si="26"/>
        <v>360.50333</v>
      </c>
      <c r="L276" s="23">
        <f t="shared" si="27"/>
        <v>721.00666</v>
      </c>
      <c r="M276" s="39" t="s">
        <v>104</v>
      </c>
    </row>
    <row r="277" s="1" customFormat="1" ht="45" outlineLevel="1" spans="1:13">
      <c r="A277" s="24">
        <v>14</v>
      </c>
      <c r="B277" s="25" t="s">
        <v>127</v>
      </c>
      <c r="C277" s="25" t="s">
        <v>301</v>
      </c>
      <c r="D277" s="26" t="s">
        <v>60</v>
      </c>
      <c r="E277" s="26">
        <v>2</v>
      </c>
      <c r="F277" s="24">
        <v>129.67</v>
      </c>
      <c r="G277" s="24">
        <v>163</v>
      </c>
      <c r="H277" s="29">
        <v>19.82</v>
      </c>
      <c r="I277" s="29">
        <f t="shared" si="24"/>
        <v>31.249</v>
      </c>
      <c r="J277" s="29">
        <f t="shared" si="25"/>
        <v>30.93651</v>
      </c>
      <c r="K277" s="29">
        <f t="shared" si="26"/>
        <v>374.67551</v>
      </c>
      <c r="L277" s="23">
        <f t="shared" si="27"/>
        <v>749.35102</v>
      </c>
      <c r="M277" s="39" t="s">
        <v>104</v>
      </c>
    </row>
    <row r="278" s="1" customFormat="1" ht="45" outlineLevel="1" spans="1:13">
      <c r="A278" s="24">
        <v>15</v>
      </c>
      <c r="B278" s="25" t="s">
        <v>127</v>
      </c>
      <c r="C278" s="25" t="s">
        <v>302</v>
      </c>
      <c r="D278" s="26" t="s">
        <v>60</v>
      </c>
      <c r="E278" s="26">
        <v>4</v>
      </c>
      <c r="F278" s="24">
        <v>130.67</v>
      </c>
      <c r="G278" s="24">
        <v>172</v>
      </c>
      <c r="H278" s="29">
        <v>19.82</v>
      </c>
      <c r="I278" s="29">
        <f t="shared" si="24"/>
        <v>32.249</v>
      </c>
      <c r="J278" s="29">
        <f t="shared" si="25"/>
        <v>31.92651</v>
      </c>
      <c r="K278" s="29">
        <f t="shared" si="26"/>
        <v>386.66551</v>
      </c>
      <c r="L278" s="23">
        <f t="shared" si="27"/>
        <v>1546.66204</v>
      </c>
      <c r="M278" s="39" t="s">
        <v>104</v>
      </c>
    </row>
    <row r="279" s="1" customFormat="1" ht="56.25" outlineLevel="1" spans="1:13">
      <c r="A279" s="24">
        <v>16</v>
      </c>
      <c r="B279" s="25" t="s">
        <v>303</v>
      </c>
      <c r="C279" s="25" t="s">
        <v>304</v>
      </c>
      <c r="D279" s="26" t="s">
        <v>71</v>
      </c>
      <c r="E279" s="26">
        <v>1</v>
      </c>
      <c r="F279" s="20">
        <v>1.38</v>
      </c>
      <c r="G279" s="29">
        <v>2.1</v>
      </c>
      <c r="H279" s="29">
        <v>0.8</v>
      </c>
      <c r="I279" s="29">
        <f t="shared" si="24"/>
        <v>0.428</v>
      </c>
      <c r="J279" s="29">
        <f t="shared" si="25"/>
        <v>0.42372</v>
      </c>
      <c r="K279" s="29">
        <f t="shared" si="26"/>
        <v>5.13172</v>
      </c>
      <c r="L279" s="23">
        <f t="shared" si="27"/>
        <v>5.13172</v>
      </c>
      <c r="M279" s="39" t="s">
        <v>142</v>
      </c>
    </row>
    <row r="280" s="1" customFormat="1" ht="56.25" outlineLevel="1" spans="1:13">
      <c r="A280" s="24">
        <v>17</v>
      </c>
      <c r="B280" s="25" t="s">
        <v>277</v>
      </c>
      <c r="C280" s="25" t="s">
        <v>278</v>
      </c>
      <c r="D280" s="26" t="s">
        <v>71</v>
      </c>
      <c r="E280" s="26">
        <v>1</v>
      </c>
      <c r="F280" s="24">
        <v>6.77</v>
      </c>
      <c r="G280" s="29">
        <v>9.5</v>
      </c>
      <c r="H280" s="29">
        <v>1.2</v>
      </c>
      <c r="I280" s="29">
        <v>1.26</v>
      </c>
      <c r="J280" s="29">
        <f t="shared" si="25"/>
        <v>1.6857</v>
      </c>
      <c r="K280" s="29">
        <f t="shared" si="26"/>
        <v>20.4157</v>
      </c>
      <c r="L280" s="23">
        <f t="shared" si="27"/>
        <v>20.4157</v>
      </c>
      <c r="M280" s="39" t="s">
        <v>142</v>
      </c>
    </row>
    <row r="281" s="1" customFormat="1" ht="56.25" outlineLevel="1" spans="1:13">
      <c r="A281" s="24">
        <v>18</v>
      </c>
      <c r="B281" s="25" t="s">
        <v>279</v>
      </c>
      <c r="C281" s="25" t="s">
        <v>280</v>
      </c>
      <c r="D281" s="26" t="s">
        <v>71</v>
      </c>
      <c r="E281" s="26">
        <v>1</v>
      </c>
      <c r="F281" s="24">
        <v>6.77</v>
      </c>
      <c r="G281" s="29">
        <v>9.5</v>
      </c>
      <c r="H281" s="29">
        <v>1.2</v>
      </c>
      <c r="I281" s="29">
        <f t="shared" si="24"/>
        <v>1.747</v>
      </c>
      <c r="J281" s="29">
        <f t="shared" si="25"/>
        <v>1.72953</v>
      </c>
      <c r="K281" s="29">
        <f t="shared" si="26"/>
        <v>20.94653</v>
      </c>
      <c r="L281" s="23">
        <f t="shared" si="27"/>
        <v>20.94653</v>
      </c>
      <c r="M281" s="39" t="s">
        <v>142</v>
      </c>
    </row>
    <row r="282" s="1" customFormat="1" outlineLevel="1" spans="1:13">
      <c r="A282" s="20" t="s">
        <v>99</v>
      </c>
      <c r="B282" s="21" t="s">
        <v>305</v>
      </c>
      <c r="C282" s="21"/>
      <c r="D282" s="22"/>
      <c r="E282" s="22"/>
      <c r="F282" s="20"/>
      <c r="G282" s="29"/>
      <c r="H282" s="29"/>
      <c r="I282" s="29">
        <f t="shared" si="24"/>
        <v>0</v>
      </c>
      <c r="J282" s="29">
        <f t="shared" si="25"/>
        <v>0</v>
      </c>
      <c r="K282" s="29">
        <f t="shared" si="26"/>
        <v>0</v>
      </c>
      <c r="L282" s="23">
        <f t="shared" si="27"/>
        <v>0</v>
      </c>
      <c r="M282" s="38"/>
    </row>
    <row r="283" s="1" customFormat="1" ht="56.25" outlineLevel="1" spans="1:13">
      <c r="A283" s="24">
        <v>1</v>
      </c>
      <c r="B283" s="25" t="s">
        <v>154</v>
      </c>
      <c r="C283" s="25" t="s">
        <v>282</v>
      </c>
      <c r="D283" s="26" t="s">
        <v>42</v>
      </c>
      <c r="E283" s="27">
        <f t="shared" ref="E283:E287" si="28">180.65+1.1+46.27+2.9*21*2</f>
        <v>349.82</v>
      </c>
      <c r="F283" s="28">
        <v>0.92</v>
      </c>
      <c r="G283" s="29">
        <v>2.04</v>
      </c>
      <c r="H283" s="29">
        <v>0.85</v>
      </c>
      <c r="I283" s="29">
        <f t="shared" si="24"/>
        <v>0.381</v>
      </c>
      <c r="J283" s="29">
        <f t="shared" si="25"/>
        <v>0.37719</v>
      </c>
      <c r="K283" s="29">
        <f t="shared" si="26"/>
        <v>4.56819</v>
      </c>
      <c r="L283" s="23">
        <f t="shared" si="27"/>
        <v>1598.0442258</v>
      </c>
      <c r="M283" s="39" t="s">
        <v>142</v>
      </c>
    </row>
    <row r="284" s="1" customFormat="1" ht="56.25" outlineLevel="1" spans="1:13">
      <c r="A284" s="24">
        <v>2</v>
      </c>
      <c r="B284" s="25" t="s">
        <v>154</v>
      </c>
      <c r="C284" s="25" t="s">
        <v>283</v>
      </c>
      <c r="D284" s="26" t="s">
        <v>42</v>
      </c>
      <c r="E284" s="27">
        <f t="shared" si="28"/>
        <v>349.82</v>
      </c>
      <c r="F284" s="28">
        <v>0.92</v>
      </c>
      <c r="G284" s="29">
        <v>2.8</v>
      </c>
      <c r="H284" s="29">
        <v>0.85</v>
      </c>
      <c r="I284" s="29">
        <f t="shared" si="24"/>
        <v>0.457</v>
      </c>
      <c r="J284" s="29">
        <f t="shared" si="25"/>
        <v>0.45243</v>
      </c>
      <c r="K284" s="29">
        <f t="shared" si="26"/>
        <v>5.47943</v>
      </c>
      <c r="L284" s="23">
        <f t="shared" si="27"/>
        <v>1916.8142026</v>
      </c>
      <c r="M284" s="39" t="s">
        <v>142</v>
      </c>
    </row>
    <row r="285" s="1" customFormat="1" ht="33.75" outlineLevel="1" spans="1:13">
      <c r="A285" s="24">
        <v>3</v>
      </c>
      <c r="B285" s="25" t="s">
        <v>157</v>
      </c>
      <c r="C285" s="25" t="s">
        <v>306</v>
      </c>
      <c r="D285" s="26" t="s">
        <v>60</v>
      </c>
      <c r="E285" s="27">
        <v>6</v>
      </c>
      <c r="F285" s="24">
        <v>265.43</v>
      </c>
      <c r="G285" s="29">
        <v>116</v>
      </c>
      <c r="H285" s="29">
        <v>16.5</v>
      </c>
      <c r="I285" s="29">
        <f t="shared" si="24"/>
        <v>39.793</v>
      </c>
      <c r="J285" s="29">
        <f t="shared" si="25"/>
        <v>39.39507</v>
      </c>
      <c r="K285" s="29">
        <f t="shared" si="26"/>
        <v>477.11807</v>
      </c>
      <c r="L285" s="23">
        <f t="shared" si="27"/>
        <v>2862.70842</v>
      </c>
      <c r="M285" s="39" t="s">
        <v>159</v>
      </c>
    </row>
    <row r="286" s="1" customFormat="1" outlineLevel="1" spans="1:13">
      <c r="A286" s="20" t="s">
        <v>152</v>
      </c>
      <c r="B286" s="21" t="s">
        <v>307</v>
      </c>
      <c r="C286" s="21"/>
      <c r="D286" s="26"/>
      <c r="E286" s="27"/>
      <c r="F286" s="24"/>
      <c r="G286" s="29"/>
      <c r="H286" s="29"/>
      <c r="I286" s="29">
        <f t="shared" si="24"/>
        <v>0</v>
      </c>
      <c r="J286" s="29">
        <f t="shared" si="25"/>
        <v>0</v>
      </c>
      <c r="K286" s="29">
        <f t="shared" si="26"/>
        <v>0</v>
      </c>
      <c r="L286" s="23">
        <f t="shared" si="27"/>
        <v>0</v>
      </c>
      <c r="M286" s="39"/>
    </row>
    <row r="287" s="1" customFormat="1" ht="56.25" outlineLevel="1" spans="1:13">
      <c r="A287" s="24">
        <v>1</v>
      </c>
      <c r="B287" s="25" t="s">
        <v>154</v>
      </c>
      <c r="C287" s="25" t="s">
        <v>308</v>
      </c>
      <c r="D287" s="26" t="s">
        <v>42</v>
      </c>
      <c r="E287" s="27">
        <f>180.65+28.97+1.1+46.27+2.9*2</f>
        <v>262.79</v>
      </c>
      <c r="F287" s="28">
        <v>0.92</v>
      </c>
      <c r="G287" s="29">
        <v>3.11</v>
      </c>
      <c r="H287" s="29">
        <v>0.85</v>
      </c>
      <c r="I287" s="29">
        <f t="shared" si="24"/>
        <v>0.488</v>
      </c>
      <c r="J287" s="29">
        <f t="shared" si="25"/>
        <v>0.48312</v>
      </c>
      <c r="K287" s="29">
        <f t="shared" si="26"/>
        <v>5.85112</v>
      </c>
      <c r="L287" s="23">
        <f t="shared" si="27"/>
        <v>1537.6158248</v>
      </c>
      <c r="M287" s="39" t="s">
        <v>142</v>
      </c>
    </row>
    <row r="288" s="1" customFormat="1" ht="33.75" outlineLevel="1" spans="1:13">
      <c r="A288" s="24">
        <v>2</v>
      </c>
      <c r="B288" s="25" t="s">
        <v>157</v>
      </c>
      <c r="C288" s="25" t="s">
        <v>163</v>
      </c>
      <c r="D288" s="26" t="s">
        <v>60</v>
      </c>
      <c r="E288" s="27">
        <v>4</v>
      </c>
      <c r="F288" s="24">
        <v>285.43</v>
      </c>
      <c r="G288" s="29">
        <v>78.4</v>
      </c>
      <c r="H288" s="29">
        <v>66.5</v>
      </c>
      <c r="I288" s="29">
        <f t="shared" si="24"/>
        <v>43.033</v>
      </c>
      <c r="J288" s="29">
        <f t="shared" si="25"/>
        <v>42.60267</v>
      </c>
      <c r="K288" s="29">
        <f t="shared" si="26"/>
        <v>515.96567</v>
      </c>
      <c r="L288" s="23">
        <f t="shared" si="27"/>
        <v>2063.86268</v>
      </c>
      <c r="M288" s="39" t="s">
        <v>159</v>
      </c>
    </row>
    <row r="289" s="1" customFormat="1" ht="22.5" outlineLevel="1" spans="1:13">
      <c r="A289" s="20" t="s">
        <v>160</v>
      </c>
      <c r="B289" s="21" t="s">
        <v>309</v>
      </c>
      <c r="C289" s="21"/>
      <c r="D289" s="22"/>
      <c r="E289" s="22"/>
      <c r="F289" s="20"/>
      <c r="G289" s="29"/>
      <c r="H289" s="29"/>
      <c r="I289" s="29">
        <f t="shared" si="24"/>
        <v>0</v>
      </c>
      <c r="J289" s="29">
        <f t="shared" si="25"/>
        <v>0</v>
      </c>
      <c r="K289" s="29">
        <f t="shared" si="26"/>
        <v>0</v>
      </c>
      <c r="L289" s="23">
        <f t="shared" si="27"/>
        <v>0</v>
      </c>
      <c r="M289" s="38"/>
    </row>
    <row r="290" s="1" customFormat="1" ht="67.5" outlineLevel="1" spans="1:13">
      <c r="A290" s="24">
        <v>1</v>
      </c>
      <c r="B290" s="25" t="s">
        <v>154</v>
      </c>
      <c r="C290" s="25" t="s">
        <v>166</v>
      </c>
      <c r="D290" s="26" t="s">
        <v>42</v>
      </c>
      <c r="E290" s="27">
        <f>180.65+1.09+46.27+2.9*21*2</f>
        <v>349.81</v>
      </c>
      <c r="F290" s="28">
        <v>0.92</v>
      </c>
      <c r="G290" s="29">
        <v>3.46</v>
      </c>
      <c r="H290" s="29">
        <v>0.85</v>
      </c>
      <c r="I290" s="29">
        <f t="shared" si="24"/>
        <v>0.523</v>
      </c>
      <c r="J290" s="29">
        <f t="shared" si="25"/>
        <v>0.51777</v>
      </c>
      <c r="K290" s="29">
        <f t="shared" si="26"/>
        <v>6.27077</v>
      </c>
      <c r="L290" s="23">
        <f t="shared" si="27"/>
        <v>2193.5780537</v>
      </c>
      <c r="M290" s="39" t="s">
        <v>142</v>
      </c>
    </row>
    <row r="291" s="1" customFormat="1" ht="67.5" outlineLevel="1" spans="1:13">
      <c r="A291" s="24">
        <v>2</v>
      </c>
      <c r="B291" s="25" t="s">
        <v>154</v>
      </c>
      <c r="C291" s="25" t="s">
        <v>167</v>
      </c>
      <c r="D291" s="26" t="s">
        <v>42</v>
      </c>
      <c r="E291" s="27">
        <f>E290*2</f>
        <v>699.62</v>
      </c>
      <c r="F291" s="28">
        <v>0.92</v>
      </c>
      <c r="G291" s="29">
        <v>2.82</v>
      </c>
      <c r="H291" s="29">
        <v>0.85</v>
      </c>
      <c r="I291" s="29">
        <f t="shared" si="24"/>
        <v>0.459</v>
      </c>
      <c r="J291" s="29">
        <f t="shared" si="25"/>
        <v>0.45441</v>
      </c>
      <c r="K291" s="29">
        <f t="shared" si="26"/>
        <v>5.50341</v>
      </c>
      <c r="L291" s="23">
        <f t="shared" si="27"/>
        <v>3850.2957042</v>
      </c>
      <c r="M291" s="39" t="s">
        <v>142</v>
      </c>
    </row>
    <row r="292" s="1" customFormat="1" ht="67.5" outlineLevel="1" spans="1:13">
      <c r="A292" s="24">
        <v>3</v>
      </c>
      <c r="B292" s="25" t="s">
        <v>154</v>
      </c>
      <c r="C292" s="25" t="s">
        <v>168</v>
      </c>
      <c r="D292" s="26" t="s">
        <v>42</v>
      </c>
      <c r="E292" s="27">
        <f>180.65+1.09+46.27+2.9*2</f>
        <v>233.81</v>
      </c>
      <c r="F292" s="28">
        <v>0.92</v>
      </c>
      <c r="G292" s="29">
        <v>3.64</v>
      </c>
      <c r="H292" s="29">
        <v>0.85</v>
      </c>
      <c r="I292" s="29">
        <f t="shared" si="24"/>
        <v>0.541</v>
      </c>
      <c r="J292" s="29">
        <f t="shared" si="25"/>
        <v>0.53559</v>
      </c>
      <c r="K292" s="29">
        <f t="shared" si="26"/>
        <v>6.48659</v>
      </c>
      <c r="L292" s="23">
        <f t="shared" si="27"/>
        <v>1516.6296079</v>
      </c>
      <c r="M292" s="39" t="s">
        <v>142</v>
      </c>
    </row>
    <row r="293" s="1" customFormat="1" ht="67.5" outlineLevel="1" spans="1:13">
      <c r="A293" s="24">
        <v>4</v>
      </c>
      <c r="B293" s="25" t="s">
        <v>154</v>
      </c>
      <c r="C293" s="25" t="s">
        <v>169</v>
      </c>
      <c r="D293" s="26" t="s">
        <v>42</v>
      </c>
      <c r="E293" s="27">
        <f>180.65+1.09+46.27+2.9*2</f>
        <v>233.81</v>
      </c>
      <c r="F293" s="28">
        <v>0.92</v>
      </c>
      <c r="G293" s="29">
        <v>3.64</v>
      </c>
      <c r="H293" s="29">
        <v>0.85</v>
      </c>
      <c r="I293" s="29">
        <f t="shared" ref="I293:I356" si="29">(F293+G293+H293)*$I$4</f>
        <v>0.541</v>
      </c>
      <c r="J293" s="29">
        <f t="shared" ref="J293:J356" si="30">(F293+G293+H293+I293)*$J$4</f>
        <v>0.53559</v>
      </c>
      <c r="K293" s="29">
        <f t="shared" si="26"/>
        <v>6.48659</v>
      </c>
      <c r="L293" s="23">
        <f t="shared" si="27"/>
        <v>1516.6296079</v>
      </c>
      <c r="M293" s="39" t="s">
        <v>142</v>
      </c>
    </row>
    <row r="294" s="1" customFormat="1" ht="67.5" outlineLevel="1" spans="1:13">
      <c r="A294" s="24">
        <v>5</v>
      </c>
      <c r="B294" s="25" t="s">
        <v>154</v>
      </c>
      <c r="C294" s="25" t="s">
        <v>170</v>
      </c>
      <c r="D294" s="26" t="s">
        <v>42</v>
      </c>
      <c r="E294" s="27">
        <v>4241.1</v>
      </c>
      <c r="F294" s="28">
        <v>0.92</v>
      </c>
      <c r="G294" s="29">
        <v>2.04</v>
      </c>
      <c r="H294" s="29">
        <v>0.85</v>
      </c>
      <c r="I294" s="29">
        <f t="shared" si="29"/>
        <v>0.381</v>
      </c>
      <c r="J294" s="29">
        <f t="shared" si="30"/>
        <v>0.37719</v>
      </c>
      <c r="K294" s="29">
        <f t="shared" si="26"/>
        <v>4.56819</v>
      </c>
      <c r="L294" s="23">
        <f t="shared" si="27"/>
        <v>19374.150609</v>
      </c>
      <c r="M294" s="39" t="s">
        <v>142</v>
      </c>
    </row>
    <row r="295" s="1" customFormat="1" ht="67.5" outlineLevel="1" spans="1:13">
      <c r="A295" s="24">
        <v>6</v>
      </c>
      <c r="B295" s="25" t="s">
        <v>154</v>
      </c>
      <c r="C295" s="25" t="s">
        <v>310</v>
      </c>
      <c r="D295" s="26" t="s">
        <v>42</v>
      </c>
      <c r="E295" s="27">
        <v>2827.45</v>
      </c>
      <c r="F295" s="28">
        <v>0.92</v>
      </c>
      <c r="G295" s="29">
        <v>1.93</v>
      </c>
      <c r="H295" s="29">
        <v>0.85</v>
      </c>
      <c r="I295" s="29">
        <f t="shared" si="29"/>
        <v>0.37</v>
      </c>
      <c r="J295" s="29">
        <f t="shared" si="30"/>
        <v>0.3663</v>
      </c>
      <c r="K295" s="29">
        <f t="shared" si="26"/>
        <v>4.4363</v>
      </c>
      <c r="L295" s="23">
        <f t="shared" si="27"/>
        <v>12543.416435</v>
      </c>
      <c r="M295" s="39" t="s">
        <v>142</v>
      </c>
    </row>
    <row r="296" s="1" customFormat="1" ht="67.5" outlineLevel="1" spans="1:13">
      <c r="A296" s="24">
        <v>7</v>
      </c>
      <c r="B296" s="25" t="s">
        <v>154</v>
      </c>
      <c r="C296" s="25" t="s">
        <v>172</v>
      </c>
      <c r="D296" s="26" t="s">
        <v>42</v>
      </c>
      <c r="E296" s="27">
        <v>452.96</v>
      </c>
      <c r="F296" s="28">
        <v>0.92</v>
      </c>
      <c r="G296" s="29">
        <v>3.64</v>
      </c>
      <c r="H296" s="29">
        <v>0.85</v>
      </c>
      <c r="I296" s="29">
        <f t="shared" si="29"/>
        <v>0.541</v>
      </c>
      <c r="J296" s="29">
        <f t="shared" si="30"/>
        <v>0.53559</v>
      </c>
      <c r="K296" s="29">
        <f t="shared" si="26"/>
        <v>6.48659</v>
      </c>
      <c r="L296" s="23">
        <f t="shared" si="27"/>
        <v>2938.1658064</v>
      </c>
      <c r="M296" s="39" t="s">
        <v>142</v>
      </c>
    </row>
    <row r="297" s="1" customFormat="1" ht="67.5" outlineLevel="1" spans="1:13">
      <c r="A297" s="24">
        <v>8</v>
      </c>
      <c r="B297" s="25" t="s">
        <v>154</v>
      </c>
      <c r="C297" s="25" t="s">
        <v>173</v>
      </c>
      <c r="D297" s="26" t="s">
        <v>42</v>
      </c>
      <c r="E297" s="27">
        <v>414.67</v>
      </c>
      <c r="F297" s="28">
        <v>0.92</v>
      </c>
      <c r="G297" s="29">
        <v>1.98</v>
      </c>
      <c r="H297" s="29">
        <v>0.85</v>
      </c>
      <c r="I297" s="29">
        <f t="shared" si="29"/>
        <v>0.375</v>
      </c>
      <c r="J297" s="29">
        <f t="shared" si="30"/>
        <v>0.37125</v>
      </c>
      <c r="K297" s="29">
        <f t="shared" si="26"/>
        <v>4.49625</v>
      </c>
      <c r="L297" s="23">
        <f t="shared" si="27"/>
        <v>1864.4599875</v>
      </c>
      <c r="M297" s="39" t="s">
        <v>142</v>
      </c>
    </row>
    <row r="298" s="1" customFormat="1" ht="33.75" outlineLevel="1" spans="1:13">
      <c r="A298" s="24">
        <v>9</v>
      </c>
      <c r="B298" s="25" t="s">
        <v>174</v>
      </c>
      <c r="C298" s="25" t="s">
        <v>175</v>
      </c>
      <c r="D298" s="26" t="s">
        <v>60</v>
      </c>
      <c r="E298" s="27">
        <v>44</v>
      </c>
      <c r="F298" s="28">
        <v>192.41</v>
      </c>
      <c r="G298" s="28">
        <v>26.6</v>
      </c>
      <c r="H298" s="29">
        <v>10.12</v>
      </c>
      <c r="I298" s="29">
        <f t="shared" si="29"/>
        <v>22.913</v>
      </c>
      <c r="J298" s="29">
        <f t="shared" si="30"/>
        <v>22.68387</v>
      </c>
      <c r="K298" s="29">
        <f t="shared" si="26"/>
        <v>274.72687</v>
      </c>
      <c r="L298" s="23">
        <f t="shared" si="27"/>
        <v>12087.98228</v>
      </c>
      <c r="M298" s="39" t="s">
        <v>159</v>
      </c>
    </row>
    <row r="299" s="1" customFormat="1" ht="33.75" outlineLevel="1" spans="1:13">
      <c r="A299" s="24">
        <v>10</v>
      </c>
      <c r="B299" s="25" t="s">
        <v>176</v>
      </c>
      <c r="C299" s="25" t="s">
        <v>177</v>
      </c>
      <c r="D299" s="26" t="s">
        <v>60</v>
      </c>
      <c r="E299" s="27">
        <v>818</v>
      </c>
      <c r="F299" s="28">
        <v>37.21</v>
      </c>
      <c r="G299" s="28">
        <v>19.2</v>
      </c>
      <c r="H299" s="29">
        <v>2.21</v>
      </c>
      <c r="I299" s="29">
        <f t="shared" si="29"/>
        <v>5.862</v>
      </c>
      <c r="J299" s="29">
        <f t="shared" si="30"/>
        <v>5.80338</v>
      </c>
      <c r="K299" s="29">
        <f t="shared" si="26"/>
        <v>70.28538</v>
      </c>
      <c r="L299" s="23">
        <f t="shared" si="27"/>
        <v>57493.44084</v>
      </c>
      <c r="M299" s="39" t="s">
        <v>159</v>
      </c>
    </row>
    <row r="300" s="1" customFormat="1" ht="45" outlineLevel="1" spans="1:13">
      <c r="A300" s="24">
        <v>11</v>
      </c>
      <c r="B300" s="25" t="s">
        <v>180</v>
      </c>
      <c r="C300" s="25" t="s">
        <v>181</v>
      </c>
      <c r="D300" s="26" t="s">
        <v>60</v>
      </c>
      <c r="E300" s="27">
        <v>82</v>
      </c>
      <c r="F300" s="28">
        <v>65.22</v>
      </c>
      <c r="G300" s="28">
        <v>26.92</v>
      </c>
      <c r="H300" s="29">
        <v>4.5</v>
      </c>
      <c r="I300" s="29">
        <f t="shared" si="29"/>
        <v>9.664</v>
      </c>
      <c r="J300" s="29">
        <f t="shared" si="30"/>
        <v>9.56736</v>
      </c>
      <c r="K300" s="29">
        <f t="shared" si="26"/>
        <v>115.87136</v>
      </c>
      <c r="L300" s="23">
        <f t="shared" si="27"/>
        <v>9501.45152</v>
      </c>
      <c r="M300" s="39" t="s">
        <v>159</v>
      </c>
    </row>
    <row r="301" s="1" customFormat="1" ht="33.75" outlineLevel="1" spans="1:13">
      <c r="A301" s="24">
        <v>12</v>
      </c>
      <c r="B301" s="25" t="s">
        <v>182</v>
      </c>
      <c r="C301" s="25" t="s">
        <v>183</v>
      </c>
      <c r="D301" s="26" t="s">
        <v>60</v>
      </c>
      <c r="E301" s="27">
        <v>82</v>
      </c>
      <c r="F301" s="28">
        <v>78.12</v>
      </c>
      <c r="G301" s="28">
        <v>30.08</v>
      </c>
      <c r="H301" s="29">
        <v>3.62</v>
      </c>
      <c r="I301" s="29">
        <f t="shared" si="29"/>
        <v>11.182</v>
      </c>
      <c r="J301" s="29">
        <f t="shared" si="30"/>
        <v>11.07018</v>
      </c>
      <c r="K301" s="29">
        <f t="shared" si="26"/>
        <v>134.07218</v>
      </c>
      <c r="L301" s="23">
        <f t="shared" si="27"/>
        <v>10993.91876</v>
      </c>
      <c r="M301" s="39" t="s">
        <v>159</v>
      </c>
    </row>
    <row r="302" s="1" customFormat="1" ht="33.75" outlineLevel="1" spans="1:13">
      <c r="A302" s="24">
        <v>13</v>
      </c>
      <c r="B302" s="25" t="s">
        <v>184</v>
      </c>
      <c r="C302" s="25" t="s">
        <v>185</v>
      </c>
      <c r="D302" s="26" t="s">
        <v>60</v>
      </c>
      <c r="E302" s="27">
        <v>124</v>
      </c>
      <c r="F302" s="28">
        <v>195.64</v>
      </c>
      <c r="G302" s="28">
        <v>22.56</v>
      </c>
      <c r="H302" s="29">
        <v>7.17</v>
      </c>
      <c r="I302" s="29">
        <f t="shared" si="29"/>
        <v>22.537</v>
      </c>
      <c r="J302" s="29">
        <f t="shared" si="30"/>
        <v>22.31163</v>
      </c>
      <c r="K302" s="29">
        <f t="shared" si="26"/>
        <v>270.21863</v>
      </c>
      <c r="L302" s="23">
        <f t="shared" si="27"/>
        <v>33507.11012</v>
      </c>
      <c r="M302" s="39" t="s">
        <v>159</v>
      </c>
    </row>
    <row r="303" s="1" customFormat="1" ht="33.75" outlineLevel="1" spans="1:13">
      <c r="A303" s="24">
        <v>14</v>
      </c>
      <c r="B303" s="25" t="s">
        <v>186</v>
      </c>
      <c r="C303" s="25" t="s">
        <v>187</v>
      </c>
      <c r="D303" s="26" t="s">
        <v>60</v>
      </c>
      <c r="E303" s="27">
        <v>130</v>
      </c>
      <c r="F303" s="28">
        <v>48.37</v>
      </c>
      <c r="G303" s="28">
        <v>19.4</v>
      </c>
      <c r="H303" s="29">
        <v>3.2</v>
      </c>
      <c r="I303" s="29">
        <f t="shared" si="29"/>
        <v>7.097</v>
      </c>
      <c r="J303" s="29">
        <f t="shared" si="30"/>
        <v>7.02603</v>
      </c>
      <c r="K303" s="29">
        <f t="shared" si="26"/>
        <v>85.09303</v>
      </c>
      <c r="L303" s="23">
        <f t="shared" si="27"/>
        <v>11062.0939</v>
      </c>
      <c r="M303" s="39" t="s">
        <v>159</v>
      </c>
    </row>
    <row r="304" s="1" customFormat="1" ht="33.75" outlineLevel="1" spans="1:13">
      <c r="A304" s="24">
        <v>15</v>
      </c>
      <c r="B304" s="25" t="s">
        <v>188</v>
      </c>
      <c r="C304" s="25" t="s">
        <v>189</v>
      </c>
      <c r="D304" s="26" t="s">
        <v>60</v>
      </c>
      <c r="E304" s="27">
        <v>44</v>
      </c>
      <c r="F304" s="28">
        <v>50.98</v>
      </c>
      <c r="G304" s="28">
        <v>46.66</v>
      </c>
      <c r="H304" s="29">
        <v>30.84</v>
      </c>
      <c r="I304" s="29">
        <f t="shared" si="29"/>
        <v>12.848</v>
      </c>
      <c r="J304" s="29">
        <f t="shared" si="30"/>
        <v>12.71952</v>
      </c>
      <c r="K304" s="29">
        <f t="shared" si="26"/>
        <v>154.04752</v>
      </c>
      <c r="L304" s="23">
        <f t="shared" si="27"/>
        <v>6778.09088</v>
      </c>
      <c r="M304" s="39" t="s">
        <v>159</v>
      </c>
    </row>
    <row r="305" s="1" customFormat="1" ht="33.75" outlineLevel="1" spans="1:13">
      <c r="A305" s="24">
        <v>16</v>
      </c>
      <c r="B305" s="25" t="s">
        <v>286</v>
      </c>
      <c r="C305" s="25" t="s">
        <v>287</v>
      </c>
      <c r="D305" s="26" t="s">
        <v>60</v>
      </c>
      <c r="E305" s="27">
        <v>44</v>
      </c>
      <c r="F305" s="28">
        <v>45.9</v>
      </c>
      <c r="G305" s="28">
        <v>72.9</v>
      </c>
      <c r="H305" s="29">
        <v>33</v>
      </c>
      <c r="I305" s="29">
        <f t="shared" si="29"/>
        <v>15.18</v>
      </c>
      <c r="J305" s="29">
        <f t="shared" si="30"/>
        <v>15.0282</v>
      </c>
      <c r="K305" s="29">
        <f t="shared" si="26"/>
        <v>182.0082</v>
      </c>
      <c r="L305" s="23">
        <f t="shared" si="27"/>
        <v>8008.3608</v>
      </c>
      <c r="M305" s="39" t="s">
        <v>159</v>
      </c>
    </row>
    <row r="306" s="1" customFormat="1" ht="33.75" outlineLevel="1" spans="1:13">
      <c r="A306" s="24">
        <v>17</v>
      </c>
      <c r="B306" s="25" t="s">
        <v>234</v>
      </c>
      <c r="C306" s="25" t="s">
        <v>235</v>
      </c>
      <c r="D306" s="26" t="s">
        <v>60</v>
      </c>
      <c r="E306" s="27">
        <v>2</v>
      </c>
      <c r="F306" s="28">
        <v>192.41</v>
      </c>
      <c r="G306" s="28">
        <v>29.56</v>
      </c>
      <c r="H306" s="29">
        <v>4.5</v>
      </c>
      <c r="I306" s="29">
        <f t="shared" si="29"/>
        <v>22.647</v>
      </c>
      <c r="J306" s="29">
        <f t="shared" si="30"/>
        <v>22.42053</v>
      </c>
      <c r="K306" s="29">
        <f t="shared" si="26"/>
        <v>271.53753</v>
      </c>
      <c r="L306" s="23">
        <f t="shared" si="27"/>
        <v>543.07506</v>
      </c>
      <c r="M306" s="39" t="s">
        <v>159</v>
      </c>
    </row>
    <row r="307" s="1" customFormat="1" ht="33.75" outlineLevel="1" spans="1:13">
      <c r="A307" s="24">
        <v>18</v>
      </c>
      <c r="B307" s="25" t="s">
        <v>236</v>
      </c>
      <c r="C307" s="25" t="s">
        <v>237</v>
      </c>
      <c r="D307" s="26" t="s">
        <v>60</v>
      </c>
      <c r="E307" s="27">
        <v>2</v>
      </c>
      <c r="F307" s="28">
        <v>192.47</v>
      </c>
      <c r="G307" s="28">
        <v>26.56</v>
      </c>
      <c r="H307" s="29">
        <v>7.5</v>
      </c>
      <c r="I307" s="29">
        <f t="shared" si="29"/>
        <v>22.653</v>
      </c>
      <c r="J307" s="29">
        <f t="shared" si="30"/>
        <v>22.42647</v>
      </c>
      <c r="K307" s="29">
        <f t="shared" si="26"/>
        <v>271.60947</v>
      </c>
      <c r="L307" s="23">
        <f t="shared" si="27"/>
        <v>543.21894</v>
      </c>
      <c r="M307" s="39" t="s">
        <v>159</v>
      </c>
    </row>
    <row r="308" s="1" customFormat="1" ht="33.75" outlineLevel="1" spans="1:13">
      <c r="A308" s="24">
        <v>19</v>
      </c>
      <c r="B308" s="25" t="s">
        <v>192</v>
      </c>
      <c r="C308" s="25" t="s">
        <v>193</v>
      </c>
      <c r="D308" s="26" t="s">
        <v>60</v>
      </c>
      <c r="E308" s="27">
        <v>10</v>
      </c>
      <c r="F308" s="28">
        <v>254.48</v>
      </c>
      <c r="G308" s="28">
        <v>21.15</v>
      </c>
      <c r="H308" s="29">
        <v>10.26</v>
      </c>
      <c r="I308" s="29">
        <f t="shared" si="29"/>
        <v>28.589</v>
      </c>
      <c r="J308" s="29">
        <f t="shared" si="30"/>
        <v>28.30311</v>
      </c>
      <c r="K308" s="29">
        <f t="shared" si="26"/>
        <v>342.78211</v>
      </c>
      <c r="L308" s="23">
        <f t="shared" si="27"/>
        <v>3427.8211</v>
      </c>
      <c r="M308" s="39" t="s">
        <v>159</v>
      </c>
    </row>
    <row r="309" s="1" customFormat="1" ht="33.75" outlineLevel="1" spans="1:13">
      <c r="A309" s="24">
        <v>20</v>
      </c>
      <c r="B309" s="25" t="s">
        <v>194</v>
      </c>
      <c r="C309" s="25" t="s">
        <v>195</v>
      </c>
      <c r="D309" s="26" t="s">
        <v>60</v>
      </c>
      <c r="E309" s="27">
        <v>4</v>
      </c>
      <c r="F309" s="28">
        <v>1425.47</v>
      </c>
      <c r="G309" s="28">
        <v>234.06</v>
      </c>
      <c r="H309" s="29">
        <v>58.4</v>
      </c>
      <c r="I309" s="29">
        <f t="shared" si="29"/>
        <v>171.793</v>
      </c>
      <c r="J309" s="29">
        <f t="shared" si="30"/>
        <v>170.07507</v>
      </c>
      <c r="K309" s="29">
        <f t="shared" si="26"/>
        <v>2059.79807</v>
      </c>
      <c r="L309" s="23">
        <f t="shared" si="27"/>
        <v>8239.19228</v>
      </c>
      <c r="M309" s="39" t="s">
        <v>159</v>
      </c>
    </row>
    <row r="310" s="1" customFormat="1" ht="33.75" outlineLevel="1" spans="1:13">
      <c r="A310" s="24">
        <v>21</v>
      </c>
      <c r="B310" s="25" t="s">
        <v>238</v>
      </c>
      <c r="C310" s="25" t="s">
        <v>239</v>
      </c>
      <c r="D310" s="26" t="s">
        <v>60</v>
      </c>
      <c r="E310" s="27">
        <v>4</v>
      </c>
      <c r="F310" s="28">
        <v>47.27</v>
      </c>
      <c r="G310" s="28">
        <v>43.24</v>
      </c>
      <c r="H310" s="29">
        <v>2.7</v>
      </c>
      <c r="I310" s="29">
        <f t="shared" si="29"/>
        <v>9.321</v>
      </c>
      <c r="J310" s="29">
        <f t="shared" si="30"/>
        <v>9.22779</v>
      </c>
      <c r="K310" s="29">
        <f t="shared" si="26"/>
        <v>111.75879</v>
      </c>
      <c r="L310" s="23">
        <f t="shared" si="27"/>
        <v>447.03516</v>
      </c>
      <c r="M310" s="39" t="s">
        <v>159</v>
      </c>
    </row>
    <row r="311" s="1" customFormat="1" outlineLevel="1" spans="1:13">
      <c r="A311" s="20" t="s">
        <v>164</v>
      </c>
      <c r="B311" s="21" t="s">
        <v>311</v>
      </c>
      <c r="C311" s="21"/>
      <c r="D311" s="22"/>
      <c r="E311" s="22"/>
      <c r="F311" s="20"/>
      <c r="G311" s="29"/>
      <c r="H311" s="29"/>
      <c r="I311" s="29">
        <f t="shared" si="29"/>
        <v>0</v>
      </c>
      <c r="J311" s="29">
        <f t="shared" si="30"/>
        <v>0</v>
      </c>
      <c r="K311" s="29">
        <f t="shared" si="26"/>
        <v>0</v>
      </c>
      <c r="L311" s="23">
        <f t="shared" si="27"/>
        <v>0</v>
      </c>
      <c r="M311" s="38"/>
    </row>
    <row r="312" s="1" customFormat="1" ht="56.25" outlineLevel="1" spans="1:13">
      <c r="A312" s="24">
        <v>1</v>
      </c>
      <c r="B312" s="25" t="s">
        <v>154</v>
      </c>
      <c r="C312" s="25" t="s">
        <v>312</v>
      </c>
      <c r="D312" s="26" t="s">
        <v>42</v>
      </c>
      <c r="E312" s="27">
        <f>180.65+1.1+46.27+2.9*21*2+18.96+18.14+(9.02+12.33+3.93)*2+2.9*8+2.9*8*18+2.9*4+7.6*2</f>
        <v>905.08</v>
      </c>
      <c r="F312" s="28">
        <v>0.92</v>
      </c>
      <c r="G312" s="29">
        <v>3.64</v>
      </c>
      <c r="H312" s="29">
        <v>0.85</v>
      </c>
      <c r="I312" s="29">
        <f t="shared" si="29"/>
        <v>0.541</v>
      </c>
      <c r="J312" s="29">
        <f t="shared" si="30"/>
        <v>0.53559</v>
      </c>
      <c r="K312" s="29">
        <f t="shared" si="26"/>
        <v>6.48659</v>
      </c>
      <c r="L312" s="23">
        <f t="shared" si="27"/>
        <v>5870.8828772</v>
      </c>
      <c r="M312" s="39" t="s">
        <v>142</v>
      </c>
    </row>
    <row r="313" s="1" customFormat="1" ht="33.75" outlineLevel="1" spans="1:13">
      <c r="A313" s="24">
        <v>2</v>
      </c>
      <c r="B313" s="25" t="s">
        <v>157</v>
      </c>
      <c r="C313" s="25" t="s">
        <v>313</v>
      </c>
      <c r="D313" s="26" t="s">
        <v>60</v>
      </c>
      <c r="E313" s="27">
        <v>132</v>
      </c>
      <c r="F313" s="24">
        <v>285.43</v>
      </c>
      <c r="G313" s="29">
        <v>43.6</v>
      </c>
      <c r="H313" s="29">
        <v>16.5</v>
      </c>
      <c r="I313" s="29">
        <f t="shared" si="29"/>
        <v>34.553</v>
      </c>
      <c r="J313" s="29">
        <f t="shared" si="30"/>
        <v>34.20747</v>
      </c>
      <c r="K313" s="29">
        <f t="shared" si="26"/>
        <v>414.29047</v>
      </c>
      <c r="L313" s="23">
        <f t="shared" si="27"/>
        <v>54686.34204</v>
      </c>
      <c r="M313" s="39" t="s">
        <v>159</v>
      </c>
    </row>
    <row r="314" s="1" customFormat="1" ht="33.75" outlineLevel="1" spans="1:13">
      <c r="A314" s="24">
        <v>3</v>
      </c>
      <c r="B314" s="25" t="s">
        <v>157</v>
      </c>
      <c r="C314" s="25" t="s">
        <v>243</v>
      </c>
      <c r="D314" s="26" t="s">
        <v>60</v>
      </c>
      <c r="E314" s="27">
        <v>2</v>
      </c>
      <c r="F314" s="24">
        <v>325.43</v>
      </c>
      <c r="G314" s="29">
        <v>500</v>
      </c>
      <c r="H314" s="29">
        <v>16.5</v>
      </c>
      <c r="I314" s="29">
        <f t="shared" si="29"/>
        <v>84.193</v>
      </c>
      <c r="J314" s="29">
        <f t="shared" si="30"/>
        <v>83.35107</v>
      </c>
      <c r="K314" s="29">
        <f t="shared" si="26"/>
        <v>1009.47407</v>
      </c>
      <c r="L314" s="23">
        <f t="shared" si="27"/>
        <v>2018.94814</v>
      </c>
      <c r="M314" s="39" t="s">
        <v>159</v>
      </c>
    </row>
    <row r="315" s="1" customFormat="1" outlineLevel="1" spans="1:13">
      <c r="A315" s="20" t="s">
        <v>196</v>
      </c>
      <c r="B315" s="21" t="s">
        <v>314</v>
      </c>
      <c r="C315" s="21"/>
      <c r="D315" s="22"/>
      <c r="E315" s="22"/>
      <c r="F315" s="20"/>
      <c r="G315" s="29"/>
      <c r="H315" s="29"/>
      <c r="I315" s="29">
        <f t="shared" si="29"/>
        <v>0</v>
      </c>
      <c r="J315" s="29">
        <f t="shared" si="30"/>
        <v>0</v>
      </c>
      <c r="K315" s="29">
        <f t="shared" si="26"/>
        <v>0</v>
      </c>
      <c r="L315" s="23">
        <f t="shared" si="27"/>
        <v>0</v>
      </c>
      <c r="M315" s="38"/>
    </row>
    <row r="316" s="1" customFormat="1" ht="33.75" outlineLevel="1" spans="1:13">
      <c r="A316" s="24">
        <v>1</v>
      </c>
      <c r="B316" s="25" t="s">
        <v>198</v>
      </c>
      <c r="C316" s="25" t="s">
        <v>245</v>
      </c>
      <c r="D316" s="26" t="s">
        <v>103</v>
      </c>
      <c r="E316" s="27">
        <v>8</v>
      </c>
      <c r="F316" s="24">
        <v>90.73</v>
      </c>
      <c r="G316" s="29">
        <v>360</v>
      </c>
      <c r="H316" s="29">
        <v>19.3</v>
      </c>
      <c r="I316" s="29">
        <f t="shared" si="29"/>
        <v>47.003</v>
      </c>
      <c r="J316" s="29">
        <f t="shared" si="30"/>
        <v>46.53297</v>
      </c>
      <c r="K316" s="29">
        <f t="shared" si="26"/>
        <v>563.56597</v>
      </c>
      <c r="L316" s="23">
        <f t="shared" si="27"/>
        <v>4508.52776</v>
      </c>
      <c r="M316" s="39" t="s">
        <v>202</v>
      </c>
    </row>
    <row r="317" s="1" customFormat="1" ht="56.25" outlineLevel="1" spans="1:13">
      <c r="A317" s="24">
        <v>2</v>
      </c>
      <c r="B317" s="25" t="s">
        <v>200</v>
      </c>
      <c r="C317" s="25" t="s">
        <v>246</v>
      </c>
      <c r="D317" s="26" t="s">
        <v>51</v>
      </c>
      <c r="E317" s="27">
        <v>174</v>
      </c>
      <c r="F317" s="28">
        <v>26.59</v>
      </c>
      <c r="G317" s="29">
        <v>33</v>
      </c>
      <c r="H317" s="29">
        <v>22.37</v>
      </c>
      <c r="I317" s="29">
        <f t="shared" si="29"/>
        <v>8.196</v>
      </c>
      <c r="J317" s="29">
        <f t="shared" si="30"/>
        <v>8.11404</v>
      </c>
      <c r="K317" s="29">
        <f t="shared" si="26"/>
        <v>98.27004</v>
      </c>
      <c r="L317" s="23">
        <f t="shared" si="27"/>
        <v>17098.98696</v>
      </c>
      <c r="M317" s="39" t="s">
        <v>202</v>
      </c>
    </row>
    <row r="318" s="1" customFormat="1" ht="56.25" outlineLevel="1" spans="1:13">
      <c r="A318" s="24">
        <v>3</v>
      </c>
      <c r="B318" s="25" t="s">
        <v>200</v>
      </c>
      <c r="C318" s="25" t="s">
        <v>315</v>
      </c>
      <c r="D318" s="26" t="s">
        <v>51</v>
      </c>
      <c r="E318" s="27">
        <f>4+432</f>
        <v>436</v>
      </c>
      <c r="F318" s="28">
        <v>26.59</v>
      </c>
      <c r="G318" s="29">
        <v>34</v>
      </c>
      <c r="H318" s="29">
        <v>22.37</v>
      </c>
      <c r="I318" s="29">
        <f t="shared" si="29"/>
        <v>8.296</v>
      </c>
      <c r="J318" s="29">
        <f t="shared" si="30"/>
        <v>8.21304</v>
      </c>
      <c r="K318" s="29">
        <f t="shared" si="26"/>
        <v>99.46904</v>
      </c>
      <c r="L318" s="23">
        <f t="shared" si="27"/>
        <v>43368.50144</v>
      </c>
      <c r="M318" s="39" t="s">
        <v>202</v>
      </c>
    </row>
    <row r="319" s="1" customFormat="1" ht="56.25" outlineLevel="1" spans="1:13">
      <c r="A319" s="24">
        <v>4</v>
      </c>
      <c r="B319" s="25" t="s">
        <v>200</v>
      </c>
      <c r="C319" s="25" t="s">
        <v>248</v>
      </c>
      <c r="D319" s="26" t="s">
        <v>51</v>
      </c>
      <c r="E319" s="27">
        <v>88</v>
      </c>
      <c r="F319" s="28">
        <v>26.59</v>
      </c>
      <c r="G319" s="29">
        <v>33</v>
      </c>
      <c r="H319" s="29">
        <v>22.37</v>
      </c>
      <c r="I319" s="29">
        <f t="shared" si="29"/>
        <v>8.196</v>
      </c>
      <c r="J319" s="29">
        <f t="shared" si="30"/>
        <v>8.11404</v>
      </c>
      <c r="K319" s="29">
        <f t="shared" si="26"/>
        <v>98.27004</v>
      </c>
      <c r="L319" s="23">
        <f t="shared" si="27"/>
        <v>8647.76352</v>
      </c>
      <c r="M319" s="39" t="s">
        <v>202</v>
      </c>
    </row>
    <row r="320" s="1" customFormat="1" ht="56.25" outlineLevel="1" spans="1:13">
      <c r="A320" s="24">
        <v>5</v>
      </c>
      <c r="B320" s="25" t="s">
        <v>200</v>
      </c>
      <c r="C320" s="25" t="s">
        <v>249</v>
      </c>
      <c r="D320" s="26" t="s">
        <v>51</v>
      </c>
      <c r="E320" s="27">
        <v>92</v>
      </c>
      <c r="F320" s="28">
        <v>26.59</v>
      </c>
      <c r="G320" s="29">
        <v>33</v>
      </c>
      <c r="H320" s="29">
        <v>22.37</v>
      </c>
      <c r="I320" s="29">
        <f t="shared" si="29"/>
        <v>8.196</v>
      </c>
      <c r="J320" s="29">
        <f t="shared" si="30"/>
        <v>8.11404</v>
      </c>
      <c r="K320" s="29">
        <f t="shared" si="26"/>
        <v>98.27004</v>
      </c>
      <c r="L320" s="23">
        <f t="shared" si="27"/>
        <v>9040.84368</v>
      </c>
      <c r="M320" s="39" t="s">
        <v>202</v>
      </c>
    </row>
    <row r="321" s="1" customFormat="1" ht="56.25" outlineLevel="1" spans="1:13">
      <c r="A321" s="24">
        <v>6</v>
      </c>
      <c r="B321" s="25" t="s">
        <v>200</v>
      </c>
      <c r="C321" s="25" t="s">
        <v>316</v>
      </c>
      <c r="D321" s="26" t="s">
        <v>51</v>
      </c>
      <c r="E321" s="27">
        <v>4</v>
      </c>
      <c r="F321" s="28">
        <v>26.59</v>
      </c>
      <c r="G321" s="29">
        <v>34</v>
      </c>
      <c r="H321" s="29">
        <v>22.37</v>
      </c>
      <c r="I321" s="29">
        <f t="shared" si="29"/>
        <v>8.296</v>
      </c>
      <c r="J321" s="29">
        <f t="shared" si="30"/>
        <v>8.21304</v>
      </c>
      <c r="K321" s="29">
        <f t="shared" si="26"/>
        <v>99.46904</v>
      </c>
      <c r="L321" s="23">
        <f t="shared" si="27"/>
        <v>397.87616</v>
      </c>
      <c r="M321" s="39" t="s">
        <v>202</v>
      </c>
    </row>
    <row r="322" s="1" customFormat="1" ht="56.25" outlineLevel="1" spans="1:13">
      <c r="A322" s="24">
        <v>7</v>
      </c>
      <c r="B322" s="25" t="s">
        <v>154</v>
      </c>
      <c r="C322" s="25" t="s">
        <v>206</v>
      </c>
      <c r="D322" s="26" t="s">
        <v>42</v>
      </c>
      <c r="E322" s="27">
        <v>5241.75</v>
      </c>
      <c r="F322" s="28">
        <v>0.92</v>
      </c>
      <c r="G322" s="29">
        <v>1.93</v>
      </c>
      <c r="H322" s="29">
        <v>0.85</v>
      </c>
      <c r="I322" s="29">
        <f t="shared" si="29"/>
        <v>0.37</v>
      </c>
      <c r="J322" s="29">
        <f t="shared" si="30"/>
        <v>0.3663</v>
      </c>
      <c r="K322" s="29">
        <f t="shared" si="26"/>
        <v>4.4363</v>
      </c>
      <c r="L322" s="23">
        <f t="shared" si="27"/>
        <v>23253.975525</v>
      </c>
      <c r="M322" s="39" t="s">
        <v>142</v>
      </c>
    </row>
    <row r="323" s="4" customFormat="1" spans="1:13">
      <c r="A323" s="40" t="s">
        <v>207</v>
      </c>
      <c r="B323" s="41" t="s">
        <v>317</v>
      </c>
      <c r="C323" s="41"/>
      <c r="D323" s="40"/>
      <c r="E323" s="40"/>
      <c r="F323" s="40"/>
      <c r="G323" s="23"/>
      <c r="H323" s="42"/>
      <c r="I323" s="42"/>
      <c r="J323" s="42"/>
      <c r="K323" s="42"/>
      <c r="L323" s="44">
        <f>SUM(L245:L322)</f>
        <v>518492.2610387</v>
      </c>
      <c r="M323" s="45"/>
    </row>
    <row r="324" s="1" customFormat="1" outlineLevel="1" spans="1:13">
      <c r="A324" s="20" t="s">
        <v>38</v>
      </c>
      <c r="B324" s="21" t="s">
        <v>318</v>
      </c>
      <c r="C324" s="21"/>
      <c r="D324" s="22"/>
      <c r="E324" s="22"/>
      <c r="F324" s="20"/>
      <c r="G324" s="23"/>
      <c r="H324" s="23"/>
      <c r="I324" s="29">
        <f t="shared" si="29"/>
        <v>0</v>
      </c>
      <c r="J324" s="29">
        <f t="shared" si="30"/>
        <v>0</v>
      </c>
      <c r="K324" s="29"/>
      <c r="L324" s="23"/>
      <c r="M324" s="38"/>
    </row>
    <row r="325" s="1" customFormat="1" ht="78.75" outlineLevel="1" spans="1:13">
      <c r="A325" s="24">
        <v>1</v>
      </c>
      <c r="B325" s="25" t="s">
        <v>40</v>
      </c>
      <c r="C325" s="25" t="s">
        <v>41</v>
      </c>
      <c r="D325" s="26" t="s">
        <v>42</v>
      </c>
      <c r="E325" s="27">
        <v>240.84</v>
      </c>
      <c r="F325" s="28">
        <v>29.46</v>
      </c>
      <c r="G325" s="29">
        <f>46.5+10</f>
        <v>56.5</v>
      </c>
      <c r="H325" s="29">
        <v>1.31</v>
      </c>
      <c r="I325" s="29">
        <f t="shared" si="29"/>
        <v>8.727</v>
      </c>
      <c r="J325" s="29">
        <f t="shared" si="30"/>
        <v>8.63973</v>
      </c>
      <c r="K325" s="29">
        <f t="shared" si="26"/>
        <v>104.63673</v>
      </c>
      <c r="L325" s="23">
        <f t="shared" si="27"/>
        <v>25200.7100532</v>
      </c>
      <c r="M325" s="39" t="s">
        <v>43</v>
      </c>
    </row>
    <row r="326" s="1" customFormat="1" ht="78.75" outlineLevel="1" spans="1:13">
      <c r="A326" s="24">
        <v>2</v>
      </c>
      <c r="B326" s="25" t="s">
        <v>40</v>
      </c>
      <c r="C326" s="25" t="s">
        <v>44</v>
      </c>
      <c r="D326" s="26" t="s">
        <v>42</v>
      </c>
      <c r="E326" s="27">
        <v>23.05</v>
      </c>
      <c r="F326" s="28">
        <v>24.65</v>
      </c>
      <c r="G326" s="29">
        <f>30.67+10</f>
        <v>40.67</v>
      </c>
      <c r="H326" s="29">
        <v>1.31</v>
      </c>
      <c r="I326" s="29">
        <f t="shared" si="29"/>
        <v>6.663</v>
      </c>
      <c r="J326" s="29">
        <f t="shared" si="30"/>
        <v>6.59637</v>
      </c>
      <c r="K326" s="29">
        <f t="shared" ref="K326:K389" si="31">F326+G326+H326+I326+J326</f>
        <v>79.88937</v>
      </c>
      <c r="L326" s="23">
        <f t="shared" ref="L326:L389" si="32">K326*E326</f>
        <v>1841.4499785</v>
      </c>
      <c r="M326" s="39" t="s">
        <v>43</v>
      </c>
    </row>
    <row r="327" s="1" customFormat="1" ht="56.25" outlineLevel="1" spans="1:13">
      <c r="A327" s="24">
        <v>3</v>
      </c>
      <c r="B327" s="25" t="s">
        <v>45</v>
      </c>
      <c r="C327" s="25" t="s">
        <v>210</v>
      </c>
      <c r="D327" s="26" t="s">
        <v>47</v>
      </c>
      <c r="E327" s="27">
        <v>139.74</v>
      </c>
      <c r="F327" s="28">
        <v>12.5</v>
      </c>
      <c r="G327" s="29">
        <v>3.92</v>
      </c>
      <c r="H327" s="29">
        <v>4.5</v>
      </c>
      <c r="I327" s="29">
        <f t="shared" si="29"/>
        <v>2.092</v>
      </c>
      <c r="J327" s="29">
        <f t="shared" si="30"/>
        <v>2.07108</v>
      </c>
      <c r="K327" s="29">
        <f t="shared" si="31"/>
        <v>25.08308</v>
      </c>
      <c r="L327" s="23">
        <f t="shared" si="32"/>
        <v>3505.1095992</v>
      </c>
      <c r="M327" s="39" t="s">
        <v>48</v>
      </c>
    </row>
    <row r="328" s="1" customFormat="1" ht="78.75" outlineLevel="1" spans="1:13">
      <c r="A328" s="24">
        <v>4</v>
      </c>
      <c r="B328" s="25" t="s">
        <v>49</v>
      </c>
      <c r="C328" s="25" t="s">
        <v>214</v>
      </c>
      <c r="D328" s="26" t="s">
        <v>51</v>
      </c>
      <c r="E328" s="27">
        <v>36</v>
      </c>
      <c r="F328" s="24">
        <v>75.07</v>
      </c>
      <c r="G328" s="29">
        <v>510</v>
      </c>
      <c r="H328" s="29">
        <v>3.63</v>
      </c>
      <c r="I328" s="29">
        <f t="shared" si="29"/>
        <v>58.87</v>
      </c>
      <c r="J328" s="29">
        <f t="shared" si="30"/>
        <v>58.2813</v>
      </c>
      <c r="K328" s="29">
        <f t="shared" si="31"/>
        <v>705.8513</v>
      </c>
      <c r="L328" s="23">
        <f t="shared" si="32"/>
        <v>25410.6468</v>
      </c>
      <c r="M328" s="39" t="s">
        <v>52</v>
      </c>
    </row>
    <row r="329" s="1" customFormat="1" ht="67.5" outlineLevel="1" spans="1:13">
      <c r="A329" s="24">
        <v>5</v>
      </c>
      <c r="B329" s="25" t="s">
        <v>49</v>
      </c>
      <c r="C329" s="25" t="s">
        <v>216</v>
      </c>
      <c r="D329" s="26" t="s">
        <v>51</v>
      </c>
      <c r="E329" s="27">
        <v>1</v>
      </c>
      <c r="F329" s="24">
        <v>75.07</v>
      </c>
      <c r="G329" s="29">
        <v>375</v>
      </c>
      <c r="H329" s="29">
        <v>3.63</v>
      </c>
      <c r="I329" s="29">
        <f t="shared" si="29"/>
        <v>45.37</v>
      </c>
      <c r="J329" s="29">
        <f t="shared" si="30"/>
        <v>44.9163</v>
      </c>
      <c r="K329" s="29">
        <f t="shared" si="31"/>
        <v>543.9863</v>
      </c>
      <c r="L329" s="23">
        <f t="shared" si="32"/>
        <v>543.9863</v>
      </c>
      <c r="M329" s="39" t="s">
        <v>52</v>
      </c>
    </row>
    <row r="330" s="1" customFormat="1" ht="45" outlineLevel="1" spans="1:13">
      <c r="A330" s="24">
        <v>6</v>
      </c>
      <c r="B330" s="25" t="s">
        <v>54</v>
      </c>
      <c r="C330" s="25" t="s">
        <v>217</v>
      </c>
      <c r="D330" s="26" t="s">
        <v>56</v>
      </c>
      <c r="E330" s="27">
        <v>68</v>
      </c>
      <c r="F330" s="24">
        <v>1.96</v>
      </c>
      <c r="G330" s="29">
        <v>21</v>
      </c>
      <c r="H330" s="29">
        <v>0.5</v>
      </c>
      <c r="I330" s="29">
        <f t="shared" si="29"/>
        <v>2.346</v>
      </c>
      <c r="J330" s="29">
        <f t="shared" si="30"/>
        <v>2.32254</v>
      </c>
      <c r="K330" s="29">
        <f t="shared" si="31"/>
        <v>28.12854</v>
      </c>
      <c r="L330" s="23">
        <f t="shared" si="32"/>
        <v>1912.74072</v>
      </c>
      <c r="M330" s="39" t="s">
        <v>57</v>
      </c>
    </row>
    <row r="331" s="1" customFormat="1" ht="45" outlineLevel="1" spans="1:13">
      <c r="A331" s="24">
        <v>7</v>
      </c>
      <c r="B331" s="25" t="s">
        <v>54</v>
      </c>
      <c r="C331" s="25" t="s">
        <v>218</v>
      </c>
      <c r="D331" s="26" t="s">
        <v>56</v>
      </c>
      <c r="E331" s="27">
        <v>12</v>
      </c>
      <c r="F331" s="24">
        <v>1.96</v>
      </c>
      <c r="G331" s="29">
        <v>35</v>
      </c>
      <c r="H331" s="29">
        <v>0.5</v>
      </c>
      <c r="I331" s="29">
        <f t="shared" si="29"/>
        <v>3.746</v>
      </c>
      <c r="J331" s="29">
        <f t="shared" si="30"/>
        <v>3.70854</v>
      </c>
      <c r="K331" s="29">
        <f t="shared" si="31"/>
        <v>44.91454</v>
      </c>
      <c r="L331" s="23">
        <f t="shared" si="32"/>
        <v>538.97448</v>
      </c>
      <c r="M331" s="39" t="s">
        <v>57</v>
      </c>
    </row>
    <row r="332" s="1" customFormat="1" ht="33.75" outlineLevel="1" spans="1:13">
      <c r="A332" s="24">
        <v>8</v>
      </c>
      <c r="B332" s="25" t="s">
        <v>219</v>
      </c>
      <c r="C332" s="25" t="s">
        <v>220</v>
      </c>
      <c r="D332" s="26" t="s">
        <v>60</v>
      </c>
      <c r="E332" s="27">
        <v>4</v>
      </c>
      <c r="F332" s="24">
        <v>1.96</v>
      </c>
      <c r="G332" s="29">
        <v>38</v>
      </c>
      <c r="H332" s="29">
        <v>0.5</v>
      </c>
      <c r="I332" s="29">
        <f t="shared" si="29"/>
        <v>4.046</v>
      </c>
      <c r="J332" s="29">
        <f t="shared" si="30"/>
        <v>4.00554</v>
      </c>
      <c r="K332" s="29">
        <f t="shared" si="31"/>
        <v>48.51154</v>
      </c>
      <c r="L332" s="23">
        <f t="shared" si="32"/>
        <v>194.04616</v>
      </c>
      <c r="M332" s="39" t="s">
        <v>57</v>
      </c>
    </row>
    <row r="333" s="1" customFormat="1" ht="33.75" outlineLevel="1" spans="1:13">
      <c r="A333" s="24">
        <v>9</v>
      </c>
      <c r="B333" s="25" t="s">
        <v>58</v>
      </c>
      <c r="C333" s="25" t="s">
        <v>59</v>
      </c>
      <c r="D333" s="26" t="s">
        <v>60</v>
      </c>
      <c r="E333" s="27">
        <v>6</v>
      </c>
      <c r="F333" s="24">
        <v>79.59</v>
      </c>
      <c r="G333" s="24">
        <v>60</v>
      </c>
      <c r="H333" s="29">
        <v>18.2</v>
      </c>
      <c r="I333" s="29">
        <f t="shared" si="29"/>
        <v>15.779</v>
      </c>
      <c r="J333" s="29">
        <f t="shared" si="30"/>
        <v>15.62121</v>
      </c>
      <c r="K333" s="29">
        <f t="shared" si="31"/>
        <v>189.19021</v>
      </c>
      <c r="L333" s="29">
        <f t="shared" si="32"/>
        <v>1135.14126</v>
      </c>
      <c r="M333" s="39" t="s">
        <v>61</v>
      </c>
    </row>
    <row r="334" s="1" customFormat="1" ht="33.75" outlineLevel="1" spans="1:13">
      <c r="A334" s="24">
        <v>10</v>
      </c>
      <c r="B334" s="25" t="s">
        <v>58</v>
      </c>
      <c r="C334" s="25" t="s">
        <v>254</v>
      </c>
      <c r="D334" s="26" t="s">
        <v>60</v>
      </c>
      <c r="E334" s="27">
        <v>1</v>
      </c>
      <c r="F334" s="28">
        <v>24.65</v>
      </c>
      <c r="G334" s="24">
        <v>45</v>
      </c>
      <c r="H334" s="29">
        <v>21.86</v>
      </c>
      <c r="I334" s="29">
        <f t="shared" si="29"/>
        <v>9.151</v>
      </c>
      <c r="J334" s="29">
        <f t="shared" si="30"/>
        <v>9.05949</v>
      </c>
      <c r="K334" s="29">
        <f t="shared" si="31"/>
        <v>109.72049</v>
      </c>
      <c r="L334" s="29">
        <f t="shared" si="32"/>
        <v>109.72049</v>
      </c>
      <c r="M334" s="39" t="s">
        <v>61</v>
      </c>
    </row>
    <row r="335" s="1" customFormat="1" ht="33.75" outlineLevel="1" spans="1:13">
      <c r="A335" s="24">
        <v>11</v>
      </c>
      <c r="B335" s="25" t="s">
        <v>62</v>
      </c>
      <c r="C335" s="25" t="s">
        <v>63</v>
      </c>
      <c r="D335" s="26" t="s">
        <v>64</v>
      </c>
      <c r="E335" s="27">
        <f>E333</f>
        <v>6</v>
      </c>
      <c r="F335" s="24">
        <v>65.22</v>
      </c>
      <c r="G335" s="24">
        <v>15</v>
      </c>
      <c r="H335" s="29">
        <v>36.25</v>
      </c>
      <c r="I335" s="29">
        <f t="shared" si="29"/>
        <v>11.647</v>
      </c>
      <c r="J335" s="29">
        <f t="shared" si="30"/>
        <v>11.53053</v>
      </c>
      <c r="K335" s="29">
        <f t="shared" si="31"/>
        <v>139.64753</v>
      </c>
      <c r="L335" s="23">
        <f t="shared" si="32"/>
        <v>837.88518</v>
      </c>
      <c r="M335" s="39" t="s">
        <v>61</v>
      </c>
    </row>
    <row r="336" s="1" customFormat="1" ht="33.75" outlineLevel="1" spans="1:13">
      <c r="A336" s="24">
        <v>12</v>
      </c>
      <c r="B336" s="25" t="s">
        <v>62</v>
      </c>
      <c r="C336" s="25" t="s">
        <v>255</v>
      </c>
      <c r="D336" s="26" t="s">
        <v>64</v>
      </c>
      <c r="E336" s="27">
        <v>1</v>
      </c>
      <c r="F336" s="24">
        <v>32.63</v>
      </c>
      <c r="G336" s="24">
        <v>12</v>
      </c>
      <c r="H336" s="29">
        <v>13.65</v>
      </c>
      <c r="I336" s="29">
        <f t="shared" si="29"/>
        <v>5.828</v>
      </c>
      <c r="J336" s="29">
        <f t="shared" si="30"/>
        <v>5.76972</v>
      </c>
      <c r="K336" s="29">
        <f t="shared" si="31"/>
        <v>69.87772</v>
      </c>
      <c r="L336" s="23">
        <f t="shared" si="32"/>
        <v>69.87772</v>
      </c>
      <c r="M336" s="39" t="s">
        <v>61</v>
      </c>
    </row>
    <row r="337" s="1" customFormat="1" ht="45" outlineLevel="1" spans="1:13">
      <c r="A337" s="24">
        <v>13</v>
      </c>
      <c r="B337" s="25" t="s">
        <v>65</v>
      </c>
      <c r="C337" s="25" t="s">
        <v>66</v>
      </c>
      <c r="D337" s="26" t="s">
        <v>60</v>
      </c>
      <c r="E337" s="27">
        <v>2</v>
      </c>
      <c r="F337" s="24">
        <v>19.59</v>
      </c>
      <c r="G337" s="24">
        <v>15</v>
      </c>
      <c r="H337" s="29">
        <v>5.54</v>
      </c>
      <c r="I337" s="29">
        <f t="shared" si="29"/>
        <v>4.013</v>
      </c>
      <c r="J337" s="29">
        <f t="shared" si="30"/>
        <v>3.97287</v>
      </c>
      <c r="K337" s="29">
        <f t="shared" si="31"/>
        <v>48.11587</v>
      </c>
      <c r="L337" s="23">
        <f t="shared" si="32"/>
        <v>96.23174</v>
      </c>
      <c r="M337" s="39" t="s">
        <v>61</v>
      </c>
    </row>
    <row r="338" s="1" customFormat="1" ht="45" outlineLevel="1" spans="1:13">
      <c r="A338" s="24">
        <v>14</v>
      </c>
      <c r="B338" s="25" t="s">
        <v>67</v>
      </c>
      <c r="C338" s="25" t="s">
        <v>68</v>
      </c>
      <c r="D338" s="26" t="s">
        <v>60</v>
      </c>
      <c r="E338" s="27">
        <v>2</v>
      </c>
      <c r="F338" s="28">
        <v>14.37</v>
      </c>
      <c r="G338" s="28">
        <v>25</v>
      </c>
      <c r="H338" s="29">
        <v>6.4</v>
      </c>
      <c r="I338" s="29">
        <f t="shared" si="29"/>
        <v>4.577</v>
      </c>
      <c r="J338" s="29">
        <f t="shared" si="30"/>
        <v>4.53123</v>
      </c>
      <c r="K338" s="29">
        <f t="shared" si="31"/>
        <v>54.87823</v>
      </c>
      <c r="L338" s="23">
        <f t="shared" si="32"/>
        <v>109.75646</v>
      </c>
      <c r="M338" s="39" t="s">
        <v>61</v>
      </c>
    </row>
    <row r="339" s="1" customFormat="1" ht="45" outlineLevel="1" spans="1:13">
      <c r="A339" s="24">
        <v>15</v>
      </c>
      <c r="B339" s="25" t="s">
        <v>69</v>
      </c>
      <c r="C339" s="25" t="s">
        <v>70</v>
      </c>
      <c r="D339" s="26" t="s">
        <v>71</v>
      </c>
      <c r="E339" s="27">
        <v>1</v>
      </c>
      <c r="F339" s="28">
        <v>285</v>
      </c>
      <c r="G339" s="29">
        <v>125</v>
      </c>
      <c r="H339" s="29">
        <v>68.5</v>
      </c>
      <c r="I339" s="29">
        <f t="shared" si="29"/>
        <v>47.85</v>
      </c>
      <c r="J339" s="29">
        <f t="shared" si="30"/>
        <v>47.3715</v>
      </c>
      <c r="K339" s="29">
        <f t="shared" si="31"/>
        <v>573.7215</v>
      </c>
      <c r="L339" s="23">
        <f t="shared" si="32"/>
        <v>573.7215</v>
      </c>
      <c r="M339" s="39"/>
    </row>
    <row r="340" s="1" customFormat="1" outlineLevel="1" spans="1:13">
      <c r="A340" s="24">
        <v>16</v>
      </c>
      <c r="B340" s="25" t="s">
        <v>72</v>
      </c>
      <c r="C340" s="25" t="s">
        <v>73</v>
      </c>
      <c r="D340" s="26" t="s">
        <v>71</v>
      </c>
      <c r="E340" s="27">
        <v>1</v>
      </c>
      <c r="F340" s="24">
        <v>366.15</v>
      </c>
      <c r="G340" s="29">
        <v>0</v>
      </c>
      <c r="H340" s="29">
        <v>185</v>
      </c>
      <c r="I340" s="29">
        <f t="shared" si="29"/>
        <v>55.115</v>
      </c>
      <c r="J340" s="29">
        <f t="shared" si="30"/>
        <v>54.56385</v>
      </c>
      <c r="K340" s="29">
        <f t="shared" si="31"/>
        <v>660.82885</v>
      </c>
      <c r="L340" s="23">
        <f t="shared" si="32"/>
        <v>660.82885</v>
      </c>
      <c r="M340" s="39"/>
    </row>
    <row r="341" s="1" customFormat="1" outlineLevel="1" spans="1:13">
      <c r="A341" s="20" t="s">
        <v>74</v>
      </c>
      <c r="B341" s="21" t="s">
        <v>319</v>
      </c>
      <c r="C341" s="21"/>
      <c r="D341" s="22"/>
      <c r="E341" s="22"/>
      <c r="F341" s="20"/>
      <c r="G341" s="23"/>
      <c r="H341" s="29"/>
      <c r="I341" s="29">
        <f t="shared" si="29"/>
        <v>0</v>
      </c>
      <c r="J341" s="29">
        <f t="shared" si="30"/>
        <v>0</v>
      </c>
      <c r="K341" s="29">
        <f t="shared" si="31"/>
        <v>0</v>
      </c>
      <c r="L341" s="23">
        <f t="shared" si="32"/>
        <v>0</v>
      </c>
      <c r="M341" s="38"/>
    </row>
    <row r="342" s="1" customFormat="1" ht="101.25" outlineLevel="1" spans="1:13">
      <c r="A342" s="24">
        <v>1</v>
      </c>
      <c r="B342" s="25" t="s">
        <v>320</v>
      </c>
      <c r="C342" s="25" t="s">
        <v>321</v>
      </c>
      <c r="D342" s="26" t="s">
        <v>103</v>
      </c>
      <c r="E342" s="26">
        <v>2</v>
      </c>
      <c r="F342" s="24">
        <v>928.1</v>
      </c>
      <c r="G342" s="24">
        <v>4853</v>
      </c>
      <c r="H342" s="29">
        <v>193.9</v>
      </c>
      <c r="I342" s="29">
        <f t="shared" si="29"/>
        <v>597.5</v>
      </c>
      <c r="J342" s="29">
        <f t="shared" si="30"/>
        <v>591.525</v>
      </c>
      <c r="K342" s="29">
        <f t="shared" si="31"/>
        <v>7164.025</v>
      </c>
      <c r="L342" s="23">
        <f t="shared" si="32"/>
        <v>14328.05</v>
      </c>
      <c r="M342" s="39" t="s">
        <v>104</v>
      </c>
    </row>
    <row r="343" s="1" customFormat="1" ht="101.25" outlineLevel="1" spans="1:13">
      <c r="A343" s="24">
        <v>2</v>
      </c>
      <c r="B343" s="25" t="s">
        <v>320</v>
      </c>
      <c r="C343" s="25" t="s">
        <v>322</v>
      </c>
      <c r="D343" s="26" t="s">
        <v>103</v>
      </c>
      <c r="E343" s="26">
        <v>2</v>
      </c>
      <c r="F343" s="24">
        <v>928.1</v>
      </c>
      <c r="G343" s="24">
        <v>5217</v>
      </c>
      <c r="H343" s="29">
        <v>193.9</v>
      </c>
      <c r="I343" s="29">
        <f t="shared" si="29"/>
        <v>633.9</v>
      </c>
      <c r="J343" s="29">
        <f t="shared" si="30"/>
        <v>627.561</v>
      </c>
      <c r="K343" s="29">
        <f t="shared" si="31"/>
        <v>7600.461</v>
      </c>
      <c r="L343" s="23">
        <f t="shared" si="32"/>
        <v>15200.922</v>
      </c>
      <c r="M343" s="39" t="s">
        <v>104</v>
      </c>
    </row>
    <row r="344" s="1" customFormat="1" ht="90" outlineLevel="1" spans="1:13">
      <c r="A344" s="24">
        <v>3</v>
      </c>
      <c r="B344" s="25" t="s">
        <v>323</v>
      </c>
      <c r="C344" s="25" t="s">
        <v>324</v>
      </c>
      <c r="D344" s="26" t="s">
        <v>103</v>
      </c>
      <c r="E344" s="26">
        <v>3</v>
      </c>
      <c r="F344" s="20">
        <v>14.75</v>
      </c>
      <c r="G344" s="20">
        <v>110</v>
      </c>
      <c r="H344" s="29">
        <v>1.2</v>
      </c>
      <c r="I344" s="29">
        <f t="shared" si="29"/>
        <v>12.595</v>
      </c>
      <c r="J344" s="29">
        <f t="shared" si="30"/>
        <v>12.46905</v>
      </c>
      <c r="K344" s="29">
        <f t="shared" si="31"/>
        <v>151.01405</v>
      </c>
      <c r="L344" s="23">
        <f t="shared" si="32"/>
        <v>453.04215</v>
      </c>
      <c r="M344" s="39" t="s">
        <v>325</v>
      </c>
    </row>
    <row r="345" s="1" customFormat="1" ht="90" outlineLevel="1" spans="1:13">
      <c r="A345" s="24">
        <v>4</v>
      </c>
      <c r="B345" s="25" t="s">
        <v>326</v>
      </c>
      <c r="C345" s="25" t="s">
        <v>327</v>
      </c>
      <c r="D345" s="26" t="s">
        <v>103</v>
      </c>
      <c r="E345" s="26">
        <v>4</v>
      </c>
      <c r="F345" s="24">
        <v>14.75</v>
      </c>
      <c r="G345" s="24">
        <v>409</v>
      </c>
      <c r="H345" s="29">
        <v>1.2</v>
      </c>
      <c r="I345" s="29">
        <f t="shared" si="29"/>
        <v>42.495</v>
      </c>
      <c r="J345" s="29">
        <f t="shared" si="30"/>
        <v>42.07005</v>
      </c>
      <c r="K345" s="29">
        <f t="shared" si="31"/>
        <v>509.51505</v>
      </c>
      <c r="L345" s="23">
        <f t="shared" si="32"/>
        <v>2038.0602</v>
      </c>
      <c r="M345" s="39" t="s">
        <v>104</v>
      </c>
    </row>
    <row r="346" s="1" customFormat="1" ht="45" outlineLevel="1" spans="1:13">
      <c r="A346" s="24">
        <v>5</v>
      </c>
      <c r="B346" s="30" t="s">
        <v>114</v>
      </c>
      <c r="C346" s="30" t="s">
        <v>115</v>
      </c>
      <c r="D346" s="31" t="s">
        <v>116</v>
      </c>
      <c r="E346" s="26">
        <v>4.27</v>
      </c>
      <c r="F346" s="24">
        <v>53.22</v>
      </c>
      <c r="G346" s="24">
        <v>132</v>
      </c>
      <c r="H346" s="29">
        <v>24.2</v>
      </c>
      <c r="I346" s="29">
        <f t="shared" si="29"/>
        <v>20.942</v>
      </c>
      <c r="J346" s="29">
        <f t="shared" si="30"/>
        <v>20.73258</v>
      </c>
      <c r="K346" s="29">
        <f t="shared" si="31"/>
        <v>251.09458</v>
      </c>
      <c r="L346" s="23">
        <f t="shared" si="32"/>
        <v>1072.1738566</v>
      </c>
      <c r="M346" s="39"/>
    </row>
    <row r="347" s="1" customFormat="1" ht="112.5" outlineLevel="1" spans="1:13">
      <c r="A347" s="24">
        <v>6</v>
      </c>
      <c r="B347" s="30" t="s">
        <v>117</v>
      </c>
      <c r="C347" s="30" t="s">
        <v>260</v>
      </c>
      <c r="D347" s="31" t="s">
        <v>116</v>
      </c>
      <c r="E347" s="26">
        <v>9.98</v>
      </c>
      <c r="F347" s="24">
        <v>69.69</v>
      </c>
      <c r="G347" s="24">
        <v>42.15</v>
      </c>
      <c r="H347" s="29">
        <v>16.68</v>
      </c>
      <c r="I347" s="29">
        <f t="shared" si="29"/>
        <v>12.852</v>
      </c>
      <c r="J347" s="29">
        <f t="shared" si="30"/>
        <v>12.72348</v>
      </c>
      <c r="K347" s="29">
        <f t="shared" si="31"/>
        <v>154.09548</v>
      </c>
      <c r="L347" s="23">
        <f t="shared" si="32"/>
        <v>1537.8728904</v>
      </c>
      <c r="M347" s="39" t="s">
        <v>119</v>
      </c>
    </row>
    <row r="348" s="1" customFormat="1" ht="112.5" outlineLevel="1" spans="1:13">
      <c r="A348" s="24">
        <v>7</v>
      </c>
      <c r="B348" s="30" t="s">
        <v>117</v>
      </c>
      <c r="C348" s="30" t="s">
        <v>120</v>
      </c>
      <c r="D348" s="31" t="s">
        <v>116</v>
      </c>
      <c r="E348" s="26">
        <v>93.42</v>
      </c>
      <c r="F348" s="24">
        <v>44.05</v>
      </c>
      <c r="G348" s="24">
        <v>42.15</v>
      </c>
      <c r="H348" s="29">
        <v>17.18</v>
      </c>
      <c r="I348" s="29">
        <f t="shared" si="29"/>
        <v>10.338</v>
      </c>
      <c r="J348" s="29">
        <f t="shared" si="30"/>
        <v>10.23462</v>
      </c>
      <c r="K348" s="29">
        <f t="shared" si="31"/>
        <v>123.95262</v>
      </c>
      <c r="L348" s="23">
        <f t="shared" si="32"/>
        <v>11579.6537604</v>
      </c>
      <c r="M348" s="39" t="s">
        <v>119</v>
      </c>
    </row>
    <row r="349" s="1" customFormat="1" ht="112.5" outlineLevel="1" spans="1:13">
      <c r="A349" s="24">
        <v>8</v>
      </c>
      <c r="B349" s="30" t="s">
        <v>117</v>
      </c>
      <c r="C349" s="30" t="s">
        <v>262</v>
      </c>
      <c r="D349" s="31" t="s">
        <v>116</v>
      </c>
      <c r="E349" s="26">
        <v>313.2</v>
      </c>
      <c r="F349" s="24">
        <v>44.05</v>
      </c>
      <c r="G349" s="24">
        <v>42.15</v>
      </c>
      <c r="H349" s="29">
        <v>17.18</v>
      </c>
      <c r="I349" s="29">
        <f t="shared" si="29"/>
        <v>10.338</v>
      </c>
      <c r="J349" s="29">
        <f t="shared" si="30"/>
        <v>10.23462</v>
      </c>
      <c r="K349" s="29">
        <f t="shared" si="31"/>
        <v>123.95262</v>
      </c>
      <c r="L349" s="23">
        <f t="shared" si="32"/>
        <v>38821.960584</v>
      </c>
      <c r="M349" s="39" t="s">
        <v>119</v>
      </c>
    </row>
    <row r="350" s="1" customFormat="1" ht="112.5" outlineLevel="1" spans="1:13">
      <c r="A350" s="24">
        <v>9</v>
      </c>
      <c r="B350" s="30" t="s">
        <v>117</v>
      </c>
      <c r="C350" s="30" t="s">
        <v>328</v>
      </c>
      <c r="D350" s="31" t="s">
        <v>116</v>
      </c>
      <c r="E350" s="26">
        <v>359.4</v>
      </c>
      <c r="F350" s="24">
        <v>45.63</v>
      </c>
      <c r="G350" s="24">
        <v>44</v>
      </c>
      <c r="H350" s="29">
        <v>18.9</v>
      </c>
      <c r="I350" s="29">
        <f t="shared" si="29"/>
        <v>10.853</v>
      </c>
      <c r="J350" s="29">
        <f t="shared" si="30"/>
        <v>10.74447</v>
      </c>
      <c r="K350" s="29">
        <f t="shared" si="31"/>
        <v>130.12747</v>
      </c>
      <c r="L350" s="23">
        <f t="shared" si="32"/>
        <v>46767.812718</v>
      </c>
      <c r="M350" s="39" t="s">
        <v>119</v>
      </c>
    </row>
    <row r="351" s="1" customFormat="1" ht="45" outlineLevel="1" spans="1:13">
      <c r="A351" s="24">
        <v>10</v>
      </c>
      <c r="B351" s="25" t="s">
        <v>329</v>
      </c>
      <c r="C351" s="25" t="s">
        <v>330</v>
      </c>
      <c r="D351" s="26" t="s">
        <v>60</v>
      </c>
      <c r="E351" s="26">
        <v>2</v>
      </c>
      <c r="F351" s="20">
        <v>327.64</v>
      </c>
      <c r="G351" s="20">
        <v>408</v>
      </c>
      <c r="H351" s="29">
        <v>165.2</v>
      </c>
      <c r="I351" s="29">
        <f t="shared" si="29"/>
        <v>90.084</v>
      </c>
      <c r="J351" s="29">
        <f t="shared" si="30"/>
        <v>89.18316</v>
      </c>
      <c r="K351" s="29">
        <f t="shared" si="31"/>
        <v>1080.10716</v>
      </c>
      <c r="L351" s="23">
        <f t="shared" si="32"/>
        <v>2160.21432</v>
      </c>
      <c r="M351" s="38"/>
    </row>
    <row r="352" s="1" customFormat="1" ht="45" outlineLevel="1" spans="1:13">
      <c r="A352" s="24">
        <v>11</v>
      </c>
      <c r="B352" s="25" t="s">
        <v>329</v>
      </c>
      <c r="C352" s="25" t="s">
        <v>331</v>
      </c>
      <c r="D352" s="26" t="s">
        <v>60</v>
      </c>
      <c r="E352" s="26">
        <v>2</v>
      </c>
      <c r="F352" s="20">
        <v>327.64</v>
      </c>
      <c r="G352" s="20">
        <v>453</v>
      </c>
      <c r="H352" s="29">
        <v>165.2</v>
      </c>
      <c r="I352" s="29">
        <f t="shared" si="29"/>
        <v>94.584</v>
      </c>
      <c r="J352" s="29">
        <f t="shared" si="30"/>
        <v>93.63816</v>
      </c>
      <c r="K352" s="29">
        <f t="shared" si="31"/>
        <v>1134.06216</v>
      </c>
      <c r="L352" s="23">
        <f t="shared" si="32"/>
        <v>2268.12432</v>
      </c>
      <c r="M352" s="38"/>
    </row>
    <row r="353" s="1" customFormat="1" ht="45" outlineLevel="1" spans="1:13">
      <c r="A353" s="24">
        <v>12</v>
      </c>
      <c r="B353" s="25" t="s">
        <v>123</v>
      </c>
      <c r="C353" s="25" t="s">
        <v>332</v>
      </c>
      <c r="D353" s="26" t="s">
        <v>60</v>
      </c>
      <c r="E353" s="26">
        <v>2</v>
      </c>
      <c r="F353" s="24">
        <v>51.2</v>
      </c>
      <c r="G353" s="24">
        <v>400</v>
      </c>
      <c r="H353" s="29">
        <v>7.42</v>
      </c>
      <c r="I353" s="29">
        <f t="shared" si="29"/>
        <v>45.862</v>
      </c>
      <c r="J353" s="29">
        <f t="shared" si="30"/>
        <v>45.40338</v>
      </c>
      <c r="K353" s="29">
        <f t="shared" si="31"/>
        <v>549.88538</v>
      </c>
      <c r="L353" s="23">
        <f t="shared" si="32"/>
        <v>1099.77076</v>
      </c>
      <c r="M353" s="39" t="s">
        <v>104</v>
      </c>
    </row>
    <row r="354" s="1" customFormat="1" ht="45" outlineLevel="1" spans="1:13">
      <c r="A354" s="24">
        <v>13</v>
      </c>
      <c r="B354" s="25" t="s">
        <v>123</v>
      </c>
      <c r="C354" s="25" t="s">
        <v>333</v>
      </c>
      <c r="D354" s="26" t="s">
        <v>60</v>
      </c>
      <c r="E354" s="26">
        <v>34</v>
      </c>
      <c r="F354" s="24">
        <v>51.2</v>
      </c>
      <c r="G354" s="24">
        <v>330</v>
      </c>
      <c r="H354" s="29">
        <v>7.42</v>
      </c>
      <c r="I354" s="29">
        <f t="shared" si="29"/>
        <v>38.862</v>
      </c>
      <c r="J354" s="29">
        <f t="shared" si="30"/>
        <v>38.47338</v>
      </c>
      <c r="K354" s="29">
        <f t="shared" si="31"/>
        <v>465.95538</v>
      </c>
      <c r="L354" s="23">
        <f t="shared" si="32"/>
        <v>15842.48292</v>
      </c>
      <c r="M354" s="39" t="s">
        <v>104</v>
      </c>
    </row>
    <row r="355" s="1" customFormat="1" ht="56.25" outlineLevel="1" spans="1:13">
      <c r="A355" s="24">
        <v>14</v>
      </c>
      <c r="B355" s="25" t="s">
        <v>123</v>
      </c>
      <c r="C355" s="25" t="s">
        <v>334</v>
      </c>
      <c r="D355" s="26" t="s">
        <v>60</v>
      </c>
      <c r="E355" s="26">
        <v>16</v>
      </c>
      <c r="F355" s="24">
        <v>51.2</v>
      </c>
      <c r="G355" s="24">
        <v>126</v>
      </c>
      <c r="H355" s="29">
        <v>7.42</v>
      </c>
      <c r="I355" s="29">
        <f t="shared" si="29"/>
        <v>18.462</v>
      </c>
      <c r="J355" s="29">
        <f t="shared" si="30"/>
        <v>18.27738</v>
      </c>
      <c r="K355" s="29">
        <f t="shared" si="31"/>
        <v>221.35938</v>
      </c>
      <c r="L355" s="23">
        <f t="shared" si="32"/>
        <v>3541.75008</v>
      </c>
      <c r="M355" s="39" t="s">
        <v>104</v>
      </c>
    </row>
    <row r="356" s="1" customFormat="1" ht="45" outlineLevel="1" spans="1:13">
      <c r="A356" s="24">
        <v>15</v>
      </c>
      <c r="B356" s="25" t="s">
        <v>123</v>
      </c>
      <c r="C356" s="25" t="s">
        <v>335</v>
      </c>
      <c r="D356" s="26" t="s">
        <v>60</v>
      </c>
      <c r="E356" s="26">
        <v>4</v>
      </c>
      <c r="F356" s="24">
        <v>51.2</v>
      </c>
      <c r="G356" s="24">
        <v>103</v>
      </c>
      <c r="H356" s="29">
        <v>7.42</v>
      </c>
      <c r="I356" s="29">
        <f t="shared" si="29"/>
        <v>16.162</v>
      </c>
      <c r="J356" s="29">
        <f t="shared" si="30"/>
        <v>16.00038</v>
      </c>
      <c r="K356" s="29">
        <f t="shared" si="31"/>
        <v>193.78238</v>
      </c>
      <c r="L356" s="23">
        <f t="shared" si="32"/>
        <v>775.12952</v>
      </c>
      <c r="M356" s="39" t="s">
        <v>104</v>
      </c>
    </row>
    <row r="357" s="1" customFormat="1" ht="45" outlineLevel="1" spans="1:13">
      <c r="A357" s="24">
        <v>16</v>
      </c>
      <c r="B357" s="25" t="s">
        <v>127</v>
      </c>
      <c r="C357" s="25" t="s">
        <v>269</v>
      </c>
      <c r="D357" s="26" t="s">
        <v>60</v>
      </c>
      <c r="E357" s="26">
        <v>4</v>
      </c>
      <c r="F357" s="24">
        <v>127.67</v>
      </c>
      <c r="G357" s="24">
        <v>227</v>
      </c>
      <c r="H357" s="29">
        <v>19.82</v>
      </c>
      <c r="I357" s="29">
        <f t="shared" ref="I357:I420" si="33">(F357+G357+H357)*$I$4</f>
        <v>37.449</v>
      </c>
      <c r="J357" s="29">
        <f t="shared" ref="J357:J420" si="34">(F357+G357+H357+I357)*$J$4</f>
        <v>37.07451</v>
      </c>
      <c r="K357" s="29">
        <f t="shared" si="31"/>
        <v>449.01351</v>
      </c>
      <c r="L357" s="23">
        <f t="shared" si="32"/>
        <v>1796.05404</v>
      </c>
      <c r="M357" s="39" t="s">
        <v>104</v>
      </c>
    </row>
    <row r="358" s="1" customFormat="1" ht="45" outlineLevel="1" spans="1:13">
      <c r="A358" s="24">
        <v>17</v>
      </c>
      <c r="B358" s="25" t="s">
        <v>127</v>
      </c>
      <c r="C358" s="25" t="s">
        <v>336</v>
      </c>
      <c r="D358" s="26" t="s">
        <v>60</v>
      </c>
      <c r="E358" s="26">
        <v>2</v>
      </c>
      <c r="F358" s="24">
        <v>127.67</v>
      </c>
      <c r="G358" s="24">
        <v>246</v>
      </c>
      <c r="H358" s="29">
        <v>19.82</v>
      </c>
      <c r="I358" s="29">
        <f t="shared" si="33"/>
        <v>39.349</v>
      </c>
      <c r="J358" s="29">
        <f t="shared" si="34"/>
        <v>38.95551</v>
      </c>
      <c r="K358" s="29">
        <f t="shared" si="31"/>
        <v>471.79451</v>
      </c>
      <c r="L358" s="23">
        <f t="shared" si="32"/>
        <v>943.58902</v>
      </c>
      <c r="M358" s="39" t="s">
        <v>104</v>
      </c>
    </row>
    <row r="359" s="1" customFormat="1" ht="45" outlineLevel="1" spans="1:13">
      <c r="A359" s="24">
        <v>18</v>
      </c>
      <c r="B359" s="25" t="s">
        <v>127</v>
      </c>
      <c r="C359" s="25" t="s">
        <v>337</v>
      </c>
      <c r="D359" s="26" t="s">
        <v>60</v>
      </c>
      <c r="E359" s="26">
        <v>2</v>
      </c>
      <c r="F359" s="24">
        <v>127.67</v>
      </c>
      <c r="G359" s="24">
        <v>178</v>
      </c>
      <c r="H359" s="29">
        <v>19.82</v>
      </c>
      <c r="I359" s="29">
        <f t="shared" si="33"/>
        <v>32.549</v>
      </c>
      <c r="J359" s="29">
        <f t="shared" si="34"/>
        <v>32.22351</v>
      </c>
      <c r="K359" s="29">
        <f t="shared" si="31"/>
        <v>390.26251</v>
      </c>
      <c r="L359" s="23">
        <f t="shared" si="32"/>
        <v>780.52502</v>
      </c>
      <c r="M359" s="39" t="s">
        <v>104</v>
      </c>
    </row>
    <row r="360" s="1" customFormat="1" ht="45" outlineLevel="1" spans="1:13">
      <c r="A360" s="24">
        <v>19</v>
      </c>
      <c r="B360" s="25" t="s">
        <v>127</v>
      </c>
      <c r="C360" s="25" t="s">
        <v>338</v>
      </c>
      <c r="D360" s="26" t="s">
        <v>60</v>
      </c>
      <c r="E360" s="26">
        <v>4</v>
      </c>
      <c r="F360" s="24">
        <v>127.67</v>
      </c>
      <c r="G360" s="24">
        <v>171</v>
      </c>
      <c r="H360" s="29">
        <v>19.82</v>
      </c>
      <c r="I360" s="29">
        <f t="shared" si="33"/>
        <v>31.849</v>
      </c>
      <c r="J360" s="29">
        <f t="shared" si="34"/>
        <v>31.53051</v>
      </c>
      <c r="K360" s="29">
        <f t="shared" si="31"/>
        <v>381.86951</v>
      </c>
      <c r="L360" s="23">
        <f t="shared" si="32"/>
        <v>1527.47804</v>
      </c>
      <c r="M360" s="39" t="s">
        <v>104</v>
      </c>
    </row>
    <row r="361" s="1" customFormat="1" ht="45" outlineLevel="1" spans="1:13">
      <c r="A361" s="24">
        <v>20</v>
      </c>
      <c r="B361" s="25" t="s">
        <v>127</v>
      </c>
      <c r="C361" s="25" t="s">
        <v>339</v>
      </c>
      <c r="D361" s="26" t="s">
        <v>60</v>
      </c>
      <c r="E361" s="26">
        <v>2</v>
      </c>
      <c r="F361" s="24">
        <v>127.67</v>
      </c>
      <c r="G361" s="24">
        <v>218</v>
      </c>
      <c r="H361" s="29">
        <v>19.82</v>
      </c>
      <c r="I361" s="29">
        <f t="shared" si="33"/>
        <v>36.549</v>
      </c>
      <c r="J361" s="29">
        <f t="shared" si="34"/>
        <v>36.18351</v>
      </c>
      <c r="K361" s="29">
        <f t="shared" si="31"/>
        <v>438.22251</v>
      </c>
      <c r="L361" s="23">
        <f t="shared" si="32"/>
        <v>876.44502</v>
      </c>
      <c r="M361" s="39" t="s">
        <v>104</v>
      </c>
    </row>
    <row r="362" s="1" customFormat="1" ht="45" outlineLevel="1" spans="1:13">
      <c r="A362" s="24">
        <v>21</v>
      </c>
      <c r="B362" s="25" t="s">
        <v>127</v>
      </c>
      <c r="C362" s="25" t="s">
        <v>340</v>
      </c>
      <c r="D362" s="26" t="s">
        <v>60</v>
      </c>
      <c r="E362" s="26">
        <v>2</v>
      </c>
      <c r="F362" s="24">
        <v>30.63</v>
      </c>
      <c r="G362" s="24">
        <v>139</v>
      </c>
      <c r="H362" s="29">
        <v>9.1</v>
      </c>
      <c r="I362" s="29">
        <f t="shared" si="33"/>
        <v>17.873</v>
      </c>
      <c r="J362" s="29">
        <f t="shared" si="34"/>
        <v>17.69427</v>
      </c>
      <c r="K362" s="29">
        <f t="shared" si="31"/>
        <v>214.29727</v>
      </c>
      <c r="L362" s="23">
        <f t="shared" si="32"/>
        <v>428.59454</v>
      </c>
      <c r="M362" s="39" t="s">
        <v>104</v>
      </c>
    </row>
    <row r="363" s="1" customFormat="1" ht="45" outlineLevel="1" spans="1:13">
      <c r="A363" s="24">
        <v>22</v>
      </c>
      <c r="B363" s="25" t="s">
        <v>127</v>
      </c>
      <c r="C363" s="25" t="s">
        <v>341</v>
      </c>
      <c r="D363" s="26" t="s">
        <v>60</v>
      </c>
      <c r="E363" s="26">
        <v>2</v>
      </c>
      <c r="F363" s="24">
        <v>30.63</v>
      </c>
      <c r="G363" s="24">
        <v>131</v>
      </c>
      <c r="H363" s="29">
        <v>9.1</v>
      </c>
      <c r="I363" s="29">
        <f t="shared" si="33"/>
        <v>17.073</v>
      </c>
      <c r="J363" s="29">
        <f t="shared" si="34"/>
        <v>16.90227</v>
      </c>
      <c r="K363" s="29">
        <f t="shared" si="31"/>
        <v>204.70527</v>
      </c>
      <c r="L363" s="23">
        <f t="shared" si="32"/>
        <v>409.41054</v>
      </c>
      <c r="M363" s="39" t="s">
        <v>104</v>
      </c>
    </row>
    <row r="364" s="1" customFormat="1" ht="33.75" outlineLevel="1" spans="1:13">
      <c r="A364" s="24">
        <v>23</v>
      </c>
      <c r="B364" s="25" t="s">
        <v>342</v>
      </c>
      <c r="C364" s="25" t="s">
        <v>343</v>
      </c>
      <c r="D364" s="26" t="s">
        <v>60</v>
      </c>
      <c r="E364" s="26">
        <v>4</v>
      </c>
      <c r="F364" s="24">
        <v>31.63</v>
      </c>
      <c r="G364" s="20">
        <v>132</v>
      </c>
      <c r="H364" s="29">
        <v>10.1</v>
      </c>
      <c r="I364" s="29">
        <f t="shared" si="33"/>
        <v>17.373</v>
      </c>
      <c r="J364" s="29">
        <f t="shared" si="34"/>
        <v>17.19927</v>
      </c>
      <c r="K364" s="29">
        <f t="shared" si="31"/>
        <v>208.30227</v>
      </c>
      <c r="L364" s="23">
        <f t="shared" si="32"/>
        <v>833.20908</v>
      </c>
      <c r="M364" s="39" t="s">
        <v>159</v>
      </c>
    </row>
    <row r="365" s="1" customFormat="1" ht="33.75" outlineLevel="1" spans="1:13">
      <c r="A365" s="24">
        <v>24</v>
      </c>
      <c r="B365" s="25" t="s">
        <v>344</v>
      </c>
      <c r="C365" s="25" t="s">
        <v>345</v>
      </c>
      <c r="D365" s="26" t="s">
        <v>60</v>
      </c>
      <c r="E365" s="26">
        <v>40</v>
      </c>
      <c r="F365" s="24">
        <v>32.63</v>
      </c>
      <c r="G365" s="24">
        <v>28</v>
      </c>
      <c r="H365" s="29">
        <v>11.1</v>
      </c>
      <c r="I365" s="29">
        <f t="shared" si="33"/>
        <v>7.173</v>
      </c>
      <c r="J365" s="29">
        <f t="shared" si="34"/>
        <v>7.10127</v>
      </c>
      <c r="K365" s="29">
        <f t="shared" si="31"/>
        <v>86.00427</v>
      </c>
      <c r="L365" s="23">
        <f t="shared" si="32"/>
        <v>3440.1708</v>
      </c>
      <c r="M365" s="39" t="s">
        <v>159</v>
      </c>
    </row>
    <row r="366" s="1" customFormat="1" ht="56.25" outlineLevel="1" spans="1:13">
      <c r="A366" s="24">
        <v>25</v>
      </c>
      <c r="B366" s="25" t="s">
        <v>346</v>
      </c>
      <c r="C366" s="25" t="s">
        <v>347</v>
      </c>
      <c r="D366" s="26" t="s">
        <v>71</v>
      </c>
      <c r="E366" s="27">
        <v>1</v>
      </c>
      <c r="F366" s="24">
        <v>5000</v>
      </c>
      <c r="G366" s="29">
        <v>150</v>
      </c>
      <c r="H366" s="29">
        <v>350</v>
      </c>
      <c r="I366" s="29">
        <f t="shared" si="33"/>
        <v>550</v>
      </c>
      <c r="J366" s="29">
        <f t="shared" si="34"/>
        <v>544.5</v>
      </c>
      <c r="K366" s="29">
        <f t="shared" si="31"/>
        <v>6594.5</v>
      </c>
      <c r="L366" s="23">
        <f t="shared" si="32"/>
        <v>6594.5</v>
      </c>
      <c r="M366" s="39" t="s">
        <v>142</v>
      </c>
    </row>
    <row r="367" s="1" customFormat="1" ht="56.25" outlineLevel="1" spans="1:13">
      <c r="A367" s="24">
        <v>26</v>
      </c>
      <c r="B367" s="25" t="s">
        <v>275</v>
      </c>
      <c r="C367" s="25" t="s">
        <v>304</v>
      </c>
      <c r="D367" s="26" t="s">
        <v>71</v>
      </c>
      <c r="E367" s="26">
        <v>1</v>
      </c>
      <c r="F367" s="20">
        <v>1.38</v>
      </c>
      <c r="G367" s="29">
        <v>2.1</v>
      </c>
      <c r="H367" s="29">
        <v>0.8</v>
      </c>
      <c r="I367" s="29">
        <f t="shared" si="33"/>
        <v>0.428</v>
      </c>
      <c r="J367" s="29">
        <f t="shared" si="34"/>
        <v>0.42372</v>
      </c>
      <c r="K367" s="29">
        <f t="shared" si="31"/>
        <v>5.13172</v>
      </c>
      <c r="L367" s="23">
        <f t="shared" si="32"/>
        <v>5.13172</v>
      </c>
      <c r="M367" s="39" t="s">
        <v>142</v>
      </c>
    </row>
    <row r="368" s="1" customFormat="1" ht="56.25" outlineLevel="1" spans="1:13">
      <c r="A368" s="24">
        <v>27</v>
      </c>
      <c r="B368" s="25" t="s">
        <v>277</v>
      </c>
      <c r="C368" s="25" t="s">
        <v>278</v>
      </c>
      <c r="D368" s="26" t="s">
        <v>71</v>
      </c>
      <c r="E368" s="26">
        <v>1</v>
      </c>
      <c r="F368" s="24">
        <v>6.77</v>
      </c>
      <c r="G368" s="29">
        <v>9.5</v>
      </c>
      <c r="H368" s="29">
        <v>1.2</v>
      </c>
      <c r="I368" s="29">
        <f t="shared" si="33"/>
        <v>1.747</v>
      </c>
      <c r="J368" s="29">
        <f t="shared" si="34"/>
        <v>1.72953</v>
      </c>
      <c r="K368" s="29">
        <f t="shared" si="31"/>
        <v>20.94653</v>
      </c>
      <c r="L368" s="23">
        <f t="shared" si="32"/>
        <v>20.94653</v>
      </c>
      <c r="M368" s="39" t="s">
        <v>142</v>
      </c>
    </row>
    <row r="369" s="1" customFormat="1" ht="56.25" outlineLevel="1" spans="1:13">
      <c r="A369" s="24">
        <v>28</v>
      </c>
      <c r="B369" s="25" t="s">
        <v>279</v>
      </c>
      <c r="C369" s="25" t="s">
        <v>280</v>
      </c>
      <c r="D369" s="26" t="s">
        <v>71</v>
      </c>
      <c r="E369" s="26">
        <v>1</v>
      </c>
      <c r="F369" s="24">
        <v>6.77</v>
      </c>
      <c r="G369" s="29">
        <v>9.5</v>
      </c>
      <c r="H369" s="29">
        <v>1.2</v>
      </c>
      <c r="I369" s="29">
        <f t="shared" si="33"/>
        <v>1.747</v>
      </c>
      <c r="J369" s="29">
        <f t="shared" si="34"/>
        <v>1.72953</v>
      </c>
      <c r="K369" s="29">
        <f t="shared" si="31"/>
        <v>20.94653</v>
      </c>
      <c r="L369" s="23">
        <f t="shared" si="32"/>
        <v>20.94653</v>
      </c>
      <c r="M369" s="39" t="s">
        <v>142</v>
      </c>
    </row>
    <row r="370" s="1" customFormat="1" outlineLevel="1" spans="1:13">
      <c r="A370" s="20" t="s">
        <v>99</v>
      </c>
      <c r="B370" s="21" t="s">
        <v>348</v>
      </c>
      <c r="C370" s="21"/>
      <c r="D370" s="22"/>
      <c r="E370" s="22"/>
      <c r="F370" s="20"/>
      <c r="G370" s="29"/>
      <c r="H370" s="29"/>
      <c r="I370" s="29">
        <f t="shared" si="33"/>
        <v>0</v>
      </c>
      <c r="J370" s="29">
        <f t="shared" si="34"/>
        <v>0</v>
      </c>
      <c r="K370" s="29">
        <f t="shared" si="31"/>
        <v>0</v>
      </c>
      <c r="L370" s="23">
        <f t="shared" si="32"/>
        <v>0</v>
      </c>
      <c r="M370" s="38"/>
    </row>
    <row r="371" s="1" customFormat="1" ht="56.25" outlineLevel="1" spans="1:13">
      <c r="A371" s="24">
        <v>1</v>
      </c>
      <c r="B371" s="25" t="s">
        <v>154</v>
      </c>
      <c r="C371" s="25" t="s">
        <v>349</v>
      </c>
      <c r="D371" s="26" t="s">
        <v>42</v>
      </c>
      <c r="E371" s="27">
        <f>138.38+12.17+15.65+(2.95*18+3)*2</f>
        <v>278.4</v>
      </c>
      <c r="F371" s="28">
        <v>0.92</v>
      </c>
      <c r="G371" s="29">
        <v>2.57</v>
      </c>
      <c r="H371" s="29">
        <v>0.85</v>
      </c>
      <c r="I371" s="29">
        <f t="shared" si="33"/>
        <v>0.434</v>
      </c>
      <c r="J371" s="29">
        <f t="shared" si="34"/>
        <v>0.42966</v>
      </c>
      <c r="K371" s="29">
        <f t="shared" si="31"/>
        <v>5.20366</v>
      </c>
      <c r="L371" s="23">
        <f t="shared" si="32"/>
        <v>1448.698944</v>
      </c>
      <c r="M371" s="39" t="s">
        <v>142</v>
      </c>
    </row>
    <row r="372" s="1" customFormat="1" ht="56.25" outlineLevel="1" spans="1:13">
      <c r="A372" s="24">
        <v>2</v>
      </c>
      <c r="B372" s="25" t="s">
        <v>154</v>
      </c>
      <c r="C372" s="25" t="s">
        <v>206</v>
      </c>
      <c r="D372" s="26" t="s">
        <v>42</v>
      </c>
      <c r="E372" s="27">
        <f>E371*2</f>
        <v>556.8</v>
      </c>
      <c r="F372" s="28">
        <v>0.92</v>
      </c>
      <c r="G372" s="29">
        <v>1.93</v>
      </c>
      <c r="H372" s="29">
        <v>0.85</v>
      </c>
      <c r="I372" s="29">
        <f t="shared" si="33"/>
        <v>0.37</v>
      </c>
      <c r="J372" s="29">
        <f t="shared" si="34"/>
        <v>0.3663</v>
      </c>
      <c r="K372" s="29">
        <f t="shared" si="31"/>
        <v>4.4363</v>
      </c>
      <c r="L372" s="23">
        <f t="shared" si="32"/>
        <v>2470.13184</v>
      </c>
      <c r="M372" s="39" t="s">
        <v>142</v>
      </c>
    </row>
    <row r="373" s="1" customFormat="1" ht="33.75" outlineLevel="1" spans="1:13">
      <c r="A373" s="24">
        <v>3</v>
      </c>
      <c r="B373" s="25" t="s">
        <v>157</v>
      </c>
      <c r="C373" s="25" t="s">
        <v>306</v>
      </c>
      <c r="D373" s="26" t="s">
        <v>60</v>
      </c>
      <c r="E373" s="27">
        <v>4</v>
      </c>
      <c r="F373" s="24">
        <v>265.43</v>
      </c>
      <c r="G373" s="29">
        <v>116</v>
      </c>
      <c r="H373" s="29">
        <v>16.5</v>
      </c>
      <c r="I373" s="29">
        <f t="shared" si="33"/>
        <v>39.793</v>
      </c>
      <c r="J373" s="29">
        <f t="shared" si="34"/>
        <v>39.39507</v>
      </c>
      <c r="K373" s="29">
        <f t="shared" si="31"/>
        <v>477.11807</v>
      </c>
      <c r="L373" s="23">
        <f t="shared" si="32"/>
        <v>1908.47228</v>
      </c>
      <c r="M373" s="39" t="s">
        <v>159</v>
      </c>
    </row>
    <row r="374" s="1" customFormat="1" outlineLevel="1" spans="1:13">
      <c r="A374" s="20" t="s">
        <v>152</v>
      </c>
      <c r="B374" s="21" t="s">
        <v>350</v>
      </c>
      <c r="C374" s="21"/>
      <c r="D374" s="26"/>
      <c r="E374" s="27"/>
      <c r="F374" s="24"/>
      <c r="G374" s="29"/>
      <c r="H374" s="29"/>
      <c r="I374" s="29">
        <f t="shared" si="33"/>
        <v>0</v>
      </c>
      <c r="J374" s="29">
        <f t="shared" si="34"/>
        <v>0</v>
      </c>
      <c r="K374" s="29">
        <f t="shared" si="31"/>
        <v>0</v>
      </c>
      <c r="L374" s="23">
        <f t="shared" si="32"/>
        <v>0</v>
      </c>
      <c r="M374" s="39"/>
    </row>
    <row r="375" s="1" customFormat="1" ht="56.25" outlineLevel="1" spans="1:13">
      <c r="A375" s="24">
        <v>1</v>
      </c>
      <c r="B375" s="25" t="s">
        <v>154</v>
      </c>
      <c r="C375" s="25" t="s">
        <v>351</v>
      </c>
      <c r="D375" s="26" t="s">
        <v>42</v>
      </c>
      <c r="E375" s="27">
        <f>138.38+12.17+15.65+(2.95+3)*2</f>
        <v>178.1</v>
      </c>
      <c r="F375" s="28">
        <v>0.92</v>
      </c>
      <c r="G375" s="29">
        <v>2.04</v>
      </c>
      <c r="H375" s="29">
        <v>0.85</v>
      </c>
      <c r="I375" s="29">
        <f t="shared" si="33"/>
        <v>0.381</v>
      </c>
      <c r="J375" s="29">
        <f t="shared" si="34"/>
        <v>0.37719</v>
      </c>
      <c r="K375" s="29">
        <f t="shared" si="31"/>
        <v>4.56819</v>
      </c>
      <c r="L375" s="23">
        <f t="shared" si="32"/>
        <v>813.594639</v>
      </c>
      <c r="M375" s="39" t="s">
        <v>142</v>
      </c>
    </row>
    <row r="376" s="1" customFormat="1" ht="33.75" outlineLevel="1" spans="1:13">
      <c r="A376" s="24">
        <v>2</v>
      </c>
      <c r="B376" s="25" t="s">
        <v>157</v>
      </c>
      <c r="C376" s="25" t="s">
        <v>163</v>
      </c>
      <c r="D376" s="26" t="s">
        <v>60</v>
      </c>
      <c r="E376" s="27">
        <v>2</v>
      </c>
      <c r="F376" s="24">
        <v>285.43</v>
      </c>
      <c r="G376" s="29">
        <v>78.4</v>
      </c>
      <c r="H376" s="29">
        <v>66.5</v>
      </c>
      <c r="I376" s="29">
        <f t="shared" si="33"/>
        <v>43.033</v>
      </c>
      <c r="J376" s="29">
        <f t="shared" si="34"/>
        <v>42.60267</v>
      </c>
      <c r="K376" s="29">
        <f t="shared" si="31"/>
        <v>515.96567</v>
      </c>
      <c r="L376" s="23">
        <f t="shared" si="32"/>
        <v>1031.93134</v>
      </c>
      <c r="M376" s="39" t="s">
        <v>159</v>
      </c>
    </row>
    <row r="377" s="1" customFormat="1" ht="22.5" outlineLevel="1" spans="1:13">
      <c r="A377" s="20" t="s">
        <v>160</v>
      </c>
      <c r="B377" s="21" t="s">
        <v>352</v>
      </c>
      <c r="C377" s="21"/>
      <c r="D377" s="22"/>
      <c r="E377" s="22"/>
      <c r="F377" s="20"/>
      <c r="G377" s="29"/>
      <c r="H377" s="29"/>
      <c r="I377" s="29">
        <f t="shared" si="33"/>
        <v>0</v>
      </c>
      <c r="J377" s="29">
        <f t="shared" si="34"/>
        <v>0</v>
      </c>
      <c r="K377" s="29">
        <f t="shared" si="31"/>
        <v>0</v>
      </c>
      <c r="L377" s="23">
        <f t="shared" si="32"/>
        <v>0</v>
      </c>
      <c r="M377" s="38"/>
    </row>
    <row r="378" s="1" customFormat="1" ht="67.5" outlineLevel="1" spans="1:13">
      <c r="A378" s="24">
        <v>1</v>
      </c>
      <c r="B378" s="25" t="s">
        <v>154</v>
      </c>
      <c r="C378" s="25" t="s">
        <v>353</v>
      </c>
      <c r="D378" s="26" t="s">
        <v>42</v>
      </c>
      <c r="E378" s="27">
        <f>(138.38+12.17+15.65+(2.95+3)*2)*2</f>
        <v>356.2</v>
      </c>
      <c r="F378" s="28">
        <v>0.92</v>
      </c>
      <c r="G378" s="29">
        <v>2.14</v>
      </c>
      <c r="H378" s="29">
        <v>0.85</v>
      </c>
      <c r="I378" s="29">
        <f t="shared" si="33"/>
        <v>0.391</v>
      </c>
      <c r="J378" s="29">
        <f t="shared" si="34"/>
        <v>0.38709</v>
      </c>
      <c r="K378" s="29">
        <f t="shared" si="31"/>
        <v>4.68809</v>
      </c>
      <c r="L378" s="23">
        <f t="shared" si="32"/>
        <v>1669.897658</v>
      </c>
      <c r="M378" s="39" t="s">
        <v>142</v>
      </c>
    </row>
    <row r="379" s="1" customFormat="1" ht="67.5" outlineLevel="1" spans="1:13">
      <c r="A379" s="24">
        <v>2</v>
      </c>
      <c r="B379" s="25" t="s">
        <v>154</v>
      </c>
      <c r="C379" s="25" t="s">
        <v>167</v>
      </c>
      <c r="D379" s="26" t="s">
        <v>42</v>
      </c>
      <c r="E379" s="27">
        <f>E378</f>
        <v>356.2</v>
      </c>
      <c r="F379" s="28">
        <v>0.92</v>
      </c>
      <c r="G379" s="29">
        <v>2.82</v>
      </c>
      <c r="H379" s="29">
        <v>0.85</v>
      </c>
      <c r="I379" s="29">
        <f t="shared" si="33"/>
        <v>0.459</v>
      </c>
      <c r="J379" s="29">
        <f t="shared" si="34"/>
        <v>0.45441</v>
      </c>
      <c r="K379" s="29">
        <f t="shared" si="31"/>
        <v>5.50341</v>
      </c>
      <c r="L379" s="23">
        <f t="shared" si="32"/>
        <v>1960.314642</v>
      </c>
      <c r="M379" s="39" t="s">
        <v>142</v>
      </c>
    </row>
    <row r="380" s="1" customFormat="1" ht="67.5" outlineLevel="1" spans="1:13">
      <c r="A380" s="24">
        <v>3</v>
      </c>
      <c r="B380" s="25" t="s">
        <v>154</v>
      </c>
      <c r="C380" s="25" t="s">
        <v>354</v>
      </c>
      <c r="D380" s="26" t="s">
        <v>42</v>
      </c>
      <c r="E380" s="27">
        <f>(138.38+12.17+15.65+(2.95+3)*2)</f>
        <v>178.1</v>
      </c>
      <c r="F380" s="28">
        <v>0.92</v>
      </c>
      <c r="G380" s="29">
        <v>2.57</v>
      </c>
      <c r="H380" s="29">
        <v>0.85</v>
      </c>
      <c r="I380" s="29">
        <f t="shared" si="33"/>
        <v>0.434</v>
      </c>
      <c r="J380" s="29">
        <f t="shared" si="34"/>
        <v>0.42966</v>
      </c>
      <c r="K380" s="29">
        <f t="shared" si="31"/>
        <v>5.20366</v>
      </c>
      <c r="L380" s="23">
        <f t="shared" si="32"/>
        <v>926.771846</v>
      </c>
      <c r="M380" s="39" t="s">
        <v>142</v>
      </c>
    </row>
    <row r="381" s="1" customFormat="1" ht="67.5" outlineLevel="1" spans="1:13">
      <c r="A381" s="24">
        <v>4</v>
      </c>
      <c r="B381" s="25" t="s">
        <v>154</v>
      </c>
      <c r="C381" s="25" t="s">
        <v>355</v>
      </c>
      <c r="D381" s="26" t="s">
        <v>42</v>
      </c>
      <c r="E381" s="27">
        <f>(138.38+12.17+15.65+(2.95+3)*2)</f>
        <v>178.1</v>
      </c>
      <c r="F381" s="28">
        <v>0.92</v>
      </c>
      <c r="G381" s="29">
        <v>2.57</v>
      </c>
      <c r="H381" s="29">
        <v>0.85</v>
      </c>
      <c r="I381" s="29">
        <f t="shared" si="33"/>
        <v>0.434</v>
      </c>
      <c r="J381" s="29">
        <f t="shared" si="34"/>
        <v>0.42966</v>
      </c>
      <c r="K381" s="29">
        <f t="shared" si="31"/>
        <v>5.20366</v>
      </c>
      <c r="L381" s="23">
        <f t="shared" si="32"/>
        <v>926.771846</v>
      </c>
      <c r="M381" s="39" t="s">
        <v>142</v>
      </c>
    </row>
    <row r="382" s="1" customFormat="1" ht="67.5" outlineLevel="1" spans="1:13">
      <c r="A382" s="24">
        <v>5</v>
      </c>
      <c r="B382" s="25" t="s">
        <v>154</v>
      </c>
      <c r="C382" s="25" t="s">
        <v>170</v>
      </c>
      <c r="D382" s="26" t="s">
        <v>42</v>
      </c>
      <c r="E382" s="27">
        <v>798.06</v>
      </c>
      <c r="F382" s="28">
        <v>0.92</v>
      </c>
      <c r="G382" s="29">
        <v>2.04</v>
      </c>
      <c r="H382" s="29">
        <v>0.85</v>
      </c>
      <c r="I382" s="29">
        <f t="shared" si="33"/>
        <v>0.381</v>
      </c>
      <c r="J382" s="29">
        <f t="shared" si="34"/>
        <v>0.37719</v>
      </c>
      <c r="K382" s="29">
        <f t="shared" si="31"/>
        <v>4.56819</v>
      </c>
      <c r="L382" s="23">
        <f t="shared" si="32"/>
        <v>3645.6897114</v>
      </c>
      <c r="M382" s="39" t="s">
        <v>142</v>
      </c>
    </row>
    <row r="383" s="1" customFormat="1" ht="67.5" outlineLevel="1" spans="1:13">
      <c r="A383" s="24">
        <v>6</v>
      </c>
      <c r="B383" s="25" t="s">
        <v>154</v>
      </c>
      <c r="C383" s="25" t="s">
        <v>310</v>
      </c>
      <c r="D383" s="26" t="s">
        <v>42</v>
      </c>
      <c r="E383" s="27">
        <v>1133.72</v>
      </c>
      <c r="F383" s="28">
        <v>0.92</v>
      </c>
      <c r="G383" s="29">
        <v>1.93</v>
      </c>
      <c r="H383" s="29">
        <v>0.85</v>
      </c>
      <c r="I383" s="29">
        <f t="shared" si="33"/>
        <v>0.37</v>
      </c>
      <c r="J383" s="29">
        <f t="shared" si="34"/>
        <v>0.3663</v>
      </c>
      <c r="K383" s="29">
        <f t="shared" si="31"/>
        <v>4.4363</v>
      </c>
      <c r="L383" s="23">
        <f t="shared" si="32"/>
        <v>5029.522036</v>
      </c>
      <c r="M383" s="39" t="s">
        <v>142</v>
      </c>
    </row>
    <row r="384" s="1" customFormat="1" ht="67.5" outlineLevel="1" spans="1:13">
      <c r="A384" s="24">
        <v>7</v>
      </c>
      <c r="B384" s="25" t="s">
        <v>154</v>
      </c>
      <c r="C384" s="25" t="s">
        <v>356</v>
      </c>
      <c r="D384" s="26" t="s">
        <v>42</v>
      </c>
      <c r="E384" s="27">
        <v>214.52</v>
      </c>
      <c r="F384" s="28">
        <v>0.92</v>
      </c>
      <c r="G384" s="29">
        <v>2.57</v>
      </c>
      <c r="H384" s="29">
        <v>0.85</v>
      </c>
      <c r="I384" s="29">
        <f t="shared" si="33"/>
        <v>0.434</v>
      </c>
      <c r="J384" s="29">
        <f t="shared" si="34"/>
        <v>0.42966</v>
      </c>
      <c r="K384" s="29">
        <f t="shared" si="31"/>
        <v>5.20366</v>
      </c>
      <c r="L384" s="23">
        <f t="shared" si="32"/>
        <v>1116.2891432</v>
      </c>
      <c r="M384" s="39" t="s">
        <v>142</v>
      </c>
    </row>
    <row r="385" s="1" customFormat="1" ht="67.5" outlineLevel="1" spans="1:13">
      <c r="A385" s="24">
        <v>8</v>
      </c>
      <c r="B385" s="25" t="s">
        <v>154</v>
      </c>
      <c r="C385" s="25" t="s">
        <v>357</v>
      </c>
      <c r="D385" s="26" t="s">
        <v>42</v>
      </c>
      <c r="E385" s="27">
        <v>260.19</v>
      </c>
      <c r="F385" s="28">
        <v>0.92</v>
      </c>
      <c r="G385" s="29">
        <v>2.57</v>
      </c>
      <c r="H385" s="29">
        <v>0.85</v>
      </c>
      <c r="I385" s="29">
        <f t="shared" si="33"/>
        <v>0.434</v>
      </c>
      <c r="J385" s="29">
        <f t="shared" si="34"/>
        <v>0.42966</v>
      </c>
      <c r="K385" s="29">
        <f t="shared" si="31"/>
        <v>5.20366</v>
      </c>
      <c r="L385" s="23">
        <f t="shared" si="32"/>
        <v>1353.9402954</v>
      </c>
      <c r="M385" s="39" t="s">
        <v>142</v>
      </c>
    </row>
    <row r="386" s="1" customFormat="1" ht="33.75" outlineLevel="1" spans="1:13">
      <c r="A386" s="24">
        <v>9</v>
      </c>
      <c r="B386" s="25" t="s">
        <v>174</v>
      </c>
      <c r="C386" s="25" t="s">
        <v>175</v>
      </c>
      <c r="D386" s="26" t="s">
        <v>60</v>
      </c>
      <c r="E386" s="27">
        <v>38</v>
      </c>
      <c r="F386" s="28">
        <v>192.41</v>
      </c>
      <c r="G386" s="28">
        <v>26.6</v>
      </c>
      <c r="H386" s="29">
        <v>10.12</v>
      </c>
      <c r="I386" s="29">
        <f t="shared" si="33"/>
        <v>22.913</v>
      </c>
      <c r="J386" s="29">
        <f t="shared" si="34"/>
        <v>22.68387</v>
      </c>
      <c r="K386" s="29">
        <f t="shared" si="31"/>
        <v>274.72687</v>
      </c>
      <c r="L386" s="23">
        <f t="shared" si="32"/>
        <v>10439.62106</v>
      </c>
      <c r="M386" s="39" t="s">
        <v>159</v>
      </c>
    </row>
    <row r="387" s="1" customFormat="1" ht="33.75" outlineLevel="1" spans="1:13">
      <c r="A387" s="24">
        <v>10</v>
      </c>
      <c r="B387" s="25" t="s">
        <v>176</v>
      </c>
      <c r="C387" s="25" t="s">
        <v>177</v>
      </c>
      <c r="D387" s="26" t="s">
        <v>60</v>
      </c>
      <c r="E387" s="27">
        <v>122</v>
      </c>
      <c r="F387" s="28">
        <v>37.21</v>
      </c>
      <c r="G387" s="28">
        <v>19.2</v>
      </c>
      <c r="H387" s="29">
        <v>2.21</v>
      </c>
      <c r="I387" s="29">
        <f t="shared" si="33"/>
        <v>5.862</v>
      </c>
      <c r="J387" s="29">
        <f t="shared" si="34"/>
        <v>5.80338</v>
      </c>
      <c r="K387" s="29">
        <f t="shared" si="31"/>
        <v>70.28538</v>
      </c>
      <c r="L387" s="23">
        <f t="shared" si="32"/>
        <v>8574.81636</v>
      </c>
      <c r="M387" s="39" t="s">
        <v>159</v>
      </c>
    </row>
    <row r="388" s="1" customFormat="1" ht="45" outlineLevel="1" spans="1:13">
      <c r="A388" s="24">
        <v>11</v>
      </c>
      <c r="B388" s="25" t="s">
        <v>180</v>
      </c>
      <c r="C388" s="25" t="s">
        <v>181</v>
      </c>
      <c r="D388" s="26" t="s">
        <v>60</v>
      </c>
      <c r="E388" s="27">
        <v>38</v>
      </c>
      <c r="F388" s="28">
        <v>65.22</v>
      </c>
      <c r="G388" s="28">
        <v>26.92</v>
      </c>
      <c r="H388" s="29">
        <v>4.5</v>
      </c>
      <c r="I388" s="29">
        <f t="shared" si="33"/>
        <v>9.664</v>
      </c>
      <c r="J388" s="29">
        <f t="shared" si="34"/>
        <v>9.56736</v>
      </c>
      <c r="K388" s="29">
        <f t="shared" si="31"/>
        <v>115.87136</v>
      </c>
      <c r="L388" s="23">
        <f t="shared" si="32"/>
        <v>4403.11168</v>
      </c>
      <c r="M388" s="39" t="s">
        <v>159</v>
      </c>
    </row>
    <row r="389" s="1" customFormat="1" ht="33.75" outlineLevel="1" spans="1:13">
      <c r="A389" s="24">
        <v>12</v>
      </c>
      <c r="B389" s="25" t="s">
        <v>182</v>
      </c>
      <c r="C389" s="25" t="s">
        <v>183</v>
      </c>
      <c r="D389" s="26" t="s">
        <v>60</v>
      </c>
      <c r="E389" s="27">
        <v>38</v>
      </c>
      <c r="F389" s="5">
        <v>78.12</v>
      </c>
      <c r="G389" s="28">
        <v>30.08</v>
      </c>
      <c r="H389" s="29">
        <v>3.62</v>
      </c>
      <c r="I389" s="29">
        <f t="shared" si="33"/>
        <v>11.182</v>
      </c>
      <c r="J389" s="29">
        <f t="shared" si="34"/>
        <v>11.07018</v>
      </c>
      <c r="K389" s="29">
        <f t="shared" si="31"/>
        <v>134.07218</v>
      </c>
      <c r="L389" s="23">
        <f t="shared" si="32"/>
        <v>5094.74284</v>
      </c>
      <c r="M389" s="39" t="s">
        <v>159</v>
      </c>
    </row>
    <row r="390" s="1" customFormat="1" ht="33.75" outlineLevel="1" spans="1:13">
      <c r="A390" s="24">
        <v>13</v>
      </c>
      <c r="B390" s="25" t="s">
        <v>184</v>
      </c>
      <c r="C390" s="25" t="s">
        <v>185</v>
      </c>
      <c r="D390" s="26" t="s">
        <v>60</v>
      </c>
      <c r="E390" s="27">
        <v>36</v>
      </c>
      <c r="F390" s="28">
        <v>195.64</v>
      </c>
      <c r="G390" s="28">
        <v>22.56</v>
      </c>
      <c r="H390" s="29">
        <v>7.17</v>
      </c>
      <c r="I390" s="29">
        <f t="shared" si="33"/>
        <v>22.537</v>
      </c>
      <c r="J390" s="29">
        <f t="shared" si="34"/>
        <v>22.31163</v>
      </c>
      <c r="K390" s="29">
        <f t="shared" ref="K390:K453" si="35">F390+G390+H390+I390+J390</f>
        <v>270.21863</v>
      </c>
      <c r="L390" s="23">
        <f t="shared" ref="L390:L453" si="36">K390*E390</f>
        <v>9727.87068</v>
      </c>
      <c r="M390" s="39" t="s">
        <v>159</v>
      </c>
    </row>
    <row r="391" s="1" customFormat="1" ht="33.75" outlineLevel="1" spans="1:13">
      <c r="A391" s="24">
        <v>14</v>
      </c>
      <c r="B391" s="25" t="s">
        <v>186</v>
      </c>
      <c r="C391" s="25" t="s">
        <v>187</v>
      </c>
      <c r="D391" s="26" t="s">
        <v>60</v>
      </c>
      <c r="E391" s="27">
        <v>72</v>
      </c>
      <c r="F391" s="28">
        <v>48.37</v>
      </c>
      <c r="G391" s="28">
        <v>19.4</v>
      </c>
      <c r="H391" s="29">
        <v>3.2</v>
      </c>
      <c r="I391" s="29">
        <f t="shared" si="33"/>
        <v>7.097</v>
      </c>
      <c r="J391" s="29">
        <f t="shared" si="34"/>
        <v>7.02603</v>
      </c>
      <c r="K391" s="29">
        <f t="shared" si="35"/>
        <v>85.09303</v>
      </c>
      <c r="L391" s="23">
        <f t="shared" si="36"/>
        <v>6126.69816</v>
      </c>
      <c r="M391" s="39" t="s">
        <v>159</v>
      </c>
    </row>
    <row r="392" s="1" customFormat="1" ht="33.75" outlineLevel="1" spans="1:13">
      <c r="A392" s="24">
        <v>15</v>
      </c>
      <c r="B392" s="25" t="s">
        <v>188</v>
      </c>
      <c r="C392" s="25" t="s">
        <v>189</v>
      </c>
      <c r="D392" s="26" t="s">
        <v>60</v>
      </c>
      <c r="E392" s="27">
        <v>2</v>
      </c>
      <c r="F392" s="28">
        <v>50.98</v>
      </c>
      <c r="G392" s="28">
        <v>46.66</v>
      </c>
      <c r="H392" s="29">
        <v>30.84</v>
      </c>
      <c r="I392" s="29">
        <f t="shared" si="33"/>
        <v>12.848</v>
      </c>
      <c r="J392" s="29">
        <f t="shared" si="34"/>
        <v>12.71952</v>
      </c>
      <c r="K392" s="29">
        <f t="shared" si="35"/>
        <v>154.04752</v>
      </c>
      <c r="L392" s="23">
        <f t="shared" si="36"/>
        <v>308.09504</v>
      </c>
      <c r="M392" s="39" t="s">
        <v>159</v>
      </c>
    </row>
    <row r="393" s="1" customFormat="1" ht="33.75" outlineLevel="1" spans="1:13">
      <c r="A393" s="24">
        <v>16</v>
      </c>
      <c r="B393" s="25" t="s">
        <v>192</v>
      </c>
      <c r="C393" s="25" t="s">
        <v>193</v>
      </c>
      <c r="D393" s="26" t="s">
        <v>60</v>
      </c>
      <c r="E393" s="27">
        <v>84</v>
      </c>
      <c r="F393" s="28">
        <v>254.48</v>
      </c>
      <c r="G393" s="28">
        <v>21.15</v>
      </c>
      <c r="H393" s="29">
        <v>10.26</v>
      </c>
      <c r="I393" s="29">
        <f t="shared" si="33"/>
        <v>28.589</v>
      </c>
      <c r="J393" s="29">
        <f t="shared" si="34"/>
        <v>28.30311</v>
      </c>
      <c r="K393" s="29">
        <f t="shared" si="35"/>
        <v>342.78211</v>
      </c>
      <c r="L393" s="23">
        <f t="shared" si="36"/>
        <v>28793.69724</v>
      </c>
      <c r="M393" s="39" t="s">
        <v>159</v>
      </c>
    </row>
    <row r="394" s="1" customFormat="1" ht="33.75" outlineLevel="1" spans="1:13">
      <c r="A394" s="24">
        <v>17</v>
      </c>
      <c r="B394" s="25" t="s">
        <v>194</v>
      </c>
      <c r="C394" s="25" t="s">
        <v>195</v>
      </c>
      <c r="D394" s="26" t="s">
        <v>60</v>
      </c>
      <c r="E394" s="27">
        <v>2</v>
      </c>
      <c r="F394" s="28">
        <v>1425.47</v>
      </c>
      <c r="G394" s="28">
        <v>234.06</v>
      </c>
      <c r="H394" s="29">
        <v>58.4</v>
      </c>
      <c r="I394" s="29">
        <f t="shared" si="33"/>
        <v>171.793</v>
      </c>
      <c r="J394" s="29">
        <f t="shared" si="34"/>
        <v>170.07507</v>
      </c>
      <c r="K394" s="29">
        <f t="shared" si="35"/>
        <v>2059.79807</v>
      </c>
      <c r="L394" s="23">
        <f t="shared" si="36"/>
        <v>4119.59614</v>
      </c>
      <c r="M394" s="39" t="s">
        <v>159</v>
      </c>
    </row>
    <row r="395" s="1" customFormat="1" ht="33.75" outlineLevel="1" spans="1:13">
      <c r="A395" s="24">
        <v>18</v>
      </c>
      <c r="B395" s="25" t="s">
        <v>238</v>
      </c>
      <c r="C395" s="25" t="s">
        <v>239</v>
      </c>
      <c r="D395" s="26" t="s">
        <v>60</v>
      </c>
      <c r="E395" s="27">
        <v>2</v>
      </c>
      <c r="F395" s="28">
        <v>47.27</v>
      </c>
      <c r="G395" s="28">
        <v>43.24</v>
      </c>
      <c r="H395" s="29">
        <v>2.7</v>
      </c>
      <c r="I395" s="29">
        <f t="shared" si="33"/>
        <v>9.321</v>
      </c>
      <c r="J395" s="29">
        <f t="shared" si="34"/>
        <v>9.22779</v>
      </c>
      <c r="K395" s="29">
        <f t="shared" si="35"/>
        <v>111.75879</v>
      </c>
      <c r="L395" s="23">
        <f t="shared" si="36"/>
        <v>223.51758</v>
      </c>
      <c r="M395" s="39" t="s">
        <v>159</v>
      </c>
    </row>
    <row r="396" s="1" customFormat="1" outlineLevel="1" spans="1:13">
      <c r="A396" s="20" t="s">
        <v>164</v>
      </c>
      <c r="B396" s="21" t="s">
        <v>358</v>
      </c>
      <c r="C396" s="21"/>
      <c r="D396" s="22"/>
      <c r="E396" s="22"/>
      <c r="F396" s="20"/>
      <c r="G396" s="29"/>
      <c r="H396" s="29"/>
      <c r="I396" s="29">
        <f t="shared" si="33"/>
        <v>0</v>
      </c>
      <c r="J396" s="29">
        <f t="shared" si="34"/>
        <v>0</v>
      </c>
      <c r="K396" s="29">
        <f t="shared" si="35"/>
        <v>0</v>
      </c>
      <c r="L396" s="23">
        <f t="shared" si="36"/>
        <v>0</v>
      </c>
      <c r="M396" s="38"/>
    </row>
    <row r="397" s="1" customFormat="1" ht="56.25" outlineLevel="1" spans="1:13">
      <c r="A397" s="24">
        <v>1</v>
      </c>
      <c r="B397" s="25" t="s">
        <v>154</v>
      </c>
      <c r="C397" s="25" t="s">
        <v>359</v>
      </c>
      <c r="D397" s="26" t="s">
        <v>42</v>
      </c>
      <c r="E397" s="27">
        <f>138.38+12.17+15.65+(29.07+13.54+9.45+5.9*15+5.9+9.4)</f>
        <v>322.06</v>
      </c>
      <c r="F397" s="28">
        <v>0.92</v>
      </c>
      <c r="G397" s="29">
        <v>3.64</v>
      </c>
      <c r="H397" s="29">
        <v>0.85</v>
      </c>
      <c r="I397" s="29">
        <f t="shared" si="33"/>
        <v>0.541</v>
      </c>
      <c r="J397" s="29">
        <f t="shared" si="34"/>
        <v>0.53559</v>
      </c>
      <c r="K397" s="29">
        <f t="shared" si="35"/>
        <v>6.48659</v>
      </c>
      <c r="L397" s="23">
        <f t="shared" si="36"/>
        <v>2089.0711754</v>
      </c>
      <c r="M397" s="39" t="s">
        <v>142</v>
      </c>
    </row>
    <row r="398" s="1" customFormat="1" ht="56.25" outlineLevel="1" spans="1:13">
      <c r="A398" s="24">
        <v>2</v>
      </c>
      <c r="B398" s="25" t="s">
        <v>154</v>
      </c>
      <c r="C398" s="25" t="s">
        <v>360</v>
      </c>
      <c r="D398" s="26" t="s">
        <v>42</v>
      </c>
      <c r="E398" s="27">
        <f>E397</f>
        <v>322.06</v>
      </c>
      <c r="F398" s="28">
        <v>0.92</v>
      </c>
      <c r="G398" s="29">
        <v>3.46</v>
      </c>
      <c r="H398" s="29">
        <v>0.85</v>
      </c>
      <c r="I398" s="29">
        <f t="shared" si="33"/>
        <v>0.523</v>
      </c>
      <c r="J398" s="29">
        <f t="shared" si="34"/>
        <v>0.51777</v>
      </c>
      <c r="K398" s="29">
        <f t="shared" si="35"/>
        <v>6.27077</v>
      </c>
      <c r="L398" s="23">
        <f t="shared" si="36"/>
        <v>2019.5641862</v>
      </c>
      <c r="M398" s="39" t="s">
        <v>142</v>
      </c>
    </row>
    <row r="399" s="1" customFormat="1" ht="33.75" outlineLevel="1" spans="1:13">
      <c r="A399" s="24">
        <v>3</v>
      </c>
      <c r="B399" s="25" t="s">
        <v>157</v>
      </c>
      <c r="C399" s="25" t="s">
        <v>313</v>
      </c>
      <c r="D399" s="26" t="s">
        <v>60</v>
      </c>
      <c r="E399" s="27">
        <f>(4+4+2+30+2+2)</f>
        <v>44</v>
      </c>
      <c r="F399" s="24">
        <v>285.43</v>
      </c>
      <c r="G399" s="29">
        <v>43.6</v>
      </c>
      <c r="H399" s="29">
        <v>16.5</v>
      </c>
      <c r="I399" s="29">
        <f t="shared" si="33"/>
        <v>34.553</v>
      </c>
      <c r="J399" s="29">
        <f t="shared" si="34"/>
        <v>34.20747</v>
      </c>
      <c r="K399" s="29">
        <f t="shared" si="35"/>
        <v>414.29047</v>
      </c>
      <c r="L399" s="23">
        <f t="shared" si="36"/>
        <v>18228.78068</v>
      </c>
      <c r="M399" s="39" t="s">
        <v>159</v>
      </c>
    </row>
    <row r="400" s="1" customFormat="1" outlineLevel="1" spans="1:13">
      <c r="A400" s="20" t="s">
        <v>196</v>
      </c>
      <c r="B400" s="21" t="s">
        <v>361</v>
      </c>
      <c r="C400" s="21"/>
      <c r="D400" s="22"/>
      <c r="E400" s="22"/>
      <c r="F400" s="20"/>
      <c r="G400" s="29"/>
      <c r="H400" s="29"/>
      <c r="I400" s="29">
        <f t="shared" si="33"/>
        <v>0</v>
      </c>
      <c r="J400" s="29">
        <f t="shared" si="34"/>
        <v>0</v>
      </c>
      <c r="K400" s="29">
        <f t="shared" si="35"/>
        <v>0</v>
      </c>
      <c r="L400" s="23">
        <f t="shared" si="36"/>
        <v>0</v>
      </c>
      <c r="M400" s="38"/>
    </row>
    <row r="401" s="1" customFormat="1" ht="33.75" outlineLevel="1" spans="1:13">
      <c r="A401" s="24">
        <v>1</v>
      </c>
      <c r="B401" s="25" t="s">
        <v>198</v>
      </c>
      <c r="C401" s="25" t="s">
        <v>245</v>
      </c>
      <c r="D401" s="26" t="s">
        <v>103</v>
      </c>
      <c r="E401" s="27">
        <v>4</v>
      </c>
      <c r="F401" s="24">
        <v>90.73</v>
      </c>
      <c r="G401" s="29">
        <v>360</v>
      </c>
      <c r="H401" s="29">
        <v>19.3</v>
      </c>
      <c r="I401" s="29">
        <f t="shared" si="33"/>
        <v>47.003</v>
      </c>
      <c r="J401" s="29">
        <f t="shared" si="34"/>
        <v>46.53297</v>
      </c>
      <c r="K401" s="29">
        <f t="shared" si="35"/>
        <v>563.56597</v>
      </c>
      <c r="L401" s="23">
        <f t="shared" si="36"/>
        <v>2254.26388</v>
      </c>
      <c r="M401" s="39" t="s">
        <v>202</v>
      </c>
    </row>
    <row r="402" s="1" customFormat="1" ht="56.25" outlineLevel="1" spans="1:13">
      <c r="A402" s="24">
        <v>2</v>
      </c>
      <c r="B402" s="25" t="s">
        <v>200</v>
      </c>
      <c r="C402" s="25" t="s">
        <v>362</v>
      </c>
      <c r="D402" s="26" t="s">
        <v>51</v>
      </c>
      <c r="E402" s="27">
        <v>6</v>
      </c>
      <c r="F402" s="28">
        <v>26.59</v>
      </c>
      <c r="G402" s="29">
        <v>34</v>
      </c>
      <c r="H402" s="29">
        <v>22.37</v>
      </c>
      <c r="I402" s="29">
        <f t="shared" si="33"/>
        <v>8.296</v>
      </c>
      <c r="J402" s="29">
        <f t="shared" si="34"/>
        <v>8.21304</v>
      </c>
      <c r="K402" s="29">
        <f t="shared" si="35"/>
        <v>99.46904</v>
      </c>
      <c r="L402" s="23">
        <f t="shared" si="36"/>
        <v>596.81424</v>
      </c>
      <c r="M402" s="39" t="s">
        <v>202</v>
      </c>
    </row>
    <row r="403" s="1" customFormat="1" ht="67.5" outlineLevel="1" spans="1:13">
      <c r="A403" s="24">
        <v>3</v>
      </c>
      <c r="B403" s="25" t="s">
        <v>200</v>
      </c>
      <c r="C403" s="25" t="s">
        <v>363</v>
      </c>
      <c r="D403" s="26" t="s">
        <v>51</v>
      </c>
      <c r="E403" s="27">
        <v>162</v>
      </c>
      <c r="F403" s="28">
        <v>26.59</v>
      </c>
      <c r="G403" s="29">
        <v>34</v>
      </c>
      <c r="H403" s="29">
        <v>22.37</v>
      </c>
      <c r="I403" s="29">
        <f t="shared" si="33"/>
        <v>8.296</v>
      </c>
      <c r="J403" s="29">
        <f t="shared" si="34"/>
        <v>8.21304</v>
      </c>
      <c r="K403" s="29">
        <f t="shared" si="35"/>
        <v>99.46904</v>
      </c>
      <c r="L403" s="23">
        <f t="shared" si="36"/>
        <v>16113.98448</v>
      </c>
      <c r="M403" s="39" t="s">
        <v>202</v>
      </c>
    </row>
    <row r="404" s="1" customFormat="1" ht="56.25" outlineLevel="1" spans="1:13">
      <c r="A404" s="24">
        <v>4</v>
      </c>
      <c r="B404" s="25" t="s">
        <v>200</v>
      </c>
      <c r="C404" s="25" t="s">
        <v>364</v>
      </c>
      <c r="D404" s="26" t="s">
        <v>51</v>
      </c>
      <c r="E404" s="27">
        <v>38</v>
      </c>
      <c r="F404" s="28">
        <v>26.59</v>
      </c>
      <c r="G404" s="29">
        <v>33</v>
      </c>
      <c r="H404" s="29">
        <v>22.37</v>
      </c>
      <c r="I404" s="29">
        <f t="shared" si="33"/>
        <v>8.196</v>
      </c>
      <c r="J404" s="29">
        <f t="shared" si="34"/>
        <v>8.11404</v>
      </c>
      <c r="K404" s="29">
        <f t="shared" si="35"/>
        <v>98.27004</v>
      </c>
      <c r="L404" s="23">
        <f t="shared" si="36"/>
        <v>3734.26152</v>
      </c>
      <c r="M404" s="39" t="s">
        <v>202</v>
      </c>
    </row>
    <row r="405" s="1" customFormat="1" ht="56.25" outlineLevel="1" spans="1:13">
      <c r="A405" s="24">
        <v>5</v>
      </c>
      <c r="B405" s="25" t="s">
        <v>200</v>
      </c>
      <c r="C405" s="25" t="s">
        <v>365</v>
      </c>
      <c r="D405" s="26" t="s">
        <v>51</v>
      </c>
      <c r="E405" s="27">
        <v>40</v>
      </c>
      <c r="F405" s="28">
        <v>26.59</v>
      </c>
      <c r="G405" s="29">
        <v>33</v>
      </c>
      <c r="H405" s="29">
        <v>22.37</v>
      </c>
      <c r="I405" s="29">
        <f t="shared" si="33"/>
        <v>8.196</v>
      </c>
      <c r="J405" s="29">
        <f t="shared" si="34"/>
        <v>8.11404</v>
      </c>
      <c r="K405" s="29">
        <f t="shared" si="35"/>
        <v>98.27004</v>
      </c>
      <c r="L405" s="23">
        <f t="shared" si="36"/>
        <v>3930.8016</v>
      </c>
      <c r="M405" s="39" t="s">
        <v>202</v>
      </c>
    </row>
    <row r="406" s="1" customFormat="1" ht="67.5" outlineLevel="1" spans="1:13">
      <c r="A406" s="24">
        <v>6</v>
      </c>
      <c r="B406" s="25" t="s">
        <v>200</v>
      </c>
      <c r="C406" s="25" t="s">
        <v>366</v>
      </c>
      <c r="D406" s="26" t="s">
        <v>51</v>
      </c>
      <c r="E406" s="27">
        <v>40</v>
      </c>
      <c r="F406" s="28">
        <v>26.59</v>
      </c>
      <c r="G406" s="29">
        <v>33</v>
      </c>
      <c r="H406" s="29">
        <v>22.37</v>
      </c>
      <c r="I406" s="29">
        <f t="shared" si="33"/>
        <v>8.196</v>
      </c>
      <c r="J406" s="29">
        <f t="shared" si="34"/>
        <v>8.11404</v>
      </c>
      <c r="K406" s="29">
        <f t="shared" si="35"/>
        <v>98.27004</v>
      </c>
      <c r="L406" s="23">
        <f t="shared" si="36"/>
        <v>3930.8016</v>
      </c>
      <c r="M406" s="39" t="s">
        <v>202</v>
      </c>
    </row>
    <row r="407" s="1" customFormat="1" ht="67.5" outlineLevel="1" spans="1:13">
      <c r="A407" s="24">
        <v>7</v>
      </c>
      <c r="B407" s="25" t="s">
        <v>200</v>
      </c>
      <c r="C407" s="25" t="s">
        <v>367</v>
      </c>
      <c r="D407" s="26" t="s">
        <v>51</v>
      </c>
      <c r="E407" s="27">
        <v>6</v>
      </c>
      <c r="F407" s="28">
        <v>26.59</v>
      </c>
      <c r="G407" s="29">
        <v>33</v>
      </c>
      <c r="H407" s="29">
        <v>22.37</v>
      </c>
      <c r="I407" s="29">
        <f t="shared" si="33"/>
        <v>8.196</v>
      </c>
      <c r="J407" s="29">
        <f t="shared" si="34"/>
        <v>8.11404</v>
      </c>
      <c r="K407" s="29">
        <f t="shared" si="35"/>
        <v>98.27004</v>
      </c>
      <c r="L407" s="23">
        <f t="shared" si="36"/>
        <v>589.62024</v>
      </c>
      <c r="M407" s="39" t="s">
        <v>202</v>
      </c>
    </row>
    <row r="408" s="1" customFormat="1" ht="56.25" outlineLevel="1" spans="1:13">
      <c r="A408" s="24">
        <v>8</v>
      </c>
      <c r="B408" s="25" t="s">
        <v>154</v>
      </c>
      <c r="C408" s="25" t="s">
        <v>206</v>
      </c>
      <c r="D408" s="26" t="s">
        <v>42</v>
      </c>
      <c r="E408" s="27">
        <v>2207.53</v>
      </c>
      <c r="F408" s="28">
        <v>0.92</v>
      </c>
      <c r="G408" s="29">
        <v>1.93</v>
      </c>
      <c r="H408" s="29">
        <v>0.85</v>
      </c>
      <c r="I408" s="29">
        <f t="shared" si="33"/>
        <v>0.37</v>
      </c>
      <c r="J408" s="29">
        <f t="shared" si="34"/>
        <v>0.3663</v>
      </c>
      <c r="K408" s="29">
        <f t="shared" si="35"/>
        <v>4.4363</v>
      </c>
      <c r="L408" s="23">
        <f t="shared" si="36"/>
        <v>9793.265339</v>
      </c>
      <c r="M408" s="39" t="s">
        <v>142</v>
      </c>
    </row>
    <row r="409" s="4" customFormat="1" spans="1:13">
      <c r="A409" s="40" t="s">
        <v>207</v>
      </c>
      <c r="B409" s="41" t="s">
        <v>368</v>
      </c>
      <c r="C409" s="41"/>
      <c r="D409" s="40"/>
      <c r="E409" s="40"/>
      <c r="F409" s="40"/>
      <c r="G409" s="23"/>
      <c r="H409" s="42"/>
      <c r="I409" s="42"/>
      <c r="J409" s="42"/>
      <c r="K409" s="42"/>
      <c r="L409" s="44">
        <f>SUM(L325:L408)</f>
        <v>403299.8701919</v>
      </c>
      <c r="M409" s="45"/>
    </row>
    <row r="410" s="1" customFormat="1" outlineLevel="1" spans="1:13">
      <c r="A410" s="20" t="s">
        <v>38</v>
      </c>
      <c r="B410" s="21" t="s">
        <v>369</v>
      </c>
      <c r="C410" s="21"/>
      <c r="D410" s="22"/>
      <c r="E410" s="22"/>
      <c r="F410" s="20"/>
      <c r="G410" s="23"/>
      <c r="H410" s="23"/>
      <c r="I410" s="29">
        <f t="shared" si="33"/>
        <v>0</v>
      </c>
      <c r="J410" s="29">
        <f t="shared" si="34"/>
        <v>0</v>
      </c>
      <c r="K410" s="29"/>
      <c r="L410" s="23"/>
      <c r="M410" s="38"/>
    </row>
    <row r="411" s="1" customFormat="1" ht="78.75" outlineLevel="1" spans="1:13">
      <c r="A411" s="24">
        <v>1</v>
      </c>
      <c r="B411" s="25" t="s">
        <v>40</v>
      </c>
      <c r="C411" s="25" t="s">
        <v>41</v>
      </c>
      <c r="D411" s="26" t="s">
        <v>42</v>
      </c>
      <c r="E411" s="27">
        <v>230.16</v>
      </c>
      <c r="F411" s="28">
        <v>29.46</v>
      </c>
      <c r="G411" s="29">
        <f>46.5+10</f>
        <v>56.5</v>
      </c>
      <c r="H411" s="29">
        <v>1.31</v>
      </c>
      <c r="I411" s="29">
        <f t="shared" si="33"/>
        <v>8.727</v>
      </c>
      <c r="J411" s="29">
        <f t="shared" si="34"/>
        <v>8.63973</v>
      </c>
      <c r="K411" s="29">
        <f t="shared" si="35"/>
        <v>104.63673</v>
      </c>
      <c r="L411" s="23">
        <f t="shared" si="36"/>
        <v>24083.1897768</v>
      </c>
      <c r="M411" s="39" t="s">
        <v>43</v>
      </c>
    </row>
    <row r="412" s="1" customFormat="1" ht="78.75" outlineLevel="1" spans="1:13">
      <c r="A412" s="24">
        <v>2</v>
      </c>
      <c r="B412" s="25" t="s">
        <v>40</v>
      </c>
      <c r="C412" s="25" t="s">
        <v>44</v>
      </c>
      <c r="D412" s="26" t="s">
        <v>42</v>
      </c>
      <c r="E412" s="27">
        <v>36.05</v>
      </c>
      <c r="F412" s="28">
        <v>24.65</v>
      </c>
      <c r="G412" s="29">
        <f>30.67+10</f>
        <v>40.67</v>
      </c>
      <c r="H412" s="29">
        <v>1.31</v>
      </c>
      <c r="I412" s="29">
        <f t="shared" si="33"/>
        <v>6.663</v>
      </c>
      <c r="J412" s="29">
        <f t="shared" si="34"/>
        <v>6.59637</v>
      </c>
      <c r="K412" s="29">
        <f t="shared" si="35"/>
        <v>79.88937</v>
      </c>
      <c r="L412" s="23">
        <f t="shared" si="36"/>
        <v>2880.0117885</v>
      </c>
      <c r="M412" s="39" t="s">
        <v>43</v>
      </c>
    </row>
    <row r="413" s="1" customFormat="1" ht="56.25" outlineLevel="1" spans="1:13">
      <c r="A413" s="24">
        <v>3</v>
      </c>
      <c r="B413" s="25" t="s">
        <v>45</v>
      </c>
      <c r="C413" s="25" t="s">
        <v>210</v>
      </c>
      <c r="D413" s="26" t="s">
        <v>47</v>
      </c>
      <c r="E413" s="27">
        <v>139.43</v>
      </c>
      <c r="F413" s="28">
        <v>12.5</v>
      </c>
      <c r="G413" s="29">
        <v>3.92</v>
      </c>
      <c r="H413" s="29">
        <v>4.5</v>
      </c>
      <c r="I413" s="29">
        <f t="shared" si="33"/>
        <v>2.092</v>
      </c>
      <c r="J413" s="29">
        <f t="shared" si="34"/>
        <v>2.07108</v>
      </c>
      <c r="K413" s="29">
        <f t="shared" si="35"/>
        <v>25.08308</v>
      </c>
      <c r="L413" s="23">
        <f t="shared" si="36"/>
        <v>3497.3338444</v>
      </c>
      <c r="M413" s="39" t="s">
        <v>48</v>
      </c>
    </row>
    <row r="414" s="1" customFormat="1" ht="78.75" outlineLevel="1" spans="1:13">
      <c r="A414" s="24">
        <v>4</v>
      </c>
      <c r="B414" s="25" t="s">
        <v>49</v>
      </c>
      <c r="C414" s="25" t="s">
        <v>214</v>
      </c>
      <c r="D414" s="26" t="s">
        <v>51</v>
      </c>
      <c r="E414" s="27">
        <v>36</v>
      </c>
      <c r="F414" s="24">
        <v>75.07</v>
      </c>
      <c r="G414" s="29">
        <v>510</v>
      </c>
      <c r="H414" s="29">
        <v>3.63</v>
      </c>
      <c r="I414" s="29">
        <f t="shared" si="33"/>
        <v>58.87</v>
      </c>
      <c r="J414" s="29">
        <f t="shared" si="34"/>
        <v>58.2813</v>
      </c>
      <c r="K414" s="29">
        <f t="shared" si="35"/>
        <v>705.8513</v>
      </c>
      <c r="L414" s="23">
        <f t="shared" si="36"/>
        <v>25410.6468</v>
      </c>
      <c r="M414" s="39" t="s">
        <v>52</v>
      </c>
    </row>
    <row r="415" s="1" customFormat="1" ht="78.75" outlineLevel="1" spans="1:13">
      <c r="A415" s="24">
        <v>5</v>
      </c>
      <c r="B415" s="25" t="s">
        <v>49</v>
      </c>
      <c r="C415" s="25" t="s">
        <v>253</v>
      </c>
      <c r="D415" s="26" t="s">
        <v>51</v>
      </c>
      <c r="E415" s="27">
        <v>3</v>
      </c>
      <c r="F415" s="24">
        <v>75.07</v>
      </c>
      <c r="G415" s="29">
        <v>375</v>
      </c>
      <c r="H415" s="29">
        <v>3.63</v>
      </c>
      <c r="I415" s="29">
        <f t="shared" si="33"/>
        <v>45.37</v>
      </c>
      <c r="J415" s="29">
        <f t="shared" si="34"/>
        <v>44.9163</v>
      </c>
      <c r="K415" s="29">
        <f t="shared" si="35"/>
        <v>543.9863</v>
      </c>
      <c r="L415" s="23">
        <f t="shared" si="36"/>
        <v>1631.9589</v>
      </c>
      <c r="M415" s="39" t="s">
        <v>52</v>
      </c>
    </row>
    <row r="416" s="1" customFormat="1" ht="67.5" outlineLevel="1" spans="1:13">
      <c r="A416" s="24">
        <v>6</v>
      </c>
      <c r="B416" s="25" t="s">
        <v>49</v>
      </c>
      <c r="C416" s="25" t="s">
        <v>216</v>
      </c>
      <c r="D416" s="26" t="s">
        <v>51</v>
      </c>
      <c r="E416" s="27">
        <v>1</v>
      </c>
      <c r="F416" s="24">
        <v>75.07</v>
      </c>
      <c r="G416" s="29">
        <v>375</v>
      </c>
      <c r="H416" s="29">
        <v>3.63</v>
      </c>
      <c r="I416" s="29">
        <f t="shared" si="33"/>
        <v>45.37</v>
      </c>
      <c r="J416" s="29">
        <f t="shared" si="34"/>
        <v>44.9163</v>
      </c>
      <c r="K416" s="29">
        <f t="shared" si="35"/>
        <v>543.9863</v>
      </c>
      <c r="L416" s="23">
        <f t="shared" si="36"/>
        <v>543.9863</v>
      </c>
      <c r="M416" s="39" t="s">
        <v>52</v>
      </c>
    </row>
    <row r="417" s="1" customFormat="1" ht="45" outlineLevel="1" spans="1:13">
      <c r="A417" s="24">
        <v>7</v>
      </c>
      <c r="B417" s="25" t="s">
        <v>54</v>
      </c>
      <c r="C417" s="25" t="s">
        <v>217</v>
      </c>
      <c r="D417" s="26" t="s">
        <v>56</v>
      </c>
      <c r="E417" s="27">
        <v>72</v>
      </c>
      <c r="F417" s="24">
        <v>1.96</v>
      </c>
      <c r="G417" s="29">
        <v>21</v>
      </c>
      <c r="H417" s="29">
        <v>0.5</v>
      </c>
      <c r="I417" s="29">
        <f t="shared" si="33"/>
        <v>2.346</v>
      </c>
      <c r="J417" s="29">
        <f t="shared" si="34"/>
        <v>2.32254</v>
      </c>
      <c r="K417" s="29">
        <f t="shared" si="35"/>
        <v>28.12854</v>
      </c>
      <c r="L417" s="23">
        <f t="shared" si="36"/>
        <v>2025.25488</v>
      </c>
      <c r="M417" s="39" t="s">
        <v>57</v>
      </c>
    </row>
    <row r="418" s="1" customFormat="1" ht="45" outlineLevel="1" spans="1:13">
      <c r="A418" s="24">
        <v>8</v>
      </c>
      <c r="B418" s="25" t="s">
        <v>54</v>
      </c>
      <c r="C418" s="25" t="s">
        <v>218</v>
      </c>
      <c r="D418" s="26" t="s">
        <v>56</v>
      </c>
      <c r="E418" s="27">
        <v>12</v>
      </c>
      <c r="F418" s="24">
        <v>1.96</v>
      </c>
      <c r="G418" s="29">
        <v>35</v>
      </c>
      <c r="H418" s="29">
        <v>0.5</v>
      </c>
      <c r="I418" s="29">
        <f t="shared" si="33"/>
        <v>3.746</v>
      </c>
      <c r="J418" s="29">
        <f t="shared" si="34"/>
        <v>3.70854</v>
      </c>
      <c r="K418" s="29">
        <f t="shared" si="35"/>
        <v>44.91454</v>
      </c>
      <c r="L418" s="23">
        <f t="shared" si="36"/>
        <v>538.97448</v>
      </c>
      <c r="M418" s="39" t="s">
        <v>57</v>
      </c>
    </row>
    <row r="419" s="1" customFormat="1" ht="33.75" outlineLevel="1" spans="1:13">
      <c r="A419" s="24">
        <v>9</v>
      </c>
      <c r="B419" s="25" t="s">
        <v>219</v>
      </c>
      <c r="C419" s="25" t="s">
        <v>220</v>
      </c>
      <c r="D419" s="26" t="s">
        <v>60</v>
      </c>
      <c r="E419" s="27">
        <v>6</v>
      </c>
      <c r="F419" s="24">
        <v>1.96</v>
      </c>
      <c r="G419" s="29">
        <v>38</v>
      </c>
      <c r="H419" s="29">
        <v>0.5</v>
      </c>
      <c r="I419" s="29">
        <f t="shared" si="33"/>
        <v>4.046</v>
      </c>
      <c r="J419" s="29">
        <f t="shared" si="34"/>
        <v>4.00554</v>
      </c>
      <c r="K419" s="29">
        <f t="shared" si="35"/>
        <v>48.51154</v>
      </c>
      <c r="L419" s="23">
        <f t="shared" si="36"/>
        <v>291.06924</v>
      </c>
      <c r="M419" s="39" t="s">
        <v>57</v>
      </c>
    </row>
    <row r="420" s="1" customFormat="1" ht="33.75" outlineLevel="1" spans="1:13">
      <c r="A420" s="24">
        <v>10</v>
      </c>
      <c r="B420" s="25" t="s">
        <v>58</v>
      </c>
      <c r="C420" s="25" t="s">
        <v>59</v>
      </c>
      <c r="D420" s="26" t="s">
        <v>60</v>
      </c>
      <c r="E420" s="27">
        <v>3</v>
      </c>
      <c r="F420" s="24">
        <v>79.59</v>
      </c>
      <c r="G420" s="24">
        <v>60</v>
      </c>
      <c r="H420" s="29">
        <v>18.2</v>
      </c>
      <c r="I420" s="29">
        <f t="shared" si="33"/>
        <v>15.779</v>
      </c>
      <c r="J420" s="29">
        <f t="shared" si="34"/>
        <v>15.62121</v>
      </c>
      <c r="K420" s="29">
        <f t="shared" si="35"/>
        <v>189.19021</v>
      </c>
      <c r="L420" s="29">
        <f t="shared" si="36"/>
        <v>567.57063</v>
      </c>
      <c r="M420" s="39" t="s">
        <v>61</v>
      </c>
    </row>
    <row r="421" s="1" customFormat="1" ht="33.75" outlineLevel="1" spans="1:13">
      <c r="A421" s="24">
        <v>11</v>
      </c>
      <c r="B421" s="25" t="s">
        <v>58</v>
      </c>
      <c r="C421" s="25" t="s">
        <v>254</v>
      </c>
      <c r="D421" s="26" t="s">
        <v>60</v>
      </c>
      <c r="E421" s="27">
        <v>1</v>
      </c>
      <c r="F421" s="28">
        <v>24.65</v>
      </c>
      <c r="G421" s="24">
        <v>45</v>
      </c>
      <c r="H421" s="29">
        <v>21.86</v>
      </c>
      <c r="I421" s="29">
        <f t="shared" ref="I421:I484" si="37">(F421+G421+H421)*$I$4</f>
        <v>9.151</v>
      </c>
      <c r="J421" s="29">
        <f t="shared" ref="J421:J484" si="38">(F421+G421+H421+I421)*$J$4</f>
        <v>9.05949</v>
      </c>
      <c r="K421" s="29">
        <f t="shared" si="35"/>
        <v>109.72049</v>
      </c>
      <c r="L421" s="29">
        <f t="shared" si="36"/>
        <v>109.72049</v>
      </c>
      <c r="M421" s="39" t="s">
        <v>61</v>
      </c>
    </row>
    <row r="422" s="1" customFormat="1" ht="33.75" outlineLevel="1" spans="1:13">
      <c r="A422" s="24">
        <v>12</v>
      </c>
      <c r="B422" s="25" t="s">
        <v>62</v>
      </c>
      <c r="C422" s="25" t="s">
        <v>63</v>
      </c>
      <c r="D422" s="26" t="s">
        <v>64</v>
      </c>
      <c r="E422" s="27">
        <f>E420</f>
        <v>3</v>
      </c>
      <c r="F422" s="24">
        <v>65.22</v>
      </c>
      <c r="G422" s="24">
        <v>15</v>
      </c>
      <c r="H422" s="29">
        <v>36.25</v>
      </c>
      <c r="I422" s="29">
        <f t="shared" si="37"/>
        <v>11.647</v>
      </c>
      <c r="J422" s="29">
        <f t="shared" si="38"/>
        <v>11.53053</v>
      </c>
      <c r="K422" s="29">
        <f t="shared" si="35"/>
        <v>139.64753</v>
      </c>
      <c r="L422" s="23">
        <f t="shared" si="36"/>
        <v>418.94259</v>
      </c>
      <c r="M422" s="39" t="s">
        <v>61</v>
      </c>
    </row>
    <row r="423" s="1" customFormat="1" ht="33.75" outlineLevel="1" spans="1:13">
      <c r="A423" s="24">
        <v>13</v>
      </c>
      <c r="B423" s="25" t="s">
        <v>62</v>
      </c>
      <c r="C423" s="25" t="s">
        <v>255</v>
      </c>
      <c r="D423" s="26" t="s">
        <v>64</v>
      </c>
      <c r="E423" s="27">
        <v>1</v>
      </c>
      <c r="F423" s="24">
        <v>32.63</v>
      </c>
      <c r="G423" s="24">
        <v>12</v>
      </c>
      <c r="H423" s="29">
        <v>13.65</v>
      </c>
      <c r="I423" s="29">
        <f t="shared" si="37"/>
        <v>5.828</v>
      </c>
      <c r="J423" s="29">
        <f t="shared" si="38"/>
        <v>5.76972</v>
      </c>
      <c r="K423" s="29">
        <f t="shared" si="35"/>
        <v>69.87772</v>
      </c>
      <c r="L423" s="23">
        <f t="shared" si="36"/>
        <v>69.87772</v>
      </c>
      <c r="M423" s="39" t="s">
        <v>61</v>
      </c>
    </row>
    <row r="424" s="1" customFormat="1" ht="45" outlineLevel="1" spans="1:13">
      <c r="A424" s="24">
        <v>14</v>
      </c>
      <c r="B424" s="25" t="s">
        <v>65</v>
      </c>
      <c r="C424" s="25" t="s">
        <v>66</v>
      </c>
      <c r="D424" s="26" t="s">
        <v>60</v>
      </c>
      <c r="E424" s="27">
        <v>2</v>
      </c>
      <c r="F424" s="24">
        <v>19.59</v>
      </c>
      <c r="G424" s="24">
        <v>15</v>
      </c>
      <c r="H424" s="29">
        <v>5.54</v>
      </c>
      <c r="I424" s="29">
        <f t="shared" si="37"/>
        <v>4.013</v>
      </c>
      <c r="J424" s="29">
        <f t="shared" si="38"/>
        <v>3.97287</v>
      </c>
      <c r="K424" s="29">
        <f t="shared" si="35"/>
        <v>48.11587</v>
      </c>
      <c r="L424" s="23">
        <f t="shared" si="36"/>
        <v>96.23174</v>
      </c>
      <c r="M424" s="39" t="s">
        <v>61</v>
      </c>
    </row>
    <row r="425" s="1" customFormat="1" ht="45" outlineLevel="1" spans="1:13">
      <c r="A425" s="24">
        <v>15</v>
      </c>
      <c r="B425" s="25" t="s">
        <v>67</v>
      </c>
      <c r="C425" s="25" t="s">
        <v>68</v>
      </c>
      <c r="D425" s="26" t="s">
        <v>60</v>
      </c>
      <c r="E425" s="27">
        <v>2</v>
      </c>
      <c r="F425" s="28">
        <v>14.37</v>
      </c>
      <c r="G425" s="28">
        <v>25</v>
      </c>
      <c r="H425" s="29">
        <v>6.4</v>
      </c>
      <c r="I425" s="29">
        <f t="shared" si="37"/>
        <v>4.577</v>
      </c>
      <c r="J425" s="29">
        <f t="shared" si="38"/>
        <v>4.53123</v>
      </c>
      <c r="K425" s="29">
        <f t="shared" si="35"/>
        <v>54.87823</v>
      </c>
      <c r="L425" s="23">
        <f t="shared" si="36"/>
        <v>109.75646</v>
      </c>
      <c r="M425" s="39" t="s">
        <v>61</v>
      </c>
    </row>
    <row r="426" s="1" customFormat="1" ht="45" outlineLevel="1" spans="1:13">
      <c r="A426" s="24">
        <v>16</v>
      </c>
      <c r="B426" s="25" t="s">
        <v>69</v>
      </c>
      <c r="C426" s="25" t="s">
        <v>70</v>
      </c>
      <c r="D426" s="26" t="s">
        <v>71</v>
      </c>
      <c r="E426" s="27">
        <v>1</v>
      </c>
      <c r="F426" s="28">
        <v>285</v>
      </c>
      <c r="G426" s="29">
        <v>125</v>
      </c>
      <c r="H426" s="29">
        <v>68.5</v>
      </c>
      <c r="I426" s="29">
        <f t="shared" si="37"/>
        <v>47.85</v>
      </c>
      <c r="J426" s="29">
        <f t="shared" si="38"/>
        <v>47.3715</v>
      </c>
      <c r="K426" s="29">
        <f t="shared" si="35"/>
        <v>573.7215</v>
      </c>
      <c r="L426" s="23">
        <f t="shared" si="36"/>
        <v>573.7215</v>
      </c>
      <c r="M426" s="39"/>
    </row>
    <row r="427" s="1" customFormat="1" outlineLevel="1" spans="1:13">
      <c r="A427" s="24">
        <v>17</v>
      </c>
      <c r="B427" s="25" t="s">
        <v>72</v>
      </c>
      <c r="C427" s="25" t="s">
        <v>73</v>
      </c>
      <c r="D427" s="26" t="s">
        <v>71</v>
      </c>
      <c r="E427" s="27">
        <v>1</v>
      </c>
      <c r="F427" s="24">
        <v>366.15</v>
      </c>
      <c r="G427" s="29">
        <v>0</v>
      </c>
      <c r="H427" s="29">
        <v>185</v>
      </c>
      <c r="I427" s="29">
        <f t="shared" si="37"/>
        <v>55.115</v>
      </c>
      <c r="J427" s="29">
        <f t="shared" si="38"/>
        <v>54.56385</v>
      </c>
      <c r="K427" s="29">
        <f t="shared" si="35"/>
        <v>660.82885</v>
      </c>
      <c r="L427" s="23">
        <f t="shared" si="36"/>
        <v>660.82885</v>
      </c>
      <c r="M427" s="39"/>
    </row>
    <row r="428" s="1" customFormat="1" outlineLevel="1" spans="1:13">
      <c r="A428" s="20" t="s">
        <v>74</v>
      </c>
      <c r="B428" s="21" t="s">
        <v>370</v>
      </c>
      <c r="C428" s="21"/>
      <c r="D428" s="22"/>
      <c r="E428" s="22"/>
      <c r="F428" s="20"/>
      <c r="G428" s="23"/>
      <c r="H428" s="29"/>
      <c r="I428" s="29">
        <f t="shared" si="37"/>
        <v>0</v>
      </c>
      <c r="J428" s="29">
        <f t="shared" si="38"/>
        <v>0</v>
      </c>
      <c r="K428" s="29">
        <f t="shared" si="35"/>
        <v>0</v>
      </c>
      <c r="L428" s="23">
        <f t="shared" si="36"/>
        <v>0</v>
      </c>
      <c r="M428" s="38"/>
    </row>
    <row r="429" s="1" customFormat="1" ht="101.25" outlineLevel="1" spans="1:13">
      <c r="A429" s="24">
        <v>1</v>
      </c>
      <c r="B429" s="25" t="s">
        <v>320</v>
      </c>
      <c r="C429" s="25" t="s">
        <v>321</v>
      </c>
      <c r="D429" s="26" t="s">
        <v>103</v>
      </c>
      <c r="E429" s="26">
        <v>1</v>
      </c>
      <c r="F429" s="24">
        <v>928.1</v>
      </c>
      <c r="G429" s="24">
        <v>4853</v>
      </c>
      <c r="H429" s="29">
        <v>193.9</v>
      </c>
      <c r="I429" s="29">
        <f t="shared" si="37"/>
        <v>597.5</v>
      </c>
      <c r="J429" s="29">
        <f t="shared" si="38"/>
        <v>591.525</v>
      </c>
      <c r="K429" s="29">
        <f t="shared" si="35"/>
        <v>7164.025</v>
      </c>
      <c r="L429" s="23">
        <f t="shared" si="36"/>
        <v>7164.025</v>
      </c>
      <c r="M429" s="39" t="s">
        <v>104</v>
      </c>
    </row>
    <row r="430" s="1" customFormat="1" ht="101.25" outlineLevel="1" spans="1:13">
      <c r="A430" s="24">
        <v>2</v>
      </c>
      <c r="B430" s="25" t="s">
        <v>320</v>
      </c>
      <c r="C430" s="25" t="s">
        <v>322</v>
      </c>
      <c r="D430" s="26" t="s">
        <v>103</v>
      </c>
      <c r="E430" s="26">
        <v>1</v>
      </c>
      <c r="F430" s="24">
        <v>928.1</v>
      </c>
      <c r="G430" s="24">
        <v>5217</v>
      </c>
      <c r="H430" s="29">
        <v>193.9</v>
      </c>
      <c r="I430" s="29">
        <f t="shared" si="37"/>
        <v>633.9</v>
      </c>
      <c r="J430" s="29">
        <f t="shared" si="38"/>
        <v>627.561</v>
      </c>
      <c r="K430" s="29">
        <f t="shared" si="35"/>
        <v>7600.461</v>
      </c>
      <c r="L430" s="23">
        <f t="shared" si="36"/>
        <v>7600.461</v>
      </c>
      <c r="M430" s="39" t="s">
        <v>104</v>
      </c>
    </row>
    <row r="431" s="1" customFormat="1" ht="101.25" outlineLevel="1" spans="1:13">
      <c r="A431" s="24">
        <v>3</v>
      </c>
      <c r="B431" s="25" t="s">
        <v>320</v>
      </c>
      <c r="C431" s="25" t="s">
        <v>371</v>
      </c>
      <c r="D431" s="26" t="s">
        <v>103</v>
      </c>
      <c r="E431" s="26">
        <v>1</v>
      </c>
      <c r="F431" s="24">
        <v>928.1</v>
      </c>
      <c r="G431" s="24">
        <v>6189</v>
      </c>
      <c r="H431" s="29">
        <v>193.9</v>
      </c>
      <c r="I431" s="29">
        <f t="shared" si="37"/>
        <v>731.1</v>
      </c>
      <c r="J431" s="29">
        <f t="shared" si="38"/>
        <v>723.789</v>
      </c>
      <c r="K431" s="29">
        <f t="shared" si="35"/>
        <v>8765.889</v>
      </c>
      <c r="L431" s="23">
        <f t="shared" si="36"/>
        <v>8765.889</v>
      </c>
      <c r="M431" s="39" t="s">
        <v>104</v>
      </c>
    </row>
    <row r="432" s="1" customFormat="1" ht="101.25" outlineLevel="1" spans="1:13">
      <c r="A432" s="24">
        <v>4</v>
      </c>
      <c r="B432" s="25" t="s">
        <v>320</v>
      </c>
      <c r="C432" s="25" t="s">
        <v>372</v>
      </c>
      <c r="D432" s="26" t="s">
        <v>103</v>
      </c>
      <c r="E432" s="26">
        <v>2</v>
      </c>
      <c r="F432" s="24">
        <v>928.1</v>
      </c>
      <c r="G432" s="24">
        <v>4853</v>
      </c>
      <c r="H432" s="29">
        <v>193.9</v>
      </c>
      <c r="I432" s="29">
        <f t="shared" si="37"/>
        <v>597.5</v>
      </c>
      <c r="J432" s="29">
        <f t="shared" si="38"/>
        <v>591.525</v>
      </c>
      <c r="K432" s="29">
        <f t="shared" si="35"/>
        <v>7164.025</v>
      </c>
      <c r="L432" s="23">
        <f t="shared" si="36"/>
        <v>14328.05</v>
      </c>
      <c r="M432" s="39" t="s">
        <v>104</v>
      </c>
    </row>
    <row r="433" s="1" customFormat="1" ht="90" outlineLevel="1" spans="1:13">
      <c r="A433" s="24">
        <v>5</v>
      </c>
      <c r="B433" s="25" t="s">
        <v>323</v>
      </c>
      <c r="C433" s="25" t="s">
        <v>324</v>
      </c>
      <c r="D433" s="26" t="s">
        <v>103</v>
      </c>
      <c r="E433" s="26">
        <v>2</v>
      </c>
      <c r="F433" s="20">
        <v>14.75</v>
      </c>
      <c r="G433" s="24">
        <v>6317</v>
      </c>
      <c r="H433" s="29">
        <v>1.2</v>
      </c>
      <c r="I433" s="29">
        <f t="shared" si="37"/>
        <v>633.295</v>
      </c>
      <c r="J433" s="29">
        <f t="shared" si="38"/>
        <v>626.96205</v>
      </c>
      <c r="K433" s="29">
        <f t="shared" si="35"/>
        <v>7593.20705</v>
      </c>
      <c r="L433" s="23">
        <f t="shared" si="36"/>
        <v>15186.4141</v>
      </c>
      <c r="M433" s="39" t="s">
        <v>325</v>
      </c>
    </row>
    <row r="434" s="1" customFormat="1" ht="90" outlineLevel="1" spans="1:13">
      <c r="A434" s="24">
        <v>6</v>
      </c>
      <c r="B434" s="25" t="s">
        <v>326</v>
      </c>
      <c r="C434" s="25" t="s">
        <v>327</v>
      </c>
      <c r="D434" s="26" t="s">
        <v>103</v>
      </c>
      <c r="E434" s="26">
        <v>4</v>
      </c>
      <c r="F434" s="24">
        <v>14.75</v>
      </c>
      <c r="G434" s="24">
        <v>409</v>
      </c>
      <c r="H434" s="29">
        <v>1.2</v>
      </c>
      <c r="I434" s="29">
        <f t="shared" si="37"/>
        <v>42.495</v>
      </c>
      <c r="J434" s="29">
        <f t="shared" si="38"/>
        <v>42.07005</v>
      </c>
      <c r="K434" s="29">
        <f t="shared" si="35"/>
        <v>509.51505</v>
      </c>
      <c r="L434" s="23">
        <f t="shared" si="36"/>
        <v>2038.0602</v>
      </c>
      <c r="M434" s="39" t="s">
        <v>104</v>
      </c>
    </row>
    <row r="435" s="1" customFormat="1" ht="45" outlineLevel="1" spans="1:13">
      <c r="A435" s="24">
        <v>7</v>
      </c>
      <c r="B435" s="30" t="s">
        <v>114</v>
      </c>
      <c r="C435" s="30" t="s">
        <v>115</v>
      </c>
      <c r="D435" s="31" t="s">
        <v>116</v>
      </c>
      <c r="E435" s="26">
        <v>5.52</v>
      </c>
      <c r="F435" s="24">
        <v>53.22</v>
      </c>
      <c r="G435" s="24">
        <v>132</v>
      </c>
      <c r="H435" s="29">
        <v>24.2</v>
      </c>
      <c r="I435" s="29">
        <f t="shared" si="37"/>
        <v>20.942</v>
      </c>
      <c r="J435" s="29">
        <f t="shared" si="38"/>
        <v>20.73258</v>
      </c>
      <c r="K435" s="29">
        <f t="shared" si="35"/>
        <v>251.09458</v>
      </c>
      <c r="L435" s="23">
        <f t="shared" si="36"/>
        <v>1386.0420816</v>
      </c>
      <c r="M435" s="39"/>
    </row>
    <row r="436" s="1" customFormat="1" ht="112.5" outlineLevel="1" spans="1:13">
      <c r="A436" s="24">
        <v>8</v>
      </c>
      <c r="B436" s="30" t="s">
        <v>117</v>
      </c>
      <c r="C436" s="30" t="s">
        <v>118</v>
      </c>
      <c r="D436" s="31" t="s">
        <v>116</v>
      </c>
      <c r="E436" s="26">
        <v>1.64</v>
      </c>
      <c r="F436" s="24">
        <v>69.69</v>
      </c>
      <c r="G436" s="24">
        <v>36.9</v>
      </c>
      <c r="H436" s="29">
        <v>16.68</v>
      </c>
      <c r="I436" s="29">
        <f t="shared" si="37"/>
        <v>12.327</v>
      </c>
      <c r="J436" s="29">
        <f t="shared" si="38"/>
        <v>12.20373</v>
      </c>
      <c r="K436" s="29">
        <f t="shared" si="35"/>
        <v>147.80073</v>
      </c>
      <c r="L436" s="23">
        <f t="shared" si="36"/>
        <v>242.3931972</v>
      </c>
      <c r="M436" s="39" t="s">
        <v>119</v>
      </c>
    </row>
    <row r="437" s="1" customFormat="1" ht="112.5" outlineLevel="1" spans="1:13">
      <c r="A437" s="24">
        <v>9</v>
      </c>
      <c r="B437" s="30" t="s">
        <v>117</v>
      </c>
      <c r="C437" s="30" t="s">
        <v>260</v>
      </c>
      <c r="D437" s="31" t="s">
        <v>116</v>
      </c>
      <c r="E437" s="26">
        <v>15.19</v>
      </c>
      <c r="F437" s="24">
        <v>69.69</v>
      </c>
      <c r="G437" s="24">
        <v>42.15</v>
      </c>
      <c r="H437" s="29">
        <v>16.68</v>
      </c>
      <c r="I437" s="29">
        <f t="shared" si="37"/>
        <v>12.852</v>
      </c>
      <c r="J437" s="29">
        <f t="shared" si="38"/>
        <v>12.72348</v>
      </c>
      <c r="K437" s="29">
        <f t="shared" si="35"/>
        <v>154.09548</v>
      </c>
      <c r="L437" s="23">
        <f t="shared" si="36"/>
        <v>2340.7103412</v>
      </c>
      <c r="M437" s="39" t="s">
        <v>119</v>
      </c>
    </row>
    <row r="438" s="1" customFormat="1" ht="112.5" outlineLevel="1" spans="1:13">
      <c r="A438" s="24">
        <v>10</v>
      </c>
      <c r="B438" s="30" t="s">
        <v>117</v>
      </c>
      <c r="C438" s="30" t="s">
        <v>373</v>
      </c>
      <c r="D438" s="31" t="s">
        <v>116</v>
      </c>
      <c r="E438" s="26">
        <v>1.55</v>
      </c>
      <c r="F438" s="24">
        <v>69.69</v>
      </c>
      <c r="G438" s="24">
        <v>44</v>
      </c>
      <c r="H438" s="29">
        <v>16.68</v>
      </c>
      <c r="I438" s="29">
        <f t="shared" si="37"/>
        <v>13.037</v>
      </c>
      <c r="J438" s="29">
        <f t="shared" si="38"/>
        <v>12.90663</v>
      </c>
      <c r="K438" s="29">
        <f t="shared" si="35"/>
        <v>156.31363</v>
      </c>
      <c r="L438" s="23">
        <f t="shared" si="36"/>
        <v>242.2861265</v>
      </c>
      <c r="M438" s="39" t="s">
        <v>119</v>
      </c>
    </row>
    <row r="439" s="1" customFormat="1" ht="112.5" outlineLevel="1" spans="1:13">
      <c r="A439" s="24">
        <v>11</v>
      </c>
      <c r="B439" s="30" t="s">
        <v>117</v>
      </c>
      <c r="C439" s="30" t="s">
        <v>120</v>
      </c>
      <c r="D439" s="31" t="s">
        <v>116</v>
      </c>
      <c r="E439" s="26">
        <v>200.31</v>
      </c>
      <c r="F439" s="24">
        <v>44.05</v>
      </c>
      <c r="G439" s="24">
        <v>42.15</v>
      </c>
      <c r="H439" s="29">
        <v>17.18</v>
      </c>
      <c r="I439" s="29">
        <f t="shared" si="37"/>
        <v>10.338</v>
      </c>
      <c r="J439" s="29">
        <f t="shared" si="38"/>
        <v>10.23462</v>
      </c>
      <c r="K439" s="29">
        <f t="shared" si="35"/>
        <v>123.95262</v>
      </c>
      <c r="L439" s="23">
        <f t="shared" si="36"/>
        <v>24828.9493122</v>
      </c>
      <c r="M439" s="39" t="s">
        <v>119</v>
      </c>
    </row>
    <row r="440" s="1" customFormat="1" ht="112.5" outlineLevel="1" spans="1:13">
      <c r="A440" s="24">
        <v>12</v>
      </c>
      <c r="B440" s="30" t="s">
        <v>117</v>
      </c>
      <c r="C440" s="30" t="s">
        <v>261</v>
      </c>
      <c r="D440" s="31" t="s">
        <v>116</v>
      </c>
      <c r="E440" s="26">
        <v>89.91</v>
      </c>
      <c r="F440" s="24">
        <v>46.43</v>
      </c>
      <c r="G440" s="24">
        <v>44</v>
      </c>
      <c r="H440" s="29">
        <v>18.9</v>
      </c>
      <c r="I440" s="29">
        <f t="shared" si="37"/>
        <v>10.933</v>
      </c>
      <c r="J440" s="29">
        <f t="shared" si="38"/>
        <v>10.82367</v>
      </c>
      <c r="K440" s="29">
        <f t="shared" si="35"/>
        <v>131.08667</v>
      </c>
      <c r="L440" s="23">
        <f t="shared" si="36"/>
        <v>11786.0024997</v>
      </c>
      <c r="M440" s="39" t="s">
        <v>119</v>
      </c>
    </row>
    <row r="441" s="1" customFormat="1" ht="112.5" outlineLevel="1" spans="1:13">
      <c r="A441" s="24">
        <v>13</v>
      </c>
      <c r="B441" s="30" t="s">
        <v>117</v>
      </c>
      <c r="C441" s="30" t="s">
        <v>262</v>
      </c>
      <c r="D441" s="31" t="s">
        <v>116</v>
      </c>
      <c r="E441" s="26">
        <v>615.4</v>
      </c>
      <c r="F441" s="24">
        <v>44.05</v>
      </c>
      <c r="G441" s="24">
        <v>42.15</v>
      </c>
      <c r="H441" s="29">
        <v>17.18</v>
      </c>
      <c r="I441" s="29">
        <f t="shared" si="37"/>
        <v>10.338</v>
      </c>
      <c r="J441" s="29">
        <f t="shared" si="38"/>
        <v>10.23462</v>
      </c>
      <c r="K441" s="29">
        <f t="shared" si="35"/>
        <v>123.95262</v>
      </c>
      <c r="L441" s="23">
        <f t="shared" si="36"/>
        <v>76280.442348</v>
      </c>
      <c r="M441" s="39" t="s">
        <v>119</v>
      </c>
    </row>
    <row r="442" s="1" customFormat="1" ht="112.5" outlineLevel="1" spans="1:13">
      <c r="A442" s="24">
        <v>14</v>
      </c>
      <c r="B442" s="30" t="s">
        <v>117</v>
      </c>
      <c r="C442" s="30" t="s">
        <v>328</v>
      </c>
      <c r="D442" s="31" t="s">
        <v>116</v>
      </c>
      <c r="E442" s="26">
        <v>161.1</v>
      </c>
      <c r="F442" s="24">
        <v>45.63</v>
      </c>
      <c r="G442" s="24">
        <v>44</v>
      </c>
      <c r="H442" s="29">
        <v>18.9</v>
      </c>
      <c r="I442" s="29">
        <f t="shared" si="37"/>
        <v>10.853</v>
      </c>
      <c r="J442" s="29">
        <f t="shared" si="38"/>
        <v>10.74447</v>
      </c>
      <c r="K442" s="29">
        <f t="shared" si="35"/>
        <v>130.12747</v>
      </c>
      <c r="L442" s="23">
        <f t="shared" si="36"/>
        <v>20963.535417</v>
      </c>
      <c r="M442" s="39" t="s">
        <v>119</v>
      </c>
    </row>
    <row r="443" s="1" customFormat="1" ht="45" outlineLevel="1" spans="1:13">
      <c r="A443" s="24">
        <v>15</v>
      </c>
      <c r="B443" s="25" t="s">
        <v>329</v>
      </c>
      <c r="C443" s="25" t="s">
        <v>374</v>
      </c>
      <c r="D443" s="26" t="s">
        <v>60</v>
      </c>
      <c r="E443" s="26">
        <v>2</v>
      </c>
      <c r="F443" s="20">
        <v>327.64</v>
      </c>
      <c r="G443" s="20">
        <v>634</v>
      </c>
      <c r="H443" s="29">
        <v>165.2</v>
      </c>
      <c r="I443" s="29">
        <f t="shared" si="37"/>
        <v>112.684</v>
      </c>
      <c r="J443" s="29">
        <f t="shared" si="38"/>
        <v>111.55716</v>
      </c>
      <c r="K443" s="29">
        <f t="shared" si="35"/>
        <v>1351.08116</v>
      </c>
      <c r="L443" s="23">
        <f t="shared" si="36"/>
        <v>2702.16232</v>
      </c>
      <c r="M443" s="38"/>
    </row>
    <row r="444" s="1" customFormat="1" ht="45" outlineLevel="1" spans="1:13">
      <c r="A444" s="24">
        <v>16</v>
      </c>
      <c r="B444" s="25" t="s">
        <v>329</v>
      </c>
      <c r="C444" s="25" t="s">
        <v>375</v>
      </c>
      <c r="D444" s="26" t="s">
        <v>60</v>
      </c>
      <c r="E444" s="26">
        <v>3</v>
      </c>
      <c r="F444" s="20">
        <v>327.64</v>
      </c>
      <c r="G444" s="20">
        <v>570</v>
      </c>
      <c r="H444" s="29">
        <v>165.2</v>
      </c>
      <c r="I444" s="29">
        <f t="shared" si="37"/>
        <v>106.284</v>
      </c>
      <c r="J444" s="29">
        <f t="shared" si="38"/>
        <v>105.22116</v>
      </c>
      <c r="K444" s="29">
        <f t="shared" si="35"/>
        <v>1274.34516</v>
      </c>
      <c r="L444" s="23">
        <f t="shared" si="36"/>
        <v>3823.03548</v>
      </c>
      <c r="M444" s="38"/>
    </row>
    <row r="445" s="1" customFormat="1" ht="56.25" outlineLevel="1" spans="1:13">
      <c r="A445" s="24">
        <v>17</v>
      </c>
      <c r="B445" s="25" t="s">
        <v>123</v>
      </c>
      <c r="C445" s="25" t="s">
        <v>376</v>
      </c>
      <c r="D445" s="26" t="s">
        <v>60</v>
      </c>
      <c r="E445" s="26">
        <v>2</v>
      </c>
      <c r="F445" s="24">
        <v>51.2</v>
      </c>
      <c r="G445" s="24">
        <v>355</v>
      </c>
      <c r="H445" s="29">
        <v>7.42</v>
      </c>
      <c r="I445" s="29">
        <f t="shared" si="37"/>
        <v>41.362</v>
      </c>
      <c r="J445" s="29">
        <f t="shared" si="38"/>
        <v>40.94838</v>
      </c>
      <c r="K445" s="29">
        <f t="shared" si="35"/>
        <v>495.93038</v>
      </c>
      <c r="L445" s="23">
        <f t="shared" si="36"/>
        <v>991.86076</v>
      </c>
      <c r="M445" s="39" t="s">
        <v>104</v>
      </c>
    </row>
    <row r="446" s="1" customFormat="1" ht="56.25" outlineLevel="1" spans="1:13">
      <c r="A446" s="24">
        <v>18</v>
      </c>
      <c r="B446" s="25" t="s">
        <v>123</v>
      </c>
      <c r="C446" s="25" t="s">
        <v>377</v>
      </c>
      <c r="D446" s="26" t="s">
        <v>60</v>
      </c>
      <c r="E446" s="26">
        <v>1</v>
      </c>
      <c r="F446" s="24">
        <v>51.2</v>
      </c>
      <c r="G446" s="24">
        <v>400</v>
      </c>
      <c r="H446" s="29">
        <v>7.42</v>
      </c>
      <c r="I446" s="29">
        <f t="shared" si="37"/>
        <v>45.862</v>
      </c>
      <c r="J446" s="29">
        <f t="shared" si="38"/>
        <v>45.40338</v>
      </c>
      <c r="K446" s="29">
        <f t="shared" si="35"/>
        <v>549.88538</v>
      </c>
      <c r="L446" s="23">
        <f t="shared" si="36"/>
        <v>549.88538</v>
      </c>
      <c r="M446" s="39" t="s">
        <v>104</v>
      </c>
    </row>
    <row r="447" s="1" customFormat="1" ht="45" outlineLevel="1" spans="1:13">
      <c r="A447" s="24">
        <v>19</v>
      </c>
      <c r="B447" s="25" t="s">
        <v>123</v>
      </c>
      <c r="C447" s="25" t="s">
        <v>378</v>
      </c>
      <c r="D447" s="26" t="s">
        <v>60</v>
      </c>
      <c r="E447" s="26">
        <f>3*18</f>
        <v>54</v>
      </c>
      <c r="F447" s="24">
        <v>51.2</v>
      </c>
      <c r="G447" s="24">
        <v>325</v>
      </c>
      <c r="H447" s="29">
        <v>7.42</v>
      </c>
      <c r="I447" s="29">
        <f t="shared" si="37"/>
        <v>38.362</v>
      </c>
      <c r="J447" s="29">
        <f t="shared" si="38"/>
        <v>37.97838</v>
      </c>
      <c r="K447" s="29">
        <f t="shared" si="35"/>
        <v>459.96038</v>
      </c>
      <c r="L447" s="23">
        <f t="shared" si="36"/>
        <v>24837.86052</v>
      </c>
      <c r="M447" s="39" t="s">
        <v>104</v>
      </c>
    </row>
    <row r="448" s="1" customFormat="1" ht="56.25" outlineLevel="1" spans="1:13">
      <c r="A448" s="24">
        <v>20</v>
      </c>
      <c r="B448" s="25" t="s">
        <v>123</v>
      </c>
      <c r="C448" s="25" t="s">
        <v>379</v>
      </c>
      <c r="D448" s="26" t="s">
        <v>60</v>
      </c>
      <c r="E448" s="26">
        <v>9</v>
      </c>
      <c r="F448" s="24">
        <v>51.2</v>
      </c>
      <c r="G448" s="24">
        <v>126</v>
      </c>
      <c r="H448" s="29">
        <v>7.42</v>
      </c>
      <c r="I448" s="29">
        <f t="shared" si="37"/>
        <v>18.462</v>
      </c>
      <c r="J448" s="29">
        <f t="shared" si="38"/>
        <v>18.27738</v>
      </c>
      <c r="K448" s="29">
        <f t="shared" si="35"/>
        <v>221.35938</v>
      </c>
      <c r="L448" s="23">
        <f t="shared" si="36"/>
        <v>1992.23442</v>
      </c>
      <c r="M448" s="39" t="s">
        <v>104</v>
      </c>
    </row>
    <row r="449" s="1" customFormat="1" ht="56.25" outlineLevel="1" spans="1:13">
      <c r="A449" s="24">
        <v>21</v>
      </c>
      <c r="B449" s="25" t="s">
        <v>123</v>
      </c>
      <c r="C449" s="25" t="s">
        <v>380</v>
      </c>
      <c r="D449" s="26" t="s">
        <v>60</v>
      </c>
      <c r="E449" s="26">
        <v>9</v>
      </c>
      <c r="F449" s="24">
        <v>51.2</v>
      </c>
      <c r="G449" s="24">
        <v>159</v>
      </c>
      <c r="H449" s="29">
        <v>7.42</v>
      </c>
      <c r="I449" s="29">
        <f t="shared" si="37"/>
        <v>21.762</v>
      </c>
      <c r="J449" s="29">
        <f t="shared" si="38"/>
        <v>21.54438</v>
      </c>
      <c r="K449" s="29">
        <f t="shared" si="35"/>
        <v>260.92638</v>
      </c>
      <c r="L449" s="23">
        <f t="shared" si="36"/>
        <v>2348.33742</v>
      </c>
      <c r="M449" s="39" t="s">
        <v>104</v>
      </c>
    </row>
    <row r="450" s="1" customFormat="1" ht="45" outlineLevel="1" spans="1:13">
      <c r="A450" s="24">
        <v>22</v>
      </c>
      <c r="B450" s="25" t="s">
        <v>123</v>
      </c>
      <c r="C450" s="25" t="s">
        <v>335</v>
      </c>
      <c r="D450" s="26" t="s">
        <v>60</v>
      </c>
      <c r="E450" s="26">
        <v>4</v>
      </c>
      <c r="F450" s="24">
        <v>51.2</v>
      </c>
      <c r="G450" s="24">
        <v>103</v>
      </c>
      <c r="H450" s="29">
        <v>7.42</v>
      </c>
      <c r="I450" s="29">
        <f t="shared" si="37"/>
        <v>16.162</v>
      </c>
      <c r="J450" s="29">
        <f t="shared" si="38"/>
        <v>16.00038</v>
      </c>
      <c r="K450" s="29">
        <f t="shared" si="35"/>
        <v>193.78238</v>
      </c>
      <c r="L450" s="23">
        <f t="shared" si="36"/>
        <v>775.12952</v>
      </c>
      <c r="M450" s="39" t="s">
        <v>104</v>
      </c>
    </row>
    <row r="451" s="1" customFormat="1" ht="45" outlineLevel="1" spans="1:13">
      <c r="A451" s="24">
        <v>23</v>
      </c>
      <c r="B451" s="25" t="s">
        <v>127</v>
      </c>
      <c r="C451" s="25" t="s">
        <v>381</v>
      </c>
      <c r="D451" s="26" t="s">
        <v>60</v>
      </c>
      <c r="E451" s="26">
        <v>1</v>
      </c>
      <c r="F451" s="24">
        <v>127.67</v>
      </c>
      <c r="G451" s="24">
        <v>107</v>
      </c>
      <c r="H451" s="29">
        <v>19.82</v>
      </c>
      <c r="I451" s="29">
        <f t="shared" si="37"/>
        <v>25.449</v>
      </c>
      <c r="J451" s="29">
        <f t="shared" si="38"/>
        <v>25.19451</v>
      </c>
      <c r="K451" s="29">
        <f t="shared" si="35"/>
        <v>305.13351</v>
      </c>
      <c r="L451" s="23">
        <f t="shared" si="36"/>
        <v>305.13351</v>
      </c>
      <c r="M451" s="39" t="s">
        <v>104</v>
      </c>
    </row>
    <row r="452" s="1" customFormat="1" ht="45" outlineLevel="1" spans="1:13">
      <c r="A452" s="24">
        <v>24</v>
      </c>
      <c r="B452" s="25" t="s">
        <v>127</v>
      </c>
      <c r="C452" s="25" t="s">
        <v>269</v>
      </c>
      <c r="D452" s="26" t="s">
        <v>60</v>
      </c>
      <c r="E452" s="26">
        <v>3</v>
      </c>
      <c r="F452" s="24">
        <v>127.67</v>
      </c>
      <c r="G452" s="24">
        <v>227</v>
      </c>
      <c r="H452" s="29">
        <v>19.82</v>
      </c>
      <c r="I452" s="29">
        <f t="shared" si="37"/>
        <v>37.449</v>
      </c>
      <c r="J452" s="29">
        <f t="shared" si="38"/>
        <v>37.07451</v>
      </c>
      <c r="K452" s="29">
        <f t="shared" si="35"/>
        <v>449.01351</v>
      </c>
      <c r="L452" s="23">
        <f t="shared" si="36"/>
        <v>1347.04053</v>
      </c>
      <c r="M452" s="39" t="s">
        <v>104</v>
      </c>
    </row>
    <row r="453" s="1" customFormat="1" ht="45" outlineLevel="1" spans="1:13">
      <c r="A453" s="24">
        <v>25</v>
      </c>
      <c r="B453" s="25" t="s">
        <v>127</v>
      </c>
      <c r="C453" s="25" t="s">
        <v>336</v>
      </c>
      <c r="D453" s="26" t="s">
        <v>60</v>
      </c>
      <c r="E453" s="26">
        <v>1</v>
      </c>
      <c r="F453" s="24">
        <v>127.67</v>
      </c>
      <c r="G453" s="24">
        <v>266</v>
      </c>
      <c r="H453" s="29">
        <v>19.82</v>
      </c>
      <c r="I453" s="29">
        <f t="shared" si="37"/>
        <v>41.349</v>
      </c>
      <c r="J453" s="29">
        <f t="shared" si="38"/>
        <v>40.93551</v>
      </c>
      <c r="K453" s="29">
        <f t="shared" si="35"/>
        <v>495.77451</v>
      </c>
      <c r="L453" s="23">
        <f t="shared" si="36"/>
        <v>495.77451</v>
      </c>
      <c r="M453" s="39" t="s">
        <v>104</v>
      </c>
    </row>
    <row r="454" s="1" customFormat="1" ht="45" outlineLevel="1" spans="1:13">
      <c r="A454" s="24">
        <v>26</v>
      </c>
      <c r="B454" s="25" t="s">
        <v>127</v>
      </c>
      <c r="C454" s="25" t="s">
        <v>382</v>
      </c>
      <c r="D454" s="26" t="s">
        <v>60</v>
      </c>
      <c r="E454" s="26">
        <v>1</v>
      </c>
      <c r="F454" s="24">
        <v>127.67</v>
      </c>
      <c r="G454" s="24">
        <v>333</v>
      </c>
      <c r="H454" s="29">
        <v>19.82</v>
      </c>
      <c r="I454" s="29">
        <f t="shared" si="37"/>
        <v>48.049</v>
      </c>
      <c r="J454" s="29">
        <f t="shared" si="38"/>
        <v>47.56851</v>
      </c>
      <c r="K454" s="29">
        <f t="shared" ref="K454:K517" si="39">F454+G454+H454+I454+J454</f>
        <v>576.10751</v>
      </c>
      <c r="L454" s="23">
        <f t="shared" ref="L454:L517" si="40">K454*E454</f>
        <v>576.10751</v>
      </c>
      <c r="M454" s="39" t="s">
        <v>104</v>
      </c>
    </row>
    <row r="455" s="1" customFormat="1" ht="45" outlineLevel="1" spans="1:13">
      <c r="A455" s="24">
        <v>27</v>
      </c>
      <c r="B455" s="25" t="s">
        <v>127</v>
      </c>
      <c r="C455" s="25" t="s">
        <v>383</v>
      </c>
      <c r="D455" s="26" t="s">
        <v>60</v>
      </c>
      <c r="E455" s="26">
        <v>1</v>
      </c>
      <c r="F455" s="24">
        <v>127.67</v>
      </c>
      <c r="G455" s="24">
        <v>283</v>
      </c>
      <c r="H455" s="29">
        <v>19.82</v>
      </c>
      <c r="I455" s="29">
        <f t="shared" si="37"/>
        <v>43.049</v>
      </c>
      <c r="J455" s="29">
        <f t="shared" si="38"/>
        <v>42.61851</v>
      </c>
      <c r="K455" s="29">
        <f t="shared" si="39"/>
        <v>516.15751</v>
      </c>
      <c r="L455" s="23">
        <f t="shared" si="40"/>
        <v>516.15751</v>
      </c>
      <c r="M455" s="39" t="s">
        <v>104</v>
      </c>
    </row>
    <row r="456" s="1" customFormat="1" ht="45" outlineLevel="1" spans="1:13">
      <c r="A456" s="24">
        <v>28</v>
      </c>
      <c r="B456" s="25" t="s">
        <v>127</v>
      </c>
      <c r="C456" s="25" t="s">
        <v>384</v>
      </c>
      <c r="D456" s="26" t="s">
        <v>60</v>
      </c>
      <c r="E456" s="26">
        <v>3</v>
      </c>
      <c r="F456" s="24">
        <v>127.67</v>
      </c>
      <c r="G456" s="24">
        <v>243</v>
      </c>
      <c r="H456" s="29">
        <v>19.82</v>
      </c>
      <c r="I456" s="29">
        <f t="shared" si="37"/>
        <v>39.049</v>
      </c>
      <c r="J456" s="29">
        <f t="shared" si="38"/>
        <v>38.65851</v>
      </c>
      <c r="K456" s="29">
        <f t="shared" si="39"/>
        <v>468.19751</v>
      </c>
      <c r="L456" s="23">
        <f t="shared" si="40"/>
        <v>1404.59253</v>
      </c>
      <c r="M456" s="39" t="s">
        <v>104</v>
      </c>
    </row>
    <row r="457" s="1" customFormat="1" ht="45" outlineLevel="1" spans="1:13">
      <c r="A457" s="24">
        <v>29</v>
      </c>
      <c r="B457" s="25" t="s">
        <v>127</v>
      </c>
      <c r="C457" s="25" t="s">
        <v>385</v>
      </c>
      <c r="D457" s="26" t="s">
        <v>60</v>
      </c>
      <c r="E457" s="26">
        <v>5</v>
      </c>
      <c r="F457" s="24">
        <v>127.67</v>
      </c>
      <c r="G457" s="24">
        <v>208</v>
      </c>
      <c r="H457" s="29">
        <v>19.82</v>
      </c>
      <c r="I457" s="29">
        <f t="shared" si="37"/>
        <v>35.549</v>
      </c>
      <c r="J457" s="29">
        <f t="shared" si="38"/>
        <v>35.19351</v>
      </c>
      <c r="K457" s="29">
        <f t="shared" si="39"/>
        <v>426.23251</v>
      </c>
      <c r="L457" s="23">
        <f t="shared" si="40"/>
        <v>2131.16255</v>
      </c>
      <c r="M457" s="39" t="s">
        <v>104</v>
      </c>
    </row>
    <row r="458" s="1" customFormat="1" ht="45" outlineLevel="1" spans="1:13">
      <c r="A458" s="24">
        <v>30</v>
      </c>
      <c r="B458" s="25" t="s">
        <v>127</v>
      </c>
      <c r="C458" s="25" t="s">
        <v>386</v>
      </c>
      <c r="D458" s="26" t="s">
        <v>60</v>
      </c>
      <c r="E458" s="26">
        <v>2</v>
      </c>
      <c r="F458" s="24">
        <v>127.67</v>
      </c>
      <c r="G458" s="24">
        <v>184</v>
      </c>
      <c r="H458" s="29">
        <v>19.82</v>
      </c>
      <c r="I458" s="29">
        <f t="shared" si="37"/>
        <v>33.149</v>
      </c>
      <c r="J458" s="29">
        <f t="shared" si="38"/>
        <v>32.81751</v>
      </c>
      <c r="K458" s="29">
        <f t="shared" si="39"/>
        <v>397.45651</v>
      </c>
      <c r="L458" s="23">
        <f t="shared" si="40"/>
        <v>794.91302</v>
      </c>
      <c r="M458" s="39" t="s">
        <v>104</v>
      </c>
    </row>
    <row r="459" s="1" customFormat="1" ht="45" outlineLevel="1" spans="1:13">
      <c r="A459" s="24">
        <v>31</v>
      </c>
      <c r="B459" s="25" t="s">
        <v>127</v>
      </c>
      <c r="C459" s="25" t="s">
        <v>387</v>
      </c>
      <c r="D459" s="26" t="s">
        <v>60</v>
      </c>
      <c r="E459" s="26">
        <v>1</v>
      </c>
      <c r="F459" s="24">
        <v>127.67</v>
      </c>
      <c r="G459" s="24">
        <v>226</v>
      </c>
      <c r="H459" s="29">
        <v>19.82</v>
      </c>
      <c r="I459" s="29">
        <f t="shared" si="37"/>
        <v>37.349</v>
      </c>
      <c r="J459" s="29">
        <f t="shared" si="38"/>
        <v>36.97551</v>
      </c>
      <c r="K459" s="29">
        <f t="shared" si="39"/>
        <v>447.81451</v>
      </c>
      <c r="L459" s="23">
        <f t="shared" si="40"/>
        <v>447.81451</v>
      </c>
      <c r="M459" s="39" t="s">
        <v>104</v>
      </c>
    </row>
    <row r="460" s="1" customFormat="1" ht="45" outlineLevel="1" spans="1:13">
      <c r="A460" s="24">
        <v>32</v>
      </c>
      <c r="B460" s="25" t="s">
        <v>127</v>
      </c>
      <c r="C460" s="25" t="s">
        <v>388</v>
      </c>
      <c r="D460" s="26" t="s">
        <v>60</v>
      </c>
      <c r="E460" s="26">
        <v>3</v>
      </c>
      <c r="F460" s="24">
        <v>127.67</v>
      </c>
      <c r="G460" s="24">
        <v>258</v>
      </c>
      <c r="H460" s="29">
        <v>19.82</v>
      </c>
      <c r="I460" s="29">
        <f t="shared" si="37"/>
        <v>40.549</v>
      </c>
      <c r="J460" s="29">
        <f t="shared" si="38"/>
        <v>40.14351</v>
      </c>
      <c r="K460" s="29">
        <f t="shared" si="39"/>
        <v>486.18251</v>
      </c>
      <c r="L460" s="23">
        <f t="shared" si="40"/>
        <v>1458.54753</v>
      </c>
      <c r="M460" s="39" t="s">
        <v>104</v>
      </c>
    </row>
    <row r="461" s="1" customFormat="1" ht="45" outlineLevel="1" spans="1:13">
      <c r="A461" s="24">
        <v>33</v>
      </c>
      <c r="B461" s="25" t="s">
        <v>127</v>
      </c>
      <c r="C461" s="25" t="s">
        <v>270</v>
      </c>
      <c r="D461" s="26" t="s">
        <v>60</v>
      </c>
      <c r="E461" s="26">
        <v>3</v>
      </c>
      <c r="F461" s="24">
        <v>30.63</v>
      </c>
      <c r="G461" s="24">
        <v>168</v>
      </c>
      <c r="H461" s="29">
        <v>9.1</v>
      </c>
      <c r="I461" s="29">
        <f t="shared" si="37"/>
        <v>20.773</v>
      </c>
      <c r="J461" s="29">
        <f t="shared" si="38"/>
        <v>20.56527</v>
      </c>
      <c r="K461" s="29">
        <f t="shared" si="39"/>
        <v>249.06827</v>
      </c>
      <c r="L461" s="23">
        <f t="shared" si="40"/>
        <v>747.20481</v>
      </c>
      <c r="M461" s="39" t="s">
        <v>104</v>
      </c>
    </row>
    <row r="462" s="1" customFormat="1" ht="45" outlineLevel="1" spans="1:13">
      <c r="A462" s="24">
        <v>34</v>
      </c>
      <c r="B462" s="25" t="s">
        <v>127</v>
      </c>
      <c r="C462" s="25" t="s">
        <v>389</v>
      </c>
      <c r="D462" s="26" t="s">
        <v>60</v>
      </c>
      <c r="E462" s="26">
        <v>1</v>
      </c>
      <c r="F462" s="24">
        <v>30.63</v>
      </c>
      <c r="G462" s="24">
        <v>185</v>
      </c>
      <c r="H462" s="29">
        <v>9.1</v>
      </c>
      <c r="I462" s="29">
        <f t="shared" si="37"/>
        <v>22.473</v>
      </c>
      <c r="J462" s="29">
        <f t="shared" si="38"/>
        <v>22.24827</v>
      </c>
      <c r="K462" s="29">
        <f t="shared" si="39"/>
        <v>269.45127</v>
      </c>
      <c r="L462" s="23">
        <f t="shared" si="40"/>
        <v>269.45127</v>
      </c>
      <c r="M462" s="39" t="s">
        <v>104</v>
      </c>
    </row>
    <row r="463" s="1" customFormat="1" ht="45" outlineLevel="1" spans="1:13">
      <c r="A463" s="24">
        <v>35</v>
      </c>
      <c r="B463" s="25" t="s">
        <v>127</v>
      </c>
      <c r="C463" s="25" t="s">
        <v>390</v>
      </c>
      <c r="D463" s="26" t="s">
        <v>60</v>
      </c>
      <c r="E463" s="26">
        <v>1</v>
      </c>
      <c r="F463" s="24">
        <v>30.63</v>
      </c>
      <c r="G463" s="24">
        <v>246</v>
      </c>
      <c r="H463" s="29">
        <v>9.1</v>
      </c>
      <c r="I463" s="29">
        <f t="shared" si="37"/>
        <v>28.573</v>
      </c>
      <c r="J463" s="29">
        <f t="shared" si="38"/>
        <v>28.28727</v>
      </c>
      <c r="K463" s="29">
        <f t="shared" si="39"/>
        <v>342.59027</v>
      </c>
      <c r="L463" s="23">
        <f t="shared" si="40"/>
        <v>342.59027</v>
      </c>
      <c r="M463" s="39" t="s">
        <v>104</v>
      </c>
    </row>
    <row r="464" s="1" customFormat="1" ht="45" outlineLevel="1" spans="1:13">
      <c r="A464" s="24">
        <v>36</v>
      </c>
      <c r="B464" s="25" t="s">
        <v>127</v>
      </c>
      <c r="C464" s="25" t="s">
        <v>391</v>
      </c>
      <c r="D464" s="26" t="s">
        <v>60</v>
      </c>
      <c r="E464" s="26">
        <v>1</v>
      </c>
      <c r="F464" s="24">
        <v>31.63</v>
      </c>
      <c r="G464" s="24">
        <v>120</v>
      </c>
      <c r="H464" s="29">
        <v>10.1</v>
      </c>
      <c r="I464" s="29">
        <f t="shared" si="37"/>
        <v>16.173</v>
      </c>
      <c r="J464" s="29">
        <f t="shared" si="38"/>
        <v>16.01127</v>
      </c>
      <c r="K464" s="29">
        <f t="shared" si="39"/>
        <v>193.91427</v>
      </c>
      <c r="L464" s="23">
        <f t="shared" si="40"/>
        <v>193.91427</v>
      </c>
      <c r="M464" s="39" t="s">
        <v>104</v>
      </c>
    </row>
    <row r="465" s="1" customFormat="1" ht="33.75" outlineLevel="1" spans="1:13">
      <c r="A465" s="24">
        <v>37</v>
      </c>
      <c r="B465" s="25" t="s">
        <v>342</v>
      </c>
      <c r="C465" s="25" t="s">
        <v>343</v>
      </c>
      <c r="D465" s="26" t="s">
        <v>60</v>
      </c>
      <c r="E465" s="26">
        <v>5</v>
      </c>
      <c r="F465" s="24">
        <v>32.63</v>
      </c>
      <c r="G465" s="24">
        <v>132</v>
      </c>
      <c r="H465" s="29">
        <v>11.1</v>
      </c>
      <c r="I465" s="29">
        <f t="shared" si="37"/>
        <v>17.573</v>
      </c>
      <c r="J465" s="29">
        <f t="shared" si="38"/>
        <v>17.39727</v>
      </c>
      <c r="K465" s="29">
        <f t="shared" si="39"/>
        <v>210.70027</v>
      </c>
      <c r="L465" s="23">
        <f t="shared" si="40"/>
        <v>1053.50135</v>
      </c>
      <c r="M465" s="39"/>
    </row>
    <row r="466" s="1" customFormat="1" ht="33.75" outlineLevel="1" spans="1:13">
      <c r="A466" s="24">
        <v>38</v>
      </c>
      <c r="B466" s="25" t="s">
        <v>392</v>
      </c>
      <c r="C466" s="25" t="s">
        <v>393</v>
      </c>
      <c r="D466" s="26" t="s">
        <v>60</v>
      </c>
      <c r="E466" s="26">
        <v>62</v>
      </c>
      <c r="F466" s="24">
        <v>35.5</v>
      </c>
      <c r="G466" s="24">
        <v>28</v>
      </c>
      <c r="H466" s="29">
        <v>12.5</v>
      </c>
      <c r="I466" s="29">
        <f t="shared" si="37"/>
        <v>7.6</v>
      </c>
      <c r="J466" s="29">
        <f t="shared" si="38"/>
        <v>7.524</v>
      </c>
      <c r="K466" s="29">
        <f t="shared" si="39"/>
        <v>91.124</v>
      </c>
      <c r="L466" s="23">
        <f t="shared" si="40"/>
        <v>5649.688</v>
      </c>
      <c r="M466" s="39" t="s">
        <v>61</v>
      </c>
    </row>
    <row r="467" s="1" customFormat="1" ht="56.25" outlineLevel="1" spans="1:13">
      <c r="A467" s="24">
        <v>39</v>
      </c>
      <c r="B467" s="25" t="s">
        <v>394</v>
      </c>
      <c r="C467" s="25" t="s">
        <v>395</v>
      </c>
      <c r="D467" s="26" t="s">
        <v>71</v>
      </c>
      <c r="E467" s="27">
        <v>1</v>
      </c>
      <c r="F467" s="24">
        <v>5000</v>
      </c>
      <c r="G467" s="29">
        <v>150</v>
      </c>
      <c r="H467" s="29">
        <v>350</v>
      </c>
      <c r="I467" s="29">
        <f t="shared" si="37"/>
        <v>550</v>
      </c>
      <c r="J467" s="29">
        <f t="shared" si="38"/>
        <v>544.5</v>
      </c>
      <c r="K467" s="29">
        <f t="shared" si="39"/>
        <v>6594.5</v>
      </c>
      <c r="L467" s="23">
        <f t="shared" si="40"/>
        <v>6594.5</v>
      </c>
      <c r="M467" s="39" t="s">
        <v>142</v>
      </c>
    </row>
    <row r="468" s="1" customFormat="1" ht="56.25" outlineLevel="1" spans="1:13">
      <c r="A468" s="24">
        <v>40</v>
      </c>
      <c r="B468" s="25" t="s">
        <v>275</v>
      </c>
      <c r="C468" s="25" t="s">
        <v>304</v>
      </c>
      <c r="D468" s="26" t="s">
        <v>71</v>
      </c>
      <c r="E468" s="26">
        <v>1</v>
      </c>
      <c r="F468" s="20">
        <v>1.38</v>
      </c>
      <c r="G468" s="29">
        <v>2.1</v>
      </c>
      <c r="H468" s="29">
        <v>0.8</v>
      </c>
      <c r="I468" s="29">
        <f t="shared" si="37"/>
        <v>0.428</v>
      </c>
      <c r="J468" s="29">
        <f t="shared" si="38"/>
        <v>0.42372</v>
      </c>
      <c r="K468" s="29">
        <f t="shared" si="39"/>
        <v>5.13172</v>
      </c>
      <c r="L468" s="23">
        <f t="shared" si="40"/>
        <v>5.13172</v>
      </c>
      <c r="M468" s="39" t="s">
        <v>142</v>
      </c>
    </row>
    <row r="469" s="1" customFormat="1" ht="56.25" outlineLevel="1" spans="1:13">
      <c r="A469" s="24">
        <v>41</v>
      </c>
      <c r="B469" s="25" t="s">
        <v>277</v>
      </c>
      <c r="C469" s="25" t="s">
        <v>278</v>
      </c>
      <c r="D469" s="26" t="s">
        <v>71</v>
      </c>
      <c r="E469" s="26">
        <v>1</v>
      </c>
      <c r="F469" s="24">
        <v>6.77</v>
      </c>
      <c r="G469" s="29">
        <v>9.5</v>
      </c>
      <c r="H469" s="29">
        <v>1.2</v>
      </c>
      <c r="I469" s="29">
        <f t="shared" si="37"/>
        <v>1.747</v>
      </c>
      <c r="J469" s="29">
        <f t="shared" si="38"/>
        <v>1.72953</v>
      </c>
      <c r="K469" s="29">
        <f t="shared" si="39"/>
        <v>20.94653</v>
      </c>
      <c r="L469" s="23">
        <f t="shared" si="40"/>
        <v>20.94653</v>
      </c>
      <c r="M469" s="39" t="s">
        <v>142</v>
      </c>
    </row>
    <row r="470" s="1" customFormat="1" ht="56.25" outlineLevel="1" spans="1:13">
      <c r="A470" s="24">
        <v>42</v>
      </c>
      <c r="B470" s="25" t="s">
        <v>279</v>
      </c>
      <c r="C470" s="25" t="s">
        <v>280</v>
      </c>
      <c r="D470" s="26" t="s">
        <v>71</v>
      </c>
      <c r="E470" s="26">
        <v>1</v>
      </c>
      <c r="F470" s="24">
        <v>6.77</v>
      </c>
      <c r="G470" s="29">
        <v>9.5</v>
      </c>
      <c r="H470" s="29">
        <v>1.2</v>
      </c>
      <c r="I470" s="29">
        <f t="shared" si="37"/>
        <v>1.747</v>
      </c>
      <c r="J470" s="29">
        <f t="shared" si="38"/>
        <v>1.72953</v>
      </c>
      <c r="K470" s="29">
        <f t="shared" si="39"/>
        <v>20.94653</v>
      </c>
      <c r="L470" s="23">
        <f t="shared" si="40"/>
        <v>20.94653</v>
      </c>
      <c r="M470" s="39" t="s">
        <v>142</v>
      </c>
    </row>
    <row r="471" s="1" customFormat="1" outlineLevel="1" spans="1:13">
      <c r="A471" s="20" t="s">
        <v>99</v>
      </c>
      <c r="B471" s="21" t="s">
        <v>396</v>
      </c>
      <c r="C471" s="21"/>
      <c r="D471" s="22"/>
      <c r="E471" s="22"/>
      <c r="F471" s="20"/>
      <c r="G471" s="29"/>
      <c r="H471" s="29"/>
      <c r="I471" s="29">
        <f t="shared" si="37"/>
        <v>0</v>
      </c>
      <c r="J471" s="29">
        <f t="shared" si="38"/>
        <v>0</v>
      </c>
      <c r="K471" s="29">
        <f t="shared" si="39"/>
        <v>0</v>
      </c>
      <c r="L471" s="23">
        <f t="shared" si="40"/>
        <v>0</v>
      </c>
      <c r="M471" s="38"/>
    </row>
    <row r="472" s="1" customFormat="1" ht="56.25" outlineLevel="1" spans="1:13">
      <c r="A472" s="24">
        <v>1</v>
      </c>
      <c r="B472" s="25" t="s">
        <v>154</v>
      </c>
      <c r="C472" s="25" t="s">
        <v>349</v>
      </c>
      <c r="D472" s="26" t="s">
        <v>42</v>
      </c>
      <c r="E472" s="27">
        <f>93.05+47.6+(2.95*18+3)*2</f>
        <v>252.85</v>
      </c>
      <c r="F472" s="28">
        <v>0.92</v>
      </c>
      <c r="G472" s="29">
        <v>2.57</v>
      </c>
      <c r="H472" s="29">
        <v>0.85</v>
      </c>
      <c r="I472" s="29">
        <f t="shared" si="37"/>
        <v>0.434</v>
      </c>
      <c r="J472" s="29">
        <f t="shared" si="38"/>
        <v>0.42966</v>
      </c>
      <c r="K472" s="29">
        <f t="shared" si="39"/>
        <v>5.20366</v>
      </c>
      <c r="L472" s="23">
        <f t="shared" si="40"/>
        <v>1315.745431</v>
      </c>
      <c r="M472" s="39" t="s">
        <v>142</v>
      </c>
    </row>
    <row r="473" s="1" customFormat="1" ht="56.25" outlineLevel="1" spans="1:13">
      <c r="A473" s="24">
        <v>2</v>
      </c>
      <c r="B473" s="25" t="s">
        <v>154</v>
      </c>
      <c r="C473" s="25" t="s">
        <v>206</v>
      </c>
      <c r="D473" s="26" t="s">
        <v>42</v>
      </c>
      <c r="E473" s="27">
        <f>E472*2</f>
        <v>505.7</v>
      </c>
      <c r="F473" s="28">
        <v>0.92</v>
      </c>
      <c r="G473" s="29">
        <v>1.93</v>
      </c>
      <c r="H473" s="29">
        <v>0.85</v>
      </c>
      <c r="I473" s="29">
        <f t="shared" si="37"/>
        <v>0.37</v>
      </c>
      <c r="J473" s="29">
        <f t="shared" si="38"/>
        <v>0.3663</v>
      </c>
      <c r="K473" s="29">
        <f t="shared" si="39"/>
        <v>4.4363</v>
      </c>
      <c r="L473" s="23">
        <f t="shared" si="40"/>
        <v>2243.43691</v>
      </c>
      <c r="M473" s="39" t="s">
        <v>142</v>
      </c>
    </row>
    <row r="474" s="1" customFormat="1" ht="33.75" outlineLevel="1" spans="1:13">
      <c r="A474" s="24">
        <v>3</v>
      </c>
      <c r="B474" s="25" t="s">
        <v>157</v>
      </c>
      <c r="C474" s="25" t="s">
        <v>306</v>
      </c>
      <c r="D474" s="26" t="s">
        <v>60</v>
      </c>
      <c r="E474" s="27">
        <v>4</v>
      </c>
      <c r="F474" s="24">
        <v>265.43</v>
      </c>
      <c r="G474" s="29">
        <v>116</v>
      </c>
      <c r="H474" s="29">
        <v>16.5</v>
      </c>
      <c r="I474" s="29">
        <f t="shared" si="37"/>
        <v>39.793</v>
      </c>
      <c r="J474" s="29">
        <f t="shared" si="38"/>
        <v>39.39507</v>
      </c>
      <c r="K474" s="29">
        <f t="shared" si="39"/>
        <v>477.11807</v>
      </c>
      <c r="L474" s="23">
        <f t="shared" si="40"/>
        <v>1908.47228</v>
      </c>
      <c r="M474" s="39" t="s">
        <v>159</v>
      </c>
    </row>
    <row r="475" s="1" customFormat="1" outlineLevel="1" spans="1:13">
      <c r="A475" s="20" t="s">
        <v>152</v>
      </c>
      <c r="B475" s="21" t="s">
        <v>397</v>
      </c>
      <c r="C475" s="21"/>
      <c r="D475" s="26"/>
      <c r="E475" s="27"/>
      <c r="F475" s="24"/>
      <c r="G475" s="29"/>
      <c r="H475" s="29"/>
      <c r="I475" s="29">
        <f t="shared" si="37"/>
        <v>0</v>
      </c>
      <c r="J475" s="29">
        <f t="shared" si="38"/>
        <v>0</v>
      </c>
      <c r="K475" s="29">
        <f t="shared" si="39"/>
        <v>0</v>
      </c>
      <c r="L475" s="23">
        <f t="shared" si="40"/>
        <v>0</v>
      </c>
      <c r="M475" s="39"/>
    </row>
    <row r="476" s="1" customFormat="1" ht="56.25" outlineLevel="1" spans="1:13">
      <c r="A476" s="24">
        <v>1</v>
      </c>
      <c r="B476" s="25" t="s">
        <v>154</v>
      </c>
      <c r="C476" s="25" t="s">
        <v>351</v>
      </c>
      <c r="D476" s="26" t="s">
        <v>42</v>
      </c>
      <c r="E476" s="27">
        <f>93.05+47.6+(2.95*1+3)*2</f>
        <v>152.55</v>
      </c>
      <c r="F476" s="28">
        <v>0.92</v>
      </c>
      <c r="G476" s="29">
        <v>2.04</v>
      </c>
      <c r="H476" s="29">
        <v>0.85</v>
      </c>
      <c r="I476" s="29">
        <f t="shared" si="37"/>
        <v>0.381</v>
      </c>
      <c r="J476" s="29">
        <f t="shared" si="38"/>
        <v>0.37719</v>
      </c>
      <c r="K476" s="29">
        <f t="shared" si="39"/>
        <v>4.56819</v>
      </c>
      <c r="L476" s="23">
        <f t="shared" si="40"/>
        <v>696.8773845</v>
      </c>
      <c r="M476" s="39" t="s">
        <v>142</v>
      </c>
    </row>
    <row r="477" s="1" customFormat="1" ht="33.75" outlineLevel="1" spans="1:13">
      <c r="A477" s="24">
        <v>2</v>
      </c>
      <c r="B477" s="25" t="s">
        <v>157</v>
      </c>
      <c r="C477" s="25" t="s">
        <v>163</v>
      </c>
      <c r="D477" s="26" t="s">
        <v>60</v>
      </c>
      <c r="E477" s="27">
        <v>2</v>
      </c>
      <c r="F477" s="24">
        <v>285.43</v>
      </c>
      <c r="G477" s="29">
        <v>78.4</v>
      </c>
      <c r="H477" s="29">
        <v>66.5</v>
      </c>
      <c r="I477" s="29">
        <f t="shared" si="37"/>
        <v>43.033</v>
      </c>
      <c r="J477" s="29">
        <f t="shared" si="38"/>
        <v>42.60267</v>
      </c>
      <c r="K477" s="29">
        <f t="shared" si="39"/>
        <v>515.96567</v>
      </c>
      <c r="L477" s="23">
        <f t="shared" si="40"/>
        <v>1031.93134</v>
      </c>
      <c r="M477" s="39" t="s">
        <v>159</v>
      </c>
    </row>
    <row r="478" s="1" customFormat="1" ht="22.5" outlineLevel="1" spans="1:13">
      <c r="A478" s="20" t="s">
        <v>160</v>
      </c>
      <c r="B478" s="21" t="s">
        <v>398</v>
      </c>
      <c r="C478" s="21"/>
      <c r="D478" s="22"/>
      <c r="E478" s="22"/>
      <c r="F478" s="20"/>
      <c r="G478" s="29"/>
      <c r="H478" s="29"/>
      <c r="I478" s="29">
        <f t="shared" si="37"/>
        <v>0</v>
      </c>
      <c r="J478" s="29">
        <f t="shared" si="38"/>
        <v>0</v>
      </c>
      <c r="K478" s="29">
        <f t="shared" si="39"/>
        <v>0</v>
      </c>
      <c r="L478" s="23">
        <f t="shared" si="40"/>
        <v>0</v>
      </c>
      <c r="M478" s="38"/>
    </row>
    <row r="479" s="1" customFormat="1" ht="67.5" outlineLevel="1" spans="1:13">
      <c r="A479" s="24">
        <v>1</v>
      </c>
      <c r="B479" s="25" t="s">
        <v>154</v>
      </c>
      <c r="C479" s="25" t="s">
        <v>353</v>
      </c>
      <c r="D479" s="26" t="s">
        <v>42</v>
      </c>
      <c r="E479" s="27">
        <f>(93.05+47.6+(2.95+3)*2)*2</f>
        <v>305.1</v>
      </c>
      <c r="F479" s="28">
        <v>0.92</v>
      </c>
      <c r="G479" s="29">
        <v>2.14</v>
      </c>
      <c r="H479" s="29">
        <v>0.85</v>
      </c>
      <c r="I479" s="29">
        <f t="shared" si="37"/>
        <v>0.391</v>
      </c>
      <c r="J479" s="29">
        <f t="shared" si="38"/>
        <v>0.38709</v>
      </c>
      <c r="K479" s="29">
        <f t="shared" si="39"/>
        <v>4.68809</v>
      </c>
      <c r="L479" s="23">
        <f t="shared" si="40"/>
        <v>1430.336259</v>
      </c>
      <c r="M479" s="39" t="s">
        <v>142</v>
      </c>
    </row>
    <row r="480" s="1" customFormat="1" ht="67.5" outlineLevel="1" spans="1:13">
      <c r="A480" s="24">
        <v>2</v>
      </c>
      <c r="B480" s="25" t="s">
        <v>154</v>
      </c>
      <c r="C480" s="25" t="s">
        <v>167</v>
      </c>
      <c r="D480" s="26" t="s">
        <v>42</v>
      </c>
      <c r="E480" s="27">
        <f>E479</f>
        <v>305.1</v>
      </c>
      <c r="F480" s="28">
        <v>0.92</v>
      </c>
      <c r="G480" s="29">
        <v>2.82</v>
      </c>
      <c r="H480" s="29">
        <v>0.85</v>
      </c>
      <c r="I480" s="29">
        <f t="shared" si="37"/>
        <v>0.459</v>
      </c>
      <c r="J480" s="29">
        <f t="shared" si="38"/>
        <v>0.45441</v>
      </c>
      <c r="K480" s="29">
        <f t="shared" si="39"/>
        <v>5.50341</v>
      </c>
      <c r="L480" s="23">
        <f t="shared" si="40"/>
        <v>1679.090391</v>
      </c>
      <c r="M480" s="39" t="s">
        <v>142</v>
      </c>
    </row>
    <row r="481" s="1" customFormat="1" ht="67.5" outlineLevel="1" spans="1:13">
      <c r="A481" s="24">
        <v>3</v>
      </c>
      <c r="B481" s="25" t="s">
        <v>154</v>
      </c>
      <c r="C481" s="25" t="s">
        <v>354</v>
      </c>
      <c r="D481" s="26" t="s">
        <v>42</v>
      </c>
      <c r="E481" s="27">
        <f>(93.05+47.6+(2.95+3)*2)</f>
        <v>152.55</v>
      </c>
      <c r="F481" s="28">
        <v>0.92</v>
      </c>
      <c r="G481" s="29">
        <v>2.57</v>
      </c>
      <c r="H481" s="29">
        <v>0.85</v>
      </c>
      <c r="I481" s="29">
        <f t="shared" si="37"/>
        <v>0.434</v>
      </c>
      <c r="J481" s="29">
        <f t="shared" si="38"/>
        <v>0.42966</v>
      </c>
      <c r="K481" s="29">
        <f t="shared" si="39"/>
        <v>5.20366</v>
      </c>
      <c r="L481" s="23">
        <f t="shared" si="40"/>
        <v>793.818333</v>
      </c>
      <c r="M481" s="39" t="s">
        <v>142</v>
      </c>
    </row>
    <row r="482" s="1" customFormat="1" ht="67.5" outlineLevel="1" spans="1:13">
      <c r="A482" s="24">
        <v>4</v>
      </c>
      <c r="B482" s="25" t="s">
        <v>154</v>
      </c>
      <c r="C482" s="25" t="s">
        <v>355</v>
      </c>
      <c r="D482" s="26" t="s">
        <v>42</v>
      </c>
      <c r="E482" s="27">
        <f>(93.05+47.6+(2.95+3)*2)</f>
        <v>152.55</v>
      </c>
      <c r="F482" s="28">
        <v>0.92</v>
      </c>
      <c r="G482" s="29">
        <v>2.57</v>
      </c>
      <c r="H482" s="29">
        <v>0.85</v>
      </c>
      <c r="I482" s="29">
        <f t="shared" si="37"/>
        <v>0.434</v>
      </c>
      <c r="J482" s="29">
        <f t="shared" si="38"/>
        <v>0.42966</v>
      </c>
      <c r="K482" s="29">
        <f t="shared" si="39"/>
        <v>5.20366</v>
      </c>
      <c r="L482" s="23">
        <f t="shared" si="40"/>
        <v>793.818333</v>
      </c>
      <c r="M482" s="39" t="s">
        <v>142</v>
      </c>
    </row>
    <row r="483" s="1" customFormat="1" ht="67.5" outlineLevel="1" spans="1:13">
      <c r="A483" s="24">
        <v>5</v>
      </c>
      <c r="B483" s="25" t="s">
        <v>154</v>
      </c>
      <c r="C483" s="25" t="s">
        <v>170</v>
      </c>
      <c r="D483" s="26" t="s">
        <v>42</v>
      </c>
      <c r="E483" s="27">
        <v>1165.26</v>
      </c>
      <c r="F483" s="28">
        <v>0.92</v>
      </c>
      <c r="G483" s="29">
        <v>2.04</v>
      </c>
      <c r="H483" s="29">
        <v>0.85</v>
      </c>
      <c r="I483" s="29">
        <f t="shared" si="37"/>
        <v>0.381</v>
      </c>
      <c r="J483" s="29">
        <f t="shared" si="38"/>
        <v>0.37719</v>
      </c>
      <c r="K483" s="29">
        <f t="shared" si="39"/>
        <v>4.56819</v>
      </c>
      <c r="L483" s="23">
        <f t="shared" si="40"/>
        <v>5323.1290794</v>
      </c>
      <c r="M483" s="39" t="s">
        <v>142</v>
      </c>
    </row>
    <row r="484" s="1" customFormat="1" ht="67.5" outlineLevel="1" spans="1:13">
      <c r="A484" s="24">
        <v>6</v>
      </c>
      <c r="B484" s="25" t="s">
        <v>154</v>
      </c>
      <c r="C484" s="25" t="s">
        <v>310</v>
      </c>
      <c r="D484" s="26" t="s">
        <v>42</v>
      </c>
      <c r="E484" s="27">
        <v>1545.19</v>
      </c>
      <c r="F484" s="28">
        <v>0.92</v>
      </c>
      <c r="G484" s="29">
        <v>1.93</v>
      </c>
      <c r="H484" s="29">
        <v>0.85</v>
      </c>
      <c r="I484" s="29">
        <f t="shared" si="37"/>
        <v>0.37</v>
      </c>
      <c r="J484" s="29">
        <f t="shared" si="38"/>
        <v>0.3663</v>
      </c>
      <c r="K484" s="29">
        <f t="shared" si="39"/>
        <v>4.4363</v>
      </c>
      <c r="L484" s="23">
        <f t="shared" si="40"/>
        <v>6854.926397</v>
      </c>
      <c r="M484" s="39" t="s">
        <v>142</v>
      </c>
    </row>
    <row r="485" s="1" customFormat="1" ht="67.5" outlineLevel="1" spans="1:13">
      <c r="A485" s="24">
        <v>7</v>
      </c>
      <c r="B485" s="25" t="s">
        <v>154</v>
      </c>
      <c r="C485" s="25" t="s">
        <v>356</v>
      </c>
      <c r="D485" s="26" t="s">
        <v>42</v>
      </c>
      <c r="E485" s="27">
        <v>353.27</v>
      </c>
      <c r="F485" s="28">
        <v>0.92</v>
      </c>
      <c r="G485" s="29">
        <v>2.57</v>
      </c>
      <c r="H485" s="29">
        <v>0.85</v>
      </c>
      <c r="I485" s="29">
        <f t="shared" ref="I485:I548" si="41">(F485+G485+H485)*$I$4</f>
        <v>0.434</v>
      </c>
      <c r="J485" s="29">
        <f t="shared" ref="J485:J548" si="42">(F485+G485+H485+I485)*$J$4</f>
        <v>0.42966</v>
      </c>
      <c r="K485" s="29">
        <f t="shared" si="39"/>
        <v>5.20366</v>
      </c>
      <c r="L485" s="23">
        <f t="shared" si="40"/>
        <v>1838.2969682</v>
      </c>
      <c r="M485" s="39" t="s">
        <v>142</v>
      </c>
    </row>
    <row r="486" s="1" customFormat="1" ht="67.5" outlineLevel="1" spans="1:13">
      <c r="A486" s="24">
        <v>8</v>
      </c>
      <c r="B486" s="25" t="s">
        <v>154</v>
      </c>
      <c r="C486" s="25" t="s">
        <v>357</v>
      </c>
      <c r="D486" s="26" t="s">
        <v>42</v>
      </c>
      <c r="E486" s="27">
        <v>277.42</v>
      </c>
      <c r="F486" s="28">
        <v>0.92</v>
      </c>
      <c r="G486" s="29">
        <v>2.57</v>
      </c>
      <c r="H486" s="29">
        <v>0.85</v>
      </c>
      <c r="I486" s="29">
        <f t="shared" si="41"/>
        <v>0.434</v>
      </c>
      <c r="J486" s="29">
        <f t="shared" si="42"/>
        <v>0.42966</v>
      </c>
      <c r="K486" s="29">
        <f t="shared" si="39"/>
        <v>5.20366</v>
      </c>
      <c r="L486" s="23">
        <f t="shared" si="40"/>
        <v>1443.5993572</v>
      </c>
      <c r="M486" s="39" t="s">
        <v>142</v>
      </c>
    </row>
    <row r="487" s="1" customFormat="1" ht="33.75" outlineLevel="1" spans="1:13">
      <c r="A487" s="24">
        <v>9</v>
      </c>
      <c r="B487" s="25" t="s">
        <v>174</v>
      </c>
      <c r="C487" s="25" t="s">
        <v>175</v>
      </c>
      <c r="D487" s="26" t="s">
        <v>60</v>
      </c>
      <c r="E487" s="27">
        <v>38</v>
      </c>
      <c r="F487" s="28">
        <v>192.41</v>
      </c>
      <c r="G487" s="28">
        <v>26.6</v>
      </c>
      <c r="H487" s="29">
        <v>10.12</v>
      </c>
      <c r="I487" s="29">
        <f t="shared" si="41"/>
        <v>22.913</v>
      </c>
      <c r="J487" s="29">
        <f t="shared" si="42"/>
        <v>22.68387</v>
      </c>
      <c r="K487" s="29">
        <f t="shared" si="39"/>
        <v>274.72687</v>
      </c>
      <c r="L487" s="23">
        <f t="shared" si="40"/>
        <v>10439.62106</v>
      </c>
      <c r="M487" s="39" t="s">
        <v>159</v>
      </c>
    </row>
    <row r="488" s="1" customFormat="1" ht="33.75" outlineLevel="1" spans="1:13">
      <c r="A488" s="24">
        <v>10</v>
      </c>
      <c r="B488" s="25" t="s">
        <v>176</v>
      </c>
      <c r="C488" s="25" t="s">
        <v>177</v>
      </c>
      <c r="D488" s="26" t="s">
        <v>60</v>
      </c>
      <c r="E488" s="27">
        <v>161</v>
      </c>
      <c r="F488" s="28">
        <v>37.21</v>
      </c>
      <c r="G488" s="28">
        <v>19.2</v>
      </c>
      <c r="H488" s="29">
        <v>2.21</v>
      </c>
      <c r="I488" s="29">
        <f t="shared" si="41"/>
        <v>5.862</v>
      </c>
      <c r="J488" s="29">
        <f t="shared" si="42"/>
        <v>5.80338</v>
      </c>
      <c r="K488" s="29">
        <f t="shared" si="39"/>
        <v>70.28538</v>
      </c>
      <c r="L488" s="23">
        <f t="shared" si="40"/>
        <v>11315.94618</v>
      </c>
      <c r="M488" s="39" t="s">
        <v>159</v>
      </c>
    </row>
    <row r="489" s="1" customFormat="1" ht="45" outlineLevel="1" spans="1:13">
      <c r="A489" s="24">
        <v>11</v>
      </c>
      <c r="B489" s="25" t="s">
        <v>180</v>
      </c>
      <c r="C489" s="25" t="s">
        <v>181</v>
      </c>
      <c r="D489" s="26" t="s">
        <v>60</v>
      </c>
      <c r="E489" s="27">
        <v>55</v>
      </c>
      <c r="F489" s="28">
        <v>65.22</v>
      </c>
      <c r="G489" s="28">
        <v>26.92</v>
      </c>
      <c r="H489" s="29">
        <v>4.5</v>
      </c>
      <c r="I489" s="29">
        <f t="shared" si="41"/>
        <v>9.664</v>
      </c>
      <c r="J489" s="29">
        <f t="shared" si="42"/>
        <v>9.56736</v>
      </c>
      <c r="K489" s="29">
        <f t="shared" si="39"/>
        <v>115.87136</v>
      </c>
      <c r="L489" s="23">
        <f t="shared" si="40"/>
        <v>6372.9248</v>
      </c>
      <c r="M489" s="39" t="s">
        <v>159</v>
      </c>
    </row>
    <row r="490" s="1" customFormat="1" ht="33.75" outlineLevel="1" spans="1:13">
      <c r="A490" s="24">
        <v>12</v>
      </c>
      <c r="B490" s="25" t="s">
        <v>182</v>
      </c>
      <c r="C490" s="25" t="s">
        <v>183</v>
      </c>
      <c r="D490" s="26" t="s">
        <v>60</v>
      </c>
      <c r="E490" s="27">
        <v>55</v>
      </c>
      <c r="F490" s="28">
        <v>78.12</v>
      </c>
      <c r="G490" s="28">
        <v>30.08</v>
      </c>
      <c r="H490" s="29">
        <v>3.62</v>
      </c>
      <c r="I490" s="29">
        <f t="shared" si="41"/>
        <v>11.182</v>
      </c>
      <c r="J490" s="29">
        <f t="shared" si="42"/>
        <v>11.07018</v>
      </c>
      <c r="K490" s="29">
        <f t="shared" si="39"/>
        <v>134.07218</v>
      </c>
      <c r="L490" s="23">
        <f t="shared" si="40"/>
        <v>7373.9699</v>
      </c>
      <c r="M490" s="39" t="s">
        <v>159</v>
      </c>
    </row>
    <row r="491" s="1" customFormat="1" ht="33.75" outlineLevel="1" spans="1:13">
      <c r="A491" s="24">
        <v>13</v>
      </c>
      <c r="B491" s="25" t="s">
        <v>184</v>
      </c>
      <c r="C491" s="25" t="s">
        <v>185</v>
      </c>
      <c r="D491" s="26" t="s">
        <v>60</v>
      </c>
      <c r="E491" s="27">
        <v>38</v>
      </c>
      <c r="F491" s="28">
        <v>195.64</v>
      </c>
      <c r="G491" s="28">
        <v>22.56</v>
      </c>
      <c r="H491" s="29">
        <v>7.17</v>
      </c>
      <c r="I491" s="29">
        <f t="shared" si="41"/>
        <v>22.537</v>
      </c>
      <c r="J491" s="29">
        <f t="shared" si="42"/>
        <v>22.31163</v>
      </c>
      <c r="K491" s="29">
        <f t="shared" si="39"/>
        <v>270.21863</v>
      </c>
      <c r="L491" s="23">
        <f t="shared" si="40"/>
        <v>10268.30794</v>
      </c>
      <c r="M491" s="39" t="s">
        <v>159</v>
      </c>
    </row>
    <row r="492" s="1" customFormat="1" ht="33.75" outlineLevel="1" spans="1:13">
      <c r="A492" s="24">
        <v>14</v>
      </c>
      <c r="B492" s="25" t="s">
        <v>186</v>
      </c>
      <c r="C492" s="25" t="s">
        <v>187</v>
      </c>
      <c r="D492" s="26" t="s">
        <v>60</v>
      </c>
      <c r="E492" s="27">
        <v>92</v>
      </c>
      <c r="F492" s="28">
        <v>48.37</v>
      </c>
      <c r="G492" s="28">
        <v>19.4</v>
      </c>
      <c r="H492" s="29">
        <v>3.2</v>
      </c>
      <c r="I492" s="29">
        <f t="shared" si="41"/>
        <v>7.097</v>
      </c>
      <c r="J492" s="29">
        <f t="shared" si="42"/>
        <v>7.02603</v>
      </c>
      <c r="K492" s="29">
        <f t="shared" si="39"/>
        <v>85.09303</v>
      </c>
      <c r="L492" s="23">
        <f t="shared" si="40"/>
        <v>7828.55876</v>
      </c>
      <c r="M492" s="39" t="s">
        <v>159</v>
      </c>
    </row>
    <row r="493" s="1" customFormat="1" ht="33.75" outlineLevel="1" spans="1:13">
      <c r="A493" s="24">
        <v>15</v>
      </c>
      <c r="B493" s="25" t="s">
        <v>188</v>
      </c>
      <c r="C493" s="25" t="s">
        <v>189</v>
      </c>
      <c r="D493" s="26" t="s">
        <v>60</v>
      </c>
      <c r="E493" s="27">
        <v>2</v>
      </c>
      <c r="F493" s="28">
        <v>50.98</v>
      </c>
      <c r="G493" s="28">
        <v>46.66</v>
      </c>
      <c r="H493" s="29">
        <v>30.84</v>
      </c>
      <c r="I493" s="29">
        <f t="shared" si="41"/>
        <v>12.848</v>
      </c>
      <c r="J493" s="29">
        <f t="shared" si="42"/>
        <v>12.71952</v>
      </c>
      <c r="K493" s="29">
        <f t="shared" si="39"/>
        <v>154.04752</v>
      </c>
      <c r="L493" s="23">
        <f t="shared" si="40"/>
        <v>308.09504</v>
      </c>
      <c r="M493" s="39" t="s">
        <v>159</v>
      </c>
    </row>
    <row r="494" s="1" customFormat="1" ht="33.75" outlineLevel="1" spans="1:13">
      <c r="A494" s="24">
        <v>16</v>
      </c>
      <c r="B494" s="25" t="s">
        <v>192</v>
      </c>
      <c r="C494" s="25" t="s">
        <v>193</v>
      </c>
      <c r="D494" s="26" t="s">
        <v>60</v>
      </c>
      <c r="E494" s="27">
        <v>103</v>
      </c>
      <c r="F494" s="28">
        <v>254.48</v>
      </c>
      <c r="G494" s="28">
        <v>21.15</v>
      </c>
      <c r="H494" s="29">
        <v>10.26</v>
      </c>
      <c r="I494" s="29">
        <f t="shared" si="41"/>
        <v>28.589</v>
      </c>
      <c r="J494" s="29">
        <f t="shared" si="42"/>
        <v>28.30311</v>
      </c>
      <c r="K494" s="29">
        <f t="shared" si="39"/>
        <v>342.78211</v>
      </c>
      <c r="L494" s="23">
        <f t="shared" si="40"/>
        <v>35306.55733</v>
      </c>
      <c r="M494" s="39" t="s">
        <v>159</v>
      </c>
    </row>
    <row r="495" s="1" customFormat="1" ht="33.75" outlineLevel="1" spans="1:13">
      <c r="A495" s="24">
        <v>17</v>
      </c>
      <c r="B495" s="25" t="s">
        <v>190</v>
      </c>
      <c r="C495" s="25" t="s">
        <v>191</v>
      </c>
      <c r="D495" s="26" t="s">
        <v>60</v>
      </c>
      <c r="E495" s="27">
        <v>4</v>
      </c>
      <c r="F495" s="28">
        <v>212.47</v>
      </c>
      <c r="G495" s="28">
        <v>15.04</v>
      </c>
      <c r="H495" s="29">
        <v>7.1</v>
      </c>
      <c r="I495" s="29">
        <f t="shared" si="41"/>
        <v>23.461</v>
      </c>
      <c r="J495" s="29">
        <f t="shared" si="42"/>
        <v>23.22639</v>
      </c>
      <c r="K495" s="29">
        <f t="shared" si="39"/>
        <v>281.29739</v>
      </c>
      <c r="L495" s="23">
        <f t="shared" si="40"/>
        <v>1125.18956</v>
      </c>
      <c r="M495" s="39" t="s">
        <v>159</v>
      </c>
    </row>
    <row r="496" s="1" customFormat="1" ht="33.75" outlineLevel="1" spans="1:13">
      <c r="A496" s="24">
        <v>18</v>
      </c>
      <c r="B496" s="25" t="s">
        <v>194</v>
      </c>
      <c r="C496" s="25" t="s">
        <v>195</v>
      </c>
      <c r="D496" s="26" t="s">
        <v>60</v>
      </c>
      <c r="E496" s="27">
        <v>2</v>
      </c>
      <c r="F496" s="28">
        <v>1425.47</v>
      </c>
      <c r="G496" s="28">
        <v>234.06</v>
      </c>
      <c r="H496" s="29">
        <v>58.4</v>
      </c>
      <c r="I496" s="29">
        <f t="shared" si="41"/>
        <v>171.793</v>
      </c>
      <c r="J496" s="29">
        <f t="shared" si="42"/>
        <v>170.07507</v>
      </c>
      <c r="K496" s="29">
        <f t="shared" si="39"/>
        <v>2059.79807</v>
      </c>
      <c r="L496" s="23">
        <f t="shared" si="40"/>
        <v>4119.59614</v>
      </c>
      <c r="M496" s="39" t="s">
        <v>159</v>
      </c>
    </row>
    <row r="497" s="1" customFormat="1" ht="33.75" outlineLevel="1" spans="1:13">
      <c r="A497" s="24">
        <v>19</v>
      </c>
      <c r="B497" s="25" t="s">
        <v>238</v>
      </c>
      <c r="C497" s="25" t="s">
        <v>239</v>
      </c>
      <c r="D497" s="26" t="s">
        <v>60</v>
      </c>
      <c r="E497" s="27">
        <v>2</v>
      </c>
      <c r="F497" s="28">
        <v>47.27</v>
      </c>
      <c r="G497" s="28">
        <v>43.24</v>
      </c>
      <c r="H497" s="29">
        <v>2.7</v>
      </c>
      <c r="I497" s="29">
        <f t="shared" si="41"/>
        <v>9.321</v>
      </c>
      <c r="J497" s="29">
        <f t="shared" si="42"/>
        <v>9.22779</v>
      </c>
      <c r="K497" s="29">
        <f t="shared" si="39"/>
        <v>111.75879</v>
      </c>
      <c r="L497" s="23">
        <f t="shared" si="40"/>
        <v>223.51758</v>
      </c>
      <c r="M497" s="39" t="s">
        <v>159</v>
      </c>
    </row>
    <row r="498" s="1" customFormat="1" outlineLevel="1" spans="1:13">
      <c r="A498" s="20" t="s">
        <v>164</v>
      </c>
      <c r="B498" s="21" t="s">
        <v>399</v>
      </c>
      <c r="C498" s="21"/>
      <c r="D498" s="22"/>
      <c r="E498" s="22"/>
      <c r="F498" s="20"/>
      <c r="G498" s="29"/>
      <c r="H498" s="29"/>
      <c r="I498" s="29">
        <f t="shared" si="41"/>
        <v>0</v>
      </c>
      <c r="J498" s="29">
        <f t="shared" si="42"/>
        <v>0</v>
      </c>
      <c r="K498" s="29">
        <f t="shared" si="39"/>
        <v>0</v>
      </c>
      <c r="L498" s="23">
        <f t="shared" si="40"/>
        <v>0</v>
      </c>
      <c r="M498" s="38"/>
    </row>
    <row r="499" s="1" customFormat="1" ht="56.25" outlineLevel="1" spans="1:13">
      <c r="A499" s="24">
        <v>1</v>
      </c>
      <c r="B499" s="25" t="s">
        <v>154</v>
      </c>
      <c r="C499" s="25" t="s">
        <v>359</v>
      </c>
      <c r="D499" s="26" t="s">
        <v>42</v>
      </c>
      <c r="E499" s="27">
        <f>93.05+47.6+204.28</f>
        <v>344.93</v>
      </c>
      <c r="F499" s="28">
        <v>0.92</v>
      </c>
      <c r="G499" s="29">
        <v>3.64</v>
      </c>
      <c r="H499" s="29">
        <v>0.85</v>
      </c>
      <c r="I499" s="29">
        <f t="shared" si="41"/>
        <v>0.541</v>
      </c>
      <c r="J499" s="29">
        <f t="shared" si="42"/>
        <v>0.53559</v>
      </c>
      <c r="K499" s="29">
        <f t="shared" si="39"/>
        <v>6.48659</v>
      </c>
      <c r="L499" s="23">
        <f t="shared" si="40"/>
        <v>2237.4194887</v>
      </c>
      <c r="M499" s="39" t="s">
        <v>142</v>
      </c>
    </row>
    <row r="500" s="1" customFormat="1" ht="56.25" outlineLevel="1" spans="1:13">
      <c r="A500" s="24">
        <v>2</v>
      </c>
      <c r="B500" s="25" t="s">
        <v>154</v>
      </c>
      <c r="C500" s="25" t="s">
        <v>360</v>
      </c>
      <c r="D500" s="26" t="s">
        <v>42</v>
      </c>
      <c r="E500" s="27">
        <f>E499</f>
        <v>344.93</v>
      </c>
      <c r="F500" s="28">
        <v>0.92</v>
      </c>
      <c r="G500" s="29">
        <v>3.46</v>
      </c>
      <c r="H500" s="29">
        <v>0.85</v>
      </c>
      <c r="I500" s="29">
        <f t="shared" si="41"/>
        <v>0.523</v>
      </c>
      <c r="J500" s="29">
        <f t="shared" si="42"/>
        <v>0.51777</v>
      </c>
      <c r="K500" s="29">
        <f t="shared" si="39"/>
        <v>6.27077</v>
      </c>
      <c r="L500" s="23">
        <f t="shared" si="40"/>
        <v>2162.9766961</v>
      </c>
      <c r="M500" s="39" t="s">
        <v>142</v>
      </c>
    </row>
    <row r="501" s="1" customFormat="1" ht="33.75" outlineLevel="1" spans="1:13">
      <c r="A501" s="24">
        <v>3</v>
      </c>
      <c r="B501" s="25" t="s">
        <v>157</v>
      </c>
      <c r="C501" s="25" t="s">
        <v>313</v>
      </c>
      <c r="D501" s="26" t="s">
        <v>60</v>
      </c>
      <c r="E501" s="27">
        <v>57</v>
      </c>
      <c r="F501" s="24">
        <v>285.43</v>
      </c>
      <c r="G501" s="29">
        <v>43.6</v>
      </c>
      <c r="H501" s="29">
        <v>16.5</v>
      </c>
      <c r="I501" s="29">
        <f t="shared" si="41"/>
        <v>34.553</v>
      </c>
      <c r="J501" s="29">
        <f t="shared" si="42"/>
        <v>34.20747</v>
      </c>
      <c r="K501" s="29">
        <f t="shared" si="39"/>
        <v>414.29047</v>
      </c>
      <c r="L501" s="23">
        <f t="shared" si="40"/>
        <v>23614.55679</v>
      </c>
      <c r="M501" s="39" t="s">
        <v>159</v>
      </c>
    </row>
    <row r="502" s="1" customFormat="1" outlineLevel="1" spans="1:13">
      <c r="A502" s="20" t="s">
        <v>196</v>
      </c>
      <c r="B502" s="21" t="s">
        <v>400</v>
      </c>
      <c r="C502" s="21"/>
      <c r="D502" s="22"/>
      <c r="E502" s="22"/>
      <c r="F502" s="20"/>
      <c r="G502" s="29"/>
      <c r="H502" s="29"/>
      <c r="I502" s="29">
        <f t="shared" si="41"/>
        <v>0</v>
      </c>
      <c r="J502" s="29">
        <f t="shared" si="42"/>
        <v>0</v>
      </c>
      <c r="K502" s="29">
        <f t="shared" si="39"/>
        <v>0</v>
      </c>
      <c r="L502" s="23">
        <f t="shared" si="40"/>
        <v>0</v>
      </c>
      <c r="M502" s="38"/>
    </row>
    <row r="503" s="1" customFormat="1" ht="33.75" outlineLevel="1" spans="1:13">
      <c r="A503" s="24">
        <v>1</v>
      </c>
      <c r="B503" s="25" t="s">
        <v>198</v>
      </c>
      <c r="C503" s="25" t="s">
        <v>245</v>
      </c>
      <c r="D503" s="26" t="s">
        <v>103</v>
      </c>
      <c r="E503" s="27">
        <v>4</v>
      </c>
      <c r="F503" s="24">
        <v>90.73</v>
      </c>
      <c r="G503" s="29">
        <v>360</v>
      </c>
      <c r="H503" s="29">
        <v>19.3</v>
      </c>
      <c r="I503" s="29">
        <f t="shared" si="41"/>
        <v>47.003</v>
      </c>
      <c r="J503" s="29">
        <f t="shared" si="42"/>
        <v>46.53297</v>
      </c>
      <c r="K503" s="29">
        <f t="shared" si="39"/>
        <v>563.56597</v>
      </c>
      <c r="L503" s="23">
        <f t="shared" si="40"/>
        <v>2254.26388</v>
      </c>
      <c r="M503" s="39" t="s">
        <v>202</v>
      </c>
    </row>
    <row r="504" s="1" customFormat="1" ht="56.25" outlineLevel="1" spans="1:13">
      <c r="A504" s="24">
        <v>2</v>
      </c>
      <c r="B504" s="25" t="s">
        <v>200</v>
      </c>
      <c r="C504" s="25" t="s">
        <v>362</v>
      </c>
      <c r="D504" s="26" t="s">
        <v>51</v>
      </c>
      <c r="E504" s="27">
        <v>6</v>
      </c>
      <c r="F504" s="28">
        <v>26.59</v>
      </c>
      <c r="G504" s="29">
        <v>33</v>
      </c>
      <c r="H504" s="29">
        <v>22.37</v>
      </c>
      <c r="I504" s="29">
        <f t="shared" si="41"/>
        <v>8.196</v>
      </c>
      <c r="J504" s="29">
        <f t="shared" si="42"/>
        <v>8.11404</v>
      </c>
      <c r="K504" s="29">
        <f t="shared" si="39"/>
        <v>98.27004</v>
      </c>
      <c r="L504" s="23">
        <f t="shared" si="40"/>
        <v>589.62024</v>
      </c>
      <c r="M504" s="39" t="s">
        <v>202</v>
      </c>
    </row>
    <row r="505" s="1" customFormat="1" ht="67.5" outlineLevel="1" spans="1:13">
      <c r="A505" s="24">
        <v>3</v>
      </c>
      <c r="B505" s="25" t="s">
        <v>200</v>
      </c>
      <c r="C505" s="25" t="s">
        <v>363</v>
      </c>
      <c r="D505" s="26" t="s">
        <v>51</v>
      </c>
      <c r="E505" s="27">
        <v>161</v>
      </c>
      <c r="F505" s="28">
        <v>26.59</v>
      </c>
      <c r="G505" s="29">
        <v>34</v>
      </c>
      <c r="H505" s="29">
        <v>22.37</v>
      </c>
      <c r="I505" s="29">
        <f t="shared" si="41"/>
        <v>8.296</v>
      </c>
      <c r="J505" s="29">
        <f t="shared" si="42"/>
        <v>8.21304</v>
      </c>
      <c r="K505" s="29">
        <f t="shared" si="39"/>
        <v>99.46904</v>
      </c>
      <c r="L505" s="23">
        <f t="shared" si="40"/>
        <v>16014.51544</v>
      </c>
      <c r="M505" s="39" t="s">
        <v>202</v>
      </c>
    </row>
    <row r="506" s="1" customFormat="1" ht="56.25" outlineLevel="1" spans="1:13">
      <c r="A506" s="24">
        <v>4</v>
      </c>
      <c r="B506" s="25" t="s">
        <v>200</v>
      </c>
      <c r="C506" s="25" t="s">
        <v>364</v>
      </c>
      <c r="D506" s="26" t="s">
        <v>51</v>
      </c>
      <c r="E506" s="27">
        <v>37</v>
      </c>
      <c r="F506" s="28">
        <v>26.59</v>
      </c>
      <c r="G506" s="29">
        <v>33</v>
      </c>
      <c r="H506" s="29">
        <v>22.37</v>
      </c>
      <c r="I506" s="29">
        <f t="shared" si="41"/>
        <v>8.196</v>
      </c>
      <c r="J506" s="29">
        <f t="shared" si="42"/>
        <v>8.11404</v>
      </c>
      <c r="K506" s="29">
        <f t="shared" si="39"/>
        <v>98.27004</v>
      </c>
      <c r="L506" s="23">
        <f t="shared" si="40"/>
        <v>3635.99148</v>
      </c>
      <c r="M506" s="39" t="s">
        <v>202</v>
      </c>
    </row>
    <row r="507" s="1" customFormat="1" ht="56.25" outlineLevel="1" spans="1:13">
      <c r="A507" s="24">
        <v>5</v>
      </c>
      <c r="B507" s="25" t="s">
        <v>200</v>
      </c>
      <c r="C507" s="25" t="s">
        <v>365</v>
      </c>
      <c r="D507" s="26" t="s">
        <v>51</v>
      </c>
      <c r="E507" s="27">
        <v>42</v>
      </c>
      <c r="F507" s="28">
        <v>26.59</v>
      </c>
      <c r="G507" s="29">
        <v>33</v>
      </c>
      <c r="H507" s="29">
        <v>22.37</v>
      </c>
      <c r="I507" s="29">
        <f t="shared" si="41"/>
        <v>8.196</v>
      </c>
      <c r="J507" s="29">
        <f t="shared" si="42"/>
        <v>8.11404</v>
      </c>
      <c r="K507" s="29">
        <f t="shared" si="39"/>
        <v>98.27004</v>
      </c>
      <c r="L507" s="23">
        <f t="shared" si="40"/>
        <v>4127.34168</v>
      </c>
      <c r="M507" s="39" t="s">
        <v>202</v>
      </c>
    </row>
    <row r="508" s="1" customFormat="1" ht="67.5" outlineLevel="1" spans="1:13">
      <c r="A508" s="24">
        <v>6</v>
      </c>
      <c r="B508" s="25" t="s">
        <v>200</v>
      </c>
      <c r="C508" s="25" t="s">
        <v>366</v>
      </c>
      <c r="D508" s="26" t="s">
        <v>51</v>
      </c>
      <c r="E508" s="27">
        <v>55</v>
      </c>
      <c r="F508" s="28">
        <v>26.59</v>
      </c>
      <c r="G508" s="29">
        <v>33</v>
      </c>
      <c r="H508" s="29">
        <v>22.37</v>
      </c>
      <c r="I508" s="29">
        <f t="shared" si="41"/>
        <v>8.196</v>
      </c>
      <c r="J508" s="29">
        <f t="shared" si="42"/>
        <v>8.11404</v>
      </c>
      <c r="K508" s="29">
        <f t="shared" si="39"/>
        <v>98.27004</v>
      </c>
      <c r="L508" s="23">
        <f t="shared" si="40"/>
        <v>5404.8522</v>
      </c>
      <c r="M508" s="39" t="s">
        <v>202</v>
      </c>
    </row>
    <row r="509" s="1" customFormat="1" ht="67.5" outlineLevel="1" spans="1:13">
      <c r="A509" s="24">
        <v>7</v>
      </c>
      <c r="B509" s="25" t="s">
        <v>200</v>
      </c>
      <c r="C509" s="25" t="s">
        <v>367</v>
      </c>
      <c r="D509" s="26" t="s">
        <v>51</v>
      </c>
      <c r="E509" s="27">
        <v>2</v>
      </c>
      <c r="F509" s="28">
        <v>26.59</v>
      </c>
      <c r="G509" s="29">
        <v>34</v>
      </c>
      <c r="H509" s="29">
        <v>22.37</v>
      </c>
      <c r="I509" s="29">
        <f t="shared" si="41"/>
        <v>8.296</v>
      </c>
      <c r="J509" s="29">
        <f t="shared" si="42"/>
        <v>8.21304</v>
      </c>
      <c r="K509" s="29">
        <f t="shared" si="39"/>
        <v>99.46904</v>
      </c>
      <c r="L509" s="23">
        <f t="shared" si="40"/>
        <v>198.93808</v>
      </c>
      <c r="M509" s="39" t="s">
        <v>202</v>
      </c>
    </row>
    <row r="510" s="1" customFormat="1" ht="56.25" outlineLevel="1" spans="1:13">
      <c r="A510" s="24">
        <v>8</v>
      </c>
      <c r="B510" s="25" t="s">
        <v>154</v>
      </c>
      <c r="C510" s="25" t="s">
        <v>206</v>
      </c>
      <c r="D510" s="26" t="s">
        <v>42</v>
      </c>
      <c r="E510" s="27">
        <v>2293.85</v>
      </c>
      <c r="F510" s="28">
        <v>0.92</v>
      </c>
      <c r="G510" s="29">
        <v>1.93</v>
      </c>
      <c r="H510" s="29">
        <v>0.85</v>
      </c>
      <c r="I510" s="29">
        <f t="shared" si="41"/>
        <v>0.37</v>
      </c>
      <c r="J510" s="29">
        <f t="shared" si="42"/>
        <v>0.3663</v>
      </c>
      <c r="K510" s="29">
        <f t="shared" si="39"/>
        <v>4.4363</v>
      </c>
      <c r="L510" s="23">
        <f t="shared" si="40"/>
        <v>10176.206755</v>
      </c>
      <c r="M510" s="39" t="s">
        <v>142</v>
      </c>
    </row>
    <row r="511" s="4" customFormat="1" spans="1:13">
      <c r="A511" s="40" t="s">
        <v>207</v>
      </c>
      <c r="B511" s="41" t="s">
        <v>401</v>
      </c>
      <c r="C511" s="41"/>
      <c r="D511" s="40"/>
      <c r="E511" s="40"/>
      <c r="F511" s="40"/>
      <c r="G511" s="23"/>
      <c r="H511" s="42"/>
      <c r="I511" s="42"/>
      <c r="J511" s="42"/>
      <c r="K511" s="42"/>
      <c r="L511" s="44">
        <f>SUM(L411:L510)</f>
        <v>511510.4063762</v>
      </c>
      <c r="M511" s="45"/>
    </row>
    <row r="512" s="1" customFormat="1" outlineLevel="1" spans="1:13">
      <c r="A512" s="20" t="s">
        <v>38</v>
      </c>
      <c r="B512" s="21" t="s">
        <v>402</v>
      </c>
      <c r="C512" s="21"/>
      <c r="D512" s="22"/>
      <c r="E512" s="22"/>
      <c r="F512" s="20"/>
      <c r="G512" s="23"/>
      <c r="H512" s="23"/>
      <c r="I512" s="29">
        <f t="shared" si="41"/>
        <v>0</v>
      </c>
      <c r="J512" s="29">
        <f t="shared" si="42"/>
        <v>0</v>
      </c>
      <c r="K512" s="29"/>
      <c r="L512" s="23"/>
      <c r="M512" s="38"/>
    </row>
    <row r="513" s="1" customFormat="1" ht="78.75" outlineLevel="1" spans="1:13">
      <c r="A513" s="24">
        <v>1</v>
      </c>
      <c r="B513" s="25" t="s">
        <v>40</v>
      </c>
      <c r="C513" s="25" t="s">
        <v>41</v>
      </c>
      <c r="D513" s="26" t="s">
        <v>42</v>
      </c>
      <c r="E513" s="27">
        <v>222.8</v>
      </c>
      <c r="F513" s="28">
        <v>29.46</v>
      </c>
      <c r="G513" s="29">
        <f>46.5+10</f>
        <v>56.5</v>
      </c>
      <c r="H513" s="29">
        <v>1.31</v>
      </c>
      <c r="I513" s="29">
        <f t="shared" si="41"/>
        <v>8.727</v>
      </c>
      <c r="J513" s="29">
        <f t="shared" si="42"/>
        <v>8.63973</v>
      </c>
      <c r="K513" s="29">
        <f t="shared" si="39"/>
        <v>104.63673</v>
      </c>
      <c r="L513" s="23">
        <f t="shared" si="40"/>
        <v>23313.063444</v>
      </c>
      <c r="M513" s="39" t="s">
        <v>43</v>
      </c>
    </row>
    <row r="514" s="1" customFormat="1" ht="78.75" outlineLevel="1" spans="1:13">
      <c r="A514" s="24">
        <v>2</v>
      </c>
      <c r="B514" s="25" t="s">
        <v>40</v>
      </c>
      <c r="C514" s="25" t="s">
        <v>44</v>
      </c>
      <c r="D514" s="26" t="s">
        <v>42</v>
      </c>
      <c r="E514" s="27">
        <v>39.25</v>
      </c>
      <c r="F514" s="28">
        <v>24.65</v>
      </c>
      <c r="G514" s="29">
        <f>30.67+10</f>
        <v>40.67</v>
      </c>
      <c r="H514" s="29">
        <v>1.31</v>
      </c>
      <c r="I514" s="29">
        <f t="shared" si="41"/>
        <v>6.663</v>
      </c>
      <c r="J514" s="29">
        <f t="shared" si="42"/>
        <v>6.59637</v>
      </c>
      <c r="K514" s="29">
        <f t="shared" si="39"/>
        <v>79.88937</v>
      </c>
      <c r="L514" s="23">
        <f t="shared" si="40"/>
        <v>3135.6577725</v>
      </c>
      <c r="M514" s="39" t="s">
        <v>43</v>
      </c>
    </row>
    <row r="515" s="1" customFormat="1" ht="56.25" outlineLevel="1" spans="1:13">
      <c r="A515" s="24">
        <v>3</v>
      </c>
      <c r="B515" s="25" t="s">
        <v>45</v>
      </c>
      <c r="C515" s="25" t="s">
        <v>210</v>
      </c>
      <c r="D515" s="26" t="s">
        <v>47</v>
      </c>
      <c r="E515" s="27">
        <v>139.43</v>
      </c>
      <c r="F515" s="28">
        <v>12.5</v>
      </c>
      <c r="G515" s="29">
        <v>3.92</v>
      </c>
      <c r="H515" s="29">
        <v>4.5</v>
      </c>
      <c r="I515" s="29">
        <f t="shared" si="41"/>
        <v>2.092</v>
      </c>
      <c r="J515" s="29">
        <f t="shared" si="42"/>
        <v>2.07108</v>
      </c>
      <c r="K515" s="29">
        <f t="shared" si="39"/>
        <v>25.08308</v>
      </c>
      <c r="L515" s="23">
        <f t="shared" si="40"/>
        <v>3497.3338444</v>
      </c>
      <c r="M515" s="39" t="s">
        <v>48</v>
      </c>
    </row>
    <row r="516" s="1" customFormat="1" ht="78.75" outlineLevel="1" spans="1:13">
      <c r="A516" s="24">
        <v>4</v>
      </c>
      <c r="B516" s="25" t="s">
        <v>49</v>
      </c>
      <c r="C516" s="25" t="s">
        <v>214</v>
      </c>
      <c r="D516" s="26" t="s">
        <v>51</v>
      </c>
      <c r="E516" s="27">
        <v>36</v>
      </c>
      <c r="F516" s="24">
        <v>75.07</v>
      </c>
      <c r="G516" s="29">
        <v>510</v>
      </c>
      <c r="H516" s="29">
        <v>3.63</v>
      </c>
      <c r="I516" s="29">
        <f t="shared" si="41"/>
        <v>58.87</v>
      </c>
      <c r="J516" s="29">
        <f t="shared" si="42"/>
        <v>58.2813</v>
      </c>
      <c r="K516" s="29">
        <f t="shared" si="39"/>
        <v>705.8513</v>
      </c>
      <c r="L516" s="23">
        <f t="shared" si="40"/>
        <v>25410.6468</v>
      </c>
      <c r="M516" s="39" t="s">
        <v>52</v>
      </c>
    </row>
    <row r="517" s="1" customFormat="1" ht="78.75" outlineLevel="1" spans="1:13">
      <c r="A517" s="24">
        <v>5</v>
      </c>
      <c r="B517" s="25" t="s">
        <v>49</v>
      </c>
      <c r="C517" s="25" t="s">
        <v>253</v>
      </c>
      <c r="D517" s="26" t="s">
        <v>51</v>
      </c>
      <c r="E517" s="27">
        <v>4</v>
      </c>
      <c r="F517" s="24">
        <v>75.07</v>
      </c>
      <c r="G517" s="29">
        <v>375</v>
      </c>
      <c r="H517" s="29">
        <v>3.63</v>
      </c>
      <c r="I517" s="29">
        <f t="shared" si="41"/>
        <v>45.37</v>
      </c>
      <c r="J517" s="29">
        <f t="shared" si="42"/>
        <v>44.9163</v>
      </c>
      <c r="K517" s="29">
        <f t="shared" si="39"/>
        <v>543.9863</v>
      </c>
      <c r="L517" s="23">
        <f t="shared" si="40"/>
        <v>2175.9452</v>
      </c>
      <c r="M517" s="39" t="s">
        <v>52</v>
      </c>
    </row>
    <row r="518" s="1" customFormat="1" ht="67.5" outlineLevel="1" spans="1:13">
      <c r="A518" s="24">
        <v>6</v>
      </c>
      <c r="B518" s="25" t="s">
        <v>49</v>
      </c>
      <c r="C518" s="25" t="s">
        <v>216</v>
      </c>
      <c r="D518" s="26" t="s">
        <v>51</v>
      </c>
      <c r="E518" s="27">
        <v>1</v>
      </c>
      <c r="F518" s="24">
        <v>75.07</v>
      </c>
      <c r="G518" s="29">
        <v>375</v>
      </c>
      <c r="H518" s="29">
        <v>3.63</v>
      </c>
      <c r="I518" s="29">
        <f t="shared" si="41"/>
        <v>45.37</v>
      </c>
      <c r="J518" s="29">
        <f t="shared" si="42"/>
        <v>44.9163</v>
      </c>
      <c r="K518" s="29">
        <f t="shared" ref="K518:K581" si="43">F518+G518+H518+I518+J518</f>
        <v>543.9863</v>
      </c>
      <c r="L518" s="23">
        <f t="shared" ref="L518:L581" si="44">K518*E518</f>
        <v>543.9863</v>
      </c>
      <c r="M518" s="39" t="s">
        <v>52</v>
      </c>
    </row>
    <row r="519" s="1" customFormat="1" ht="45" outlineLevel="1" spans="1:13">
      <c r="A519" s="24">
        <v>7</v>
      </c>
      <c r="B519" s="25" t="s">
        <v>54</v>
      </c>
      <c r="C519" s="25" t="s">
        <v>217</v>
      </c>
      <c r="D519" s="26" t="s">
        <v>56</v>
      </c>
      <c r="E519" s="27">
        <v>72</v>
      </c>
      <c r="F519" s="24">
        <v>1.96</v>
      </c>
      <c r="G519" s="29">
        <v>21</v>
      </c>
      <c r="H519" s="29">
        <v>0.5</v>
      </c>
      <c r="I519" s="29">
        <f t="shared" si="41"/>
        <v>2.346</v>
      </c>
      <c r="J519" s="29">
        <f t="shared" si="42"/>
        <v>2.32254</v>
      </c>
      <c r="K519" s="29">
        <f t="shared" si="43"/>
        <v>28.12854</v>
      </c>
      <c r="L519" s="23">
        <f t="shared" si="44"/>
        <v>2025.25488</v>
      </c>
      <c r="M519" s="39" t="s">
        <v>57</v>
      </c>
    </row>
    <row r="520" s="1" customFormat="1" ht="45" outlineLevel="1" spans="1:13">
      <c r="A520" s="24">
        <v>8</v>
      </c>
      <c r="B520" s="25" t="s">
        <v>54</v>
      </c>
      <c r="C520" s="25" t="s">
        <v>218</v>
      </c>
      <c r="D520" s="26" t="s">
        <v>56</v>
      </c>
      <c r="E520" s="27">
        <v>16</v>
      </c>
      <c r="F520" s="24">
        <v>1.96</v>
      </c>
      <c r="G520" s="29">
        <v>35</v>
      </c>
      <c r="H520" s="29">
        <v>0.5</v>
      </c>
      <c r="I520" s="29">
        <f t="shared" si="41"/>
        <v>3.746</v>
      </c>
      <c r="J520" s="29">
        <f t="shared" si="42"/>
        <v>3.70854</v>
      </c>
      <c r="K520" s="29">
        <f t="shared" si="43"/>
        <v>44.91454</v>
      </c>
      <c r="L520" s="23">
        <f t="shared" si="44"/>
        <v>718.63264</v>
      </c>
      <c r="M520" s="39" t="s">
        <v>57</v>
      </c>
    </row>
    <row r="521" s="1" customFormat="1" ht="33.75" outlineLevel="1" spans="1:13">
      <c r="A521" s="24">
        <v>9</v>
      </c>
      <c r="B521" s="25" t="s">
        <v>219</v>
      </c>
      <c r="C521" s="25" t="s">
        <v>220</v>
      </c>
      <c r="D521" s="26" t="s">
        <v>60</v>
      </c>
      <c r="E521" s="27">
        <v>8</v>
      </c>
      <c r="F521" s="24">
        <v>1.96</v>
      </c>
      <c r="G521" s="29">
        <v>38</v>
      </c>
      <c r="H521" s="29">
        <v>0.5</v>
      </c>
      <c r="I521" s="29">
        <f t="shared" si="41"/>
        <v>4.046</v>
      </c>
      <c r="J521" s="29">
        <f t="shared" si="42"/>
        <v>4.00554</v>
      </c>
      <c r="K521" s="29">
        <f t="shared" si="43"/>
        <v>48.51154</v>
      </c>
      <c r="L521" s="23">
        <f t="shared" si="44"/>
        <v>388.09232</v>
      </c>
      <c r="M521" s="39" t="s">
        <v>57</v>
      </c>
    </row>
    <row r="522" s="1" customFormat="1" ht="33.75" outlineLevel="1" spans="1:13">
      <c r="A522" s="24">
        <v>10</v>
      </c>
      <c r="B522" s="25" t="s">
        <v>58</v>
      </c>
      <c r="C522" s="25" t="s">
        <v>59</v>
      </c>
      <c r="D522" s="26" t="s">
        <v>60</v>
      </c>
      <c r="E522" s="27">
        <v>2</v>
      </c>
      <c r="F522" s="24">
        <v>79.59</v>
      </c>
      <c r="G522" s="24">
        <v>60</v>
      </c>
      <c r="H522" s="29">
        <v>18.2</v>
      </c>
      <c r="I522" s="29">
        <f t="shared" si="41"/>
        <v>15.779</v>
      </c>
      <c r="J522" s="29">
        <f t="shared" si="42"/>
        <v>15.62121</v>
      </c>
      <c r="K522" s="29">
        <f t="shared" si="43"/>
        <v>189.19021</v>
      </c>
      <c r="L522" s="29">
        <f t="shared" si="44"/>
        <v>378.38042</v>
      </c>
      <c r="M522" s="39" t="s">
        <v>61</v>
      </c>
    </row>
    <row r="523" s="1" customFormat="1" ht="33.75" outlineLevel="1" spans="1:13">
      <c r="A523" s="24">
        <v>11</v>
      </c>
      <c r="B523" s="25" t="s">
        <v>58</v>
      </c>
      <c r="C523" s="25" t="s">
        <v>254</v>
      </c>
      <c r="D523" s="26" t="s">
        <v>60</v>
      </c>
      <c r="E523" s="27">
        <v>1</v>
      </c>
      <c r="F523" s="28">
        <v>24.65</v>
      </c>
      <c r="G523" s="24">
        <v>45</v>
      </c>
      <c r="H523" s="29">
        <v>21.86</v>
      </c>
      <c r="I523" s="29">
        <f t="shared" si="41"/>
        <v>9.151</v>
      </c>
      <c r="J523" s="29">
        <f t="shared" si="42"/>
        <v>9.05949</v>
      </c>
      <c r="K523" s="29">
        <f t="shared" si="43"/>
        <v>109.72049</v>
      </c>
      <c r="L523" s="29">
        <f t="shared" si="44"/>
        <v>109.72049</v>
      </c>
      <c r="M523" s="39" t="s">
        <v>61</v>
      </c>
    </row>
    <row r="524" s="1" customFormat="1" ht="33.75" outlineLevel="1" spans="1:13">
      <c r="A524" s="24">
        <v>12</v>
      </c>
      <c r="B524" s="25" t="s">
        <v>62</v>
      </c>
      <c r="C524" s="25" t="s">
        <v>63</v>
      </c>
      <c r="D524" s="26" t="s">
        <v>64</v>
      </c>
      <c r="E524" s="27">
        <f>E522</f>
        <v>2</v>
      </c>
      <c r="F524" s="24">
        <v>65.22</v>
      </c>
      <c r="G524" s="24">
        <v>15</v>
      </c>
      <c r="H524" s="29">
        <v>36.25</v>
      </c>
      <c r="I524" s="29">
        <f t="shared" si="41"/>
        <v>11.647</v>
      </c>
      <c r="J524" s="29">
        <f t="shared" si="42"/>
        <v>11.53053</v>
      </c>
      <c r="K524" s="29">
        <f t="shared" si="43"/>
        <v>139.64753</v>
      </c>
      <c r="L524" s="23">
        <f t="shared" si="44"/>
        <v>279.29506</v>
      </c>
      <c r="M524" s="39" t="s">
        <v>61</v>
      </c>
    </row>
    <row r="525" s="1" customFormat="1" ht="33.75" outlineLevel="1" spans="1:13">
      <c r="A525" s="24">
        <v>13</v>
      </c>
      <c r="B525" s="25" t="s">
        <v>62</v>
      </c>
      <c r="C525" s="25" t="s">
        <v>255</v>
      </c>
      <c r="D525" s="26" t="s">
        <v>64</v>
      </c>
      <c r="E525" s="27">
        <v>1</v>
      </c>
      <c r="F525" s="24">
        <v>32.63</v>
      </c>
      <c r="G525" s="24">
        <v>12</v>
      </c>
      <c r="H525" s="29">
        <v>13.65</v>
      </c>
      <c r="I525" s="29">
        <f t="shared" si="41"/>
        <v>5.828</v>
      </c>
      <c r="J525" s="29">
        <f t="shared" si="42"/>
        <v>5.76972</v>
      </c>
      <c r="K525" s="29">
        <f t="shared" si="43"/>
        <v>69.87772</v>
      </c>
      <c r="L525" s="23">
        <f t="shared" si="44"/>
        <v>69.87772</v>
      </c>
      <c r="M525" s="39" t="s">
        <v>61</v>
      </c>
    </row>
    <row r="526" s="1" customFormat="1" ht="45" outlineLevel="1" spans="1:13">
      <c r="A526" s="24">
        <v>14</v>
      </c>
      <c r="B526" s="25" t="s">
        <v>65</v>
      </c>
      <c r="C526" s="25" t="s">
        <v>66</v>
      </c>
      <c r="D526" s="26" t="s">
        <v>60</v>
      </c>
      <c r="E526" s="27">
        <v>2</v>
      </c>
      <c r="F526" s="24">
        <v>19.59</v>
      </c>
      <c r="G526" s="24">
        <v>15</v>
      </c>
      <c r="H526" s="29">
        <v>5.54</v>
      </c>
      <c r="I526" s="29">
        <f t="shared" si="41"/>
        <v>4.013</v>
      </c>
      <c r="J526" s="29">
        <f t="shared" si="42"/>
        <v>3.97287</v>
      </c>
      <c r="K526" s="29">
        <f t="shared" si="43"/>
        <v>48.11587</v>
      </c>
      <c r="L526" s="23">
        <f t="shared" si="44"/>
        <v>96.23174</v>
      </c>
      <c r="M526" s="39" t="s">
        <v>61</v>
      </c>
    </row>
    <row r="527" s="1" customFormat="1" ht="45" outlineLevel="1" spans="1:13">
      <c r="A527" s="24">
        <v>15</v>
      </c>
      <c r="B527" s="25" t="s">
        <v>67</v>
      </c>
      <c r="C527" s="25" t="s">
        <v>68</v>
      </c>
      <c r="D527" s="26" t="s">
        <v>60</v>
      </c>
      <c r="E527" s="27">
        <v>2</v>
      </c>
      <c r="F527" s="28">
        <v>14.37</v>
      </c>
      <c r="G527" s="28">
        <v>25</v>
      </c>
      <c r="H527" s="29">
        <v>6.4</v>
      </c>
      <c r="I527" s="29">
        <f t="shared" si="41"/>
        <v>4.577</v>
      </c>
      <c r="J527" s="29">
        <f t="shared" si="42"/>
        <v>4.53123</v>
      </c>
      <c r="K527" s="29">
        <f t="shared" si="43"/>
        <v>54.87823</v>
      </c>
      <c r="L527" s="23">
        <f t="shared" si="44"/>
        <v>109.75646</v>
      </c>
      <c r="M527" s="39" t="s">
        <v>61</v>
      </c>
    </row>
    <row r="528" s="1" customFormat="1" ht="45" outlineLevel="1" spans="1:13">
      <c r="A528" s="24">
        <v>16</v>
      </c>
      <c r="B528" s="25" t="s">
        <v>69</v>
      </c>
      <c r="C528" s="25" t="s">
        <v>70</v>
      </c>
      <c r="D528" s="26" t="s">
        <v>71</v>
      </c>
      <c r="E528" s="27">
        <v>1</v>
      </c>
      <c r="F528" s="28">
        <v>285</v>
      </c>
      <c r="G528" s="29">
        <v>125</v>
      </c>
      <c r="H528" s="29">
        <v>68.5</v>
      </c>
      <c r="I528" s="29">
        <f t="shared" si="41"/>
        <v>47.85</v>
      </c>
      <c r="J528" s="29">
        <f t="shared" si="42"/>
        <v>47.3715</v>
      </c>
      <c r="K528" s="29">
        <f t="shared" si="43"/>
        <v>573.7215</v>
      </c>
      <c r="L528" s="23">
        <f t="shared" si="44"/>
        <v>573.7215</v>
      </c>
      <c r="M528" s="39"/>
    </row>
    <row r="529" s="1" customFormat="1" outlineLevel="1" spans="1:13">
      <c r="A529" s="24">
        <v>17</v>
      </c>
      <c r="B529" s="25" t="s">
        <v>72</v>
      </c>
      <c r="C529" s="25" t="s">
        <v>73</v>
      </c>
      <c r="D529" s="26" t="s">
        <v>71</v>
      </c>
      <c r="E529" s="27">
        <v>1</v>
      </c>
      <c r="F529" s="24">
        <v>366.15</v>
      </c>
      <c r="G529" s="29">
        <v>0</v>
      </c>
      <c r="H529" s="29">
        <v>185</v>
      </c>
      <c r="I529" s="29">
        <f t="shared" si="41"/>
        <v>55.115</v>
      </c>
      <c r="J529" s="29">
        <f t="shared" si="42"/>
        <v>54.56385</v>
      </c>
      <c r="K529" s="29">
        <f t="shared" si="43"/>
        <v>660.82885</v>
      </c>
      <c r="L529" s="23">
        <f t="shared" si="44"/>
        <v>660.82885</v>
      </c>
      <c r="M529" s="39"/>
    </row>
    <row r="530" s="1" customFormat="1" outlineLevel="1" spans="1:13">
      <c r="A530" s="20" t="s">
        <v>74</v>
      </c>
      <c r="B530" s="21" t="s">
        <v>403</v>
      </c>
      <c r="C530" s="21"/>
      <c r="D530" s="22"/>
      <c r="E530" s="22"/>
      <c r="F530" s="20"/>
      <c r="G530" s="23"/>
      <c r="H530" s="29"/>
      <c r="I530" s="29">
        <f t="shared" si="41"/>
        <v>0</v>
      </c>
      <c r="J530" s="29">
        <f t="shared" si="42"/>
        <v>0</v>
      </c>
      <c r="K530" s="29">
        <f t="shared" si="43"/>
        <v>0</v>
      </c>
      <c r="L530" s="23">
        <f t="shared" si="44"/>
        <v>0</v>
      </c>
      <c r="M530" s="38"/>
    </row>
    <row r="531" s="1" customFormat="1" ht="101.25" outlineLevel="1" spans="1:13">
      <c r="A531" s="24">
        <v>1</v>
      </c>
      <c r="B531" s="25" t="s">
        <v>320</v>
      </c>
      <c r="C531" s="25" t="s">
        <v>321</v>
      </c>
      <c r="D531" s="26" t="s">
        <v>103</v>
      </c>
      <c r="E531" s="26">
        <v>2</v>
      </c>
      <c r="F531" s="24">
        <v>928.1</v>
      </c>
      <c r="G531" s="24">
        <v>4853</v>
      </c>
      <c r="H531" s="29">
        <v>193.9</v>
      </c>
      <c r="I531" s="29">
        <f t="shared" si="41"/>
        <v>597.5</v>
      </c>
      <c r="J531" s="29">
        <f t="shared" si="42"/>
        <v>591.525</v>
      </c>
      <c r="K531" s="29">
        <f t="shared" si="43"/>
        <v>7164.025</v>
      </c>
      <c r="L531" s="23">
        <f t="shared" si="44"/>
        <v>14328.05</v>
      </c>
      <c r="M531" s="39" t="s">
        <v>104</v>
      </c>
    </row>
    <row r="532" s="1" customFormat="1" ht="101.25" outlineLevel="1" spans="1:13">
      <c r="A532" s="24">
        <v>2</v>
      </c>
      <c r="B532" s="25" t="s">
        <v>320</v>
      </c>
      <c r="C532" s="25" t="s">
        <v>322</v>
      </c>
      <c r="D532" s="26" t="s">
        <v>103</v>
      </c>
      <c r="E532" s="26">
        <v>2</v>
      </c>
      <c r="F532" s="24">
        <v>928.1</v>
      </c>
      <c r="G532" s="24">
        <v>5217</v>
      </c>
      <c r="H532" s="29">
        <v>193.9</v>
      </c>
      <c r="I532" s="29">
        <f t="shared" si="41"/>
        <v>633.9</v>
      </c>
      <c r="J532" s="29">
        <f t="shared" si="42"/>
        <v>627.561</v>
      </c>
      <c r="K532" s="29">
        <f t="shared" si="43"/>
        <v>7600.461</v>
      </c>
      <c r="L532" s="23">
        <f t="shared" si="44"/>
        <v>15200.922</v>
      </c>
      <c r="M532" s="39" t="s">
        <v>104</v>
      </c>
    </row>
    <row r="533" s="1" customFormat="1" ht="90" outlineLevel="1" spans="1:13">
      <c r="A533" s="24">
        <v>3</v>
      </c>
      <c r="B533" s="25" t="s">
        <v>323</v>
      </c>
      <c r="C533" s="25" t="s">
        <v>324</v>
      </c>
      <c r="D533" s="26" t="s">
        <v>103</v>
      </c>
      <c r="E533" s="26">
        <v>4</v>
      </c>
      <c r="F533" s="20">
        <v>14.75</v>
      </c>
      <c r="G533" s="20">
        <v>110</v>
      </c>
      <c r="H533" s="29">
        <v>1.2</v>
      </c>
      <c r="I533" s="29">
        <f t="shared" si="41"/>
        <v>12.595</v>
      </c>
      <c r="J533" s="29">
        <f t="shared" si="42"/>
        <v>12.46905</v>
      </c>
      <c r="K533" s="29">
        <f t="shared" si="43"/>
        <v>151.01405</v>
      </c>
      <c r="L533" s="23">
        <f t="shared" si="44"/>
        <v>604.0562</v>
      </c>
      <c r="M533" s="39" t="s">
        <v>325</v>
      </c>
    </row>
    <row r="534" s="1" customFormat="1" ht="90" outlineLevel="1" spans="1:13">
      <c r="A534" s="24">
        <v>4</v>
      </c>
      <c r="B534" s="25" t="s">
        <v>326</v>
      </c>
      <c r="C534" s="25" t="s">
        <v>327</v>
      </c>
      <c r="D534" s="26" t="s">
        <v>103</v>
      </c>
      <c r="E534" s="26">
        <v>4</v>
      </c>
      <c r="F534" s="24">
        <v>14.75</v>
      </c>
      <c r="G534" s="24">
        <v>509</v>
      </c>
      <c r="H534" s="29">
        <v>1.2</v>
      </c>
      <c r="I534" s="29">
        <f t="shared" si="41"/>
        <v>52.495</v>
      </c>
      <c r="J534" s="29">
        <f t="shared" si="42"/>
        <v>51.97005</v>
      </c>
      <c r="K534" s="29">
        <f t="shared" si="43"/>
        <v>629.41505</v>
      </c>
      <c r="L534" s="23">
        <f t="shared" si="44"/>
        <v>2517.6602</v>
      </c>
      <c r="M534" s="39" t="s">
        <v>104</v>
      </c>
    </row>
    <row r="535" s="1" customFormat="1" ht="45" outlineLevel="1" spans="1:13">
      <c r="A535" s="24">
        <v>5</v>
      </c>
      <c r="B535" s="30" t="s">
        <v>114</v>
      </c>
      <c r="C535" s="30" t="s">
        <v>115</v>
      </c>
      <c r="D535" s="31" t="s">
        <v>116</v>
      </c>
      <c r="E535" s="26">
        <v>4.27</v>
      </c>
      <c r="F535" s="24">
        <v>53.22</v>
      </c>
      <c r="G535" s="24">
        <v>132</v>
      </c>
      <c r="H535" s="29">
        <v>24.2</v>
      </c>
      <c r="I535" s="29">
        <f t="shared" si="41"/>
        <v>20.942</v>
      </c>
      <c r="J535" s="29">
        <f t="shared" si="42"/>
        <v>20.73258</v>
      </c>
      <c r="K535" s="29">
        <f t="shared" si="43"/>
        <v>251.09458</v>
      </c>
      <c r="L535" s="23">
        <f t="shared" si="44"/>
        <v>1072.1738566</v>
      </c>
      <c r="M535" s="39"/>
    </row>
    <row r="536" s="1" customFormat="1" ht="112.5" outlineLevel="1" spans="1:13">
      <c r="A536" s="24">
        <v>6</v>
      </c>
      <c r="B536" s="30" t="s">
        <v>117</v>
      </c>
      <c r="C536" s="30" t="s">
        <v>118</v>
      </c>
      <c r="D536" s="31" t="s">
        <v>116</v>
      </c>
      <c r="E536" s="26">
        <v>0.61</v>
      </c>
      <c r="F536" s="24">
        <v>69.69</v>
      </c>
      <c r="G536" s="24">
        <v>36.9</v>
      </c>
      <c r="H536" s="29">
        <v>16.68</v>
      </c>
      <c r="I536" s="29">
        <f t="shared" si="41"/>
        <v>12.327</v>
      </c>
      <c r="J536" s="29">
        <f t="shared" si="42"/>
        <v>12.20373</v>
      </c>
      <c r="K536" s="29">
        <f t="shared" si="43"/>
        <v>147.80073</v>
      </c>
      <c r="L536" s="23">
        <f t="shared" si="44"/>
        <v>90.1584453</v>
      </c>
      <c r="M536" s="39" t="s">
        <v>119</v>
      </c>
    </row>
    <row r="537" s="1" customFormat="1" ht="112.5" outlineLevel="1" spans="1:13">
      <c r="A537" s="24">
        <v>7</v>
      </c>
      <c r="B537" s="30" t="s">
        <v>117</v>
      </c>
      <c r="C537" s="30" t="s">
        <v>260</v>
      </c>
      <c r="D537" s="31" t="s">
        <v>116</v>
      </c>
      <c r="E537" s="26">
        <v>16.21</v>
      </c>
      <c r="F537" s="24">
        <v>69.69</v>
      </c>
      <c r="G537" s="24">
        <v>42.15</v>
      </c>
      <c r="H537" s="29">
        <v>16.68</v>
      </c>
      <c r="I537" s="29">
        <f t="shared" si="41"/>
        <v>12.852</v>
      </c>
      <c r="J537" s="29">
        <f t="shared" si="42"/>
        <v>12.72348</v>
      </c>
      <c r="K537" s="29">
        <f t="shared" si="43"/>
        <v>154.09548</v>
      </c>
      <c r="L537" s="23">
        <f t="shared" si="44"/>
        <v>2497.8877308</v>
      </c>
      <c r="M537" s="39" t="s">
        <v>119</v>
      </c>
    </row>
    <row r="538" s="1" customFormat="1" ht="112.5" outlineLevel="1" spans="1:13">
      <c r="A538" s="24">
        <v>8</v>
      </c>
      <c r="B538" s="30" t="s">
        <v>117</v>
      </c>
      <c r="C538" s="30" t="s">
        <v>120</v>
      </c>
      <c r="D538" s="31" t="s">
        <v>116</v>
      </c>
      <c r="E538" s="26">
        <v>90.34</v>
      </c>
      <c r="F538" s="24">
        <v>44.05</v>
      </c>
      <c r="G538" s="24">
        <v>42.15</v>
      </c>
      <c r="H538" s="29">
        <v>17.18</v>
      </c>
      <c r="I538" s="29">
        <f t="shared" si="41"/>
        <v>10.338</v>
      </c>
      <c r="J538" s="29">
        <f t="shared" si="42"/>
        <v>10.23462</v>
      </c>
      <c r="K538" s="29">
        <f t="shared" si="43"/>
        <v>123.95262</v>
      </c>
      <c r="L538" s="23">
        <f t="shared" si="44"/>
        <v>11197.8796908</v>
      </c>
      <c r="M538" s="39" t="s">
        <v>119</v>
      </c>
    </row>
    <row r="539" s="1" customFormat="1" ht="112.5" outlineLevel="1" spans="1:13">
      <c r="A539" s="24">
        <v>9</v>
      </c>
      <c r="B539" s="30" t="s">
        <v>117</v>
      </c>
      <c r="C539" s="30" t="s">
        <v>261</v>
      </c>
      <c r="D539" s="31" t="s">
        <v>116</v>
      </c>
      <c r="E539" s="26">
        <v>5.77</v>
      </c>
      <c r="F539" s="24">
        <v>46.43</v>
      </c>
      <c r="G539" s="24">
        <v>44</v>
      </c>
      <c r="H539" s="29">
        <v>18.9</v>
      </c>
      <c r="I539" s="29">
        <f t="shared" si="41"/>
        <v>10.933</v>
      </c>
      <c r="J539" s="29">
        <f t="shared" si="42"/>
        <v>10.82367</v>
      </c>
      <c r="K539" s="29">
        <f t="shared" si="43"/>
        <v>131.08667</v>
      </c>
      <c r="L539" s="23">
        <f t="shared" si="44"/>
        <v>756.3700859</v>
      </c>
      <c r="M539" s="39" t="s">
        <v>119</v>
      </c>
    </row>
    <row r="540" s="1" customFormat="1" ht="112.5" outlineLevel="1" spans="1:13">
      <c r="A540" s="24">
        <v>10</v>
      </c>
      <c r="B540" s="30" t="s">
        <v>117</v>
      </c>
      <c r="C540" s="30" t="s">
        <v>262</v>
      </c>
      <c r="D540" s="31" t="s">
        <v>116</v>
      </c>
      <c r="E540" s="26">
        <v>287.23</v>
      </c>
      <c r="F540" s="24">
        <v>44.05</v>
      </c>
      <c r="G540" s="24">
        <v>42.15</v>
      </c>
      <c r="H540" s="29">
        <v>17.18</v>
      </c>
      <c r="I540" s="29">
        <f t="shared" si="41"/>
        <v>10.338</v>
      </c>
      <c r="J540" s="29">
        <f t="shared" si="42"/>
        <v>10.23462</v>
      </c>
      <c r="K540" s="29">
        <f t="shared" si="43"/>
        <v>123.95262</v>
      </c>
      <c r="L540" s="23">
        <f t="shared" si="44"/>
        <v>35602.9110426</v>
      </c>
      <c r="M540" s="39" t="s">
        <v>119</v>
      </c>
    </row>
    <row r="541" s="1" customFormat="1" ht="112.5" outlineLevel="1" spans="1:13">
      <c r="A541" s="24">
        <v>11</v>
      </c>
      <c r="B541" s="30" t="s">
        <v>117</v>
      </c>
      <c r="C541" s="30" t="s">
        <v>328</v>
      </c>
      <c r="D541" s="31" t="s">
        <v>116</v>
      </c>
      <c r="E541" s="26">
        <v>336.6</v>
      </c>
      <c r="F541" s="24">
        <v>45.63</v>
      </c>
      <c r="G541" s="24">
        <v>44</v>
      </c>
      <c r="H541" s="29">
        <v>18.9</v>
      </c>
      <c r="I541" s="29">
        <f t="shared" si="41"/>
        <v>10.853</v>
      </c>
      <c r="J541" s="29">
        <f t="shared" si="42"/>
        <v>10.74447</v>
      </c>
      <c r="K541" s="29">
        <f t="shared" si="43"/>
        <v>130.12747</v>
      </c>
      <c r="L541" s="23">
        <f t="shared" si="44"/>
        <v>43800.906402</v>
      </c>
      <c r="M541" s="39" t="s">
        <v>119</v>
      </c>
    </row>
    <row r="542" s="1" customFormat="1" ht="45" outlineLevel="1" spans="1:13">
      <c r="A542" s="24">
        <v>12</v>
      </c>
      <c r="B542" s="25" t="s">
        <v>329</v>
      </c>
      <c r="C542" s="25" t="s">
        <v>404</v>
      </c>
      <c r="D542" s="26" t="s">
        <v>60</v>
      </c>
      <c r="E542" s="26">
        <v>1</v>
      </c>
      <c r="F542" s="20">
        <v>327.64</v>
      </c>
      <c r="G542" s="20">
        <v>554</v>
      </c>
      <c r="H542" s="29">
        <v>165.2</v>
      </c>
      <c r="I542" s="29">
        <f t="shared" si="41"/>
        <v>104.684</v>
      </c>
      <c r="J542" s="29">
        <f t="shared" si="42"/>
        <v>103.63716</v>
      </c>
      <c r="K542" s="29">
        <f t="shared" si="43"/>
        <v>1255.16116</v>
      </c>
      <c r="L542" s="23">
        <f t="shared" si="44"/>
        <v>1255.16116</v>
      </c>
      <c r="M542" s="38"/>
    </row>
    <row r="543" s="1" customFormat="1" ht="45" outlineLevel="1" spans="1:13">
      <c r="A543" s="24">
        <v>13</v>
      </c>
      <c r="B543" s="25" t="s">
        <v>329</v>
      </c>
      <c r="C543" s="25" t="s">
        <v>405</v>
      </c>
      <c r="D543" s="26" t="s">
        <v>60</v>
      </c>
      <c r="E543" s="26">
        <v>1</v>
      </c>
      <c r="F543" s="20">
        <v>327.64</v>
      </c>
      <c r="G543" s="20">
        <v>807</v>
      </c>
      <c r="H543" s="29">
        <v>165.2</v>
      </c>
      <c r="I543" s="29">
        <f t="shared" si="41"/>
        <v>129.984</v>
      </c>
      <c r="J543" s="29">
        <f t="shared" si="42"/>
        <v>128.68416</v>
      </c>
      <c r="K543" s="29">
        <f t="shared" si="43"/>
        <v>1558.50816</v>
      </c>
      <c r="L543" s="23">
        <f t="shared" si="44"/>
        <v>1558.50816</v>
      </c>
      <c r="M543" s="38"/>
    </row>
    <row r="544" s="1" customFormat="1" ht="56.25" outlineLevel="1" spans="1:13">
      <c r="A544" s="24">
        <v>14</v>
      </c>
      <c r="B544" s="25" t="s">
        <v>123</v>
      </c>
      <c r="C544" s="25" t="s">
        <v>377</v>
      </c>
      <c r="D544" s="26" t="s">
        <v>60</v>
      </c>
      <c r="E544" s="26">
        <v>2</v>
      </c>
      <c r="F544" s="24">
        <v>51.2</v>
      </c>
      <c r="G544" s="24">
        <v>390</v>
      </c>
      <c r="H544" s="29">
        <v>7.42</v>
      </c>
      <c r="I544" s="29">
        <f t="shared" si="41"/>
        <v>44.862</v>
      </c>
      <c r="J544" s="29">
        <f t="shared" si="42"/>
        <v>44.41338</v>
      </c>
      <c r="K544" s="29">
        <f t="shared" si="43"/>
        <v>537.89538</v>
      </c>
      <c r="L544" s="23">
        <f t="shared" si="44"/>
        <v>1075.79076</v>
      </c>
      <c r="M544" s="39" t="s">
        <v>104</v>
      </c>
    </row>
    <row r="545" s="1" customFormat="1" ht="45" outlineLevel="1" spans="1:13">
      <c r="A545" s="24">
        <v>15</v>
      </c>
      <c r="B545" s="25" t="s">
        <v>123</v>
      </c>
      <c r="C545" s="25" t="s">
        <v>378</v>
      </c>
      <c r="D545" s="26" t="s">
        <v>60</v>
      </c>
      <c r="E545" s="26">
        <v>36</v>
      </c>
      <c r="F545" s="24">
        <v>51.2</v>
      </c>
      <c r="G545" s="24">
        <v>325</v>
      </c>
      <c r="H545" s="29">
        <v>7.42</v>
      </c>
      <c r="I545" s="29">
        <f t="shared" si="41"/>
        <v>38.362</v>
      </c>
      <c r="J545" s="29">
        <f t="shared" si="42"/>
        <v>37.97838</v>
      </c>
      <c r="K545" s="29">
        <f t="shared" si="43"/>
        <v>459.96038</v>
      </c>
      <c r="L545" s="23">
        <f t="shared" si="44"/>
        <v>16558.57368</v>
      </c>
      <c r="M545" s="39" t="s">
        <v>104</v>
      </c>
    </row>
    <row r="546" s="1" customFormat="1" ht="56.25" outlineLevel="1" spans="1:13">
      <c r="A546" s="24">
        <v>16</v>
      </c>
      <c r="B546" s="25" t="s">
        <v>123</v>
      </c>
      <c r="C546" s="25" t="s">
        <v>406</v>
      </c>
      <c r="D546" s="26" t="s">
        <v>60</v>
      </c>
      <c r="E546" s="26">
        <v>18</v>
      </c>
      <c r="F546" s="24">
        <v>51.2</v>
      </c>
      <c r="G546" s="24">
        <v>119</v>
      </c>
      <c r="H546" s="29">
        <v>7.42</v>
      </c>
      <c r="I546" s="29">
        <f t="shared" si="41"/>
        <v>17.762</v>
      </c>
      <c r="J546" s="29">
        <f t="shared" si="42"/>
        <v>17.58438</v>
      </c>
      <c r="K546" s="29">
        <f t="shared" si="43"/>
        <v>212.96638</v>
      </c>
      <c r="L546" s="23">
        <f t="shared" si="44"/>
        <v>3833.39484</v>
      </c>
      <c r="M546" s="39" t="s">
        <v>104</v>
      </c>
    </row>
    <row r="547" s="1" customFormat="1" ht="45" outlineLevel="1" spans="1:13">
      <c r="A547" s="24">
        <v>17</v>
      </c>
      <c r="B547" s="25" t="s">
        <v>123</v>
      </c>
      <c r="C547" s="25" t="s">
        <v>335</v>
      </c>
      <c r="D547" s="26" t="s">
        <v>60</v>
      </c>
      <c r="E547" s="26">
        <v>4</v>
      </c>
      <c r="F547" s="24">
        <v>51.2</v>
      </c>
      <c r="G547" s="24">
        <v>103</v>
      </c>
      <c r="H547" s="29">
        <v>7.42</v>
      </c>
      <c r="I547" s="29">
        <f t="shared" si="41"/>
        <v>16.162</v>
      </c>
      <c r="J547" s="29">
        <f t="shared" si="42"/>
        <v>16.00038</v>
      </c>
      <c r="K547" s="29">
        <f t="shared" si="43"/>
        <v>193.78238</v>
      </c>
      <c r="L547" s="23">
        <f t="shared" si="44"/>
        <v>775.12952</v>
      </c>
      <c r="M547" s="39" t="s">
        <v>104</v>
      </c>
    </row>
    <row r="548" s="1" customFormat="1" ht="45" outlineLevel="1" spans="1:13">
      <c r="A548" s="24">
        <v>18</v>
      </c>
      <c r="B548" s="25" t="s">
        <v>127</v>
      </c>
      <c r="C548" s="25" t="s">
        <v>381</v>
      </c>
      <c r="D548" s="26" t="s">
        <v>60</v>
      </c>
      <c r="E548" s="26">
        <v>2</v>
      </c>
      <c r="F548" s="24">
        <v>127.67</v>
      </c>
      <c r="G548" s="24">
        <v>107</v>
      </c>
      <c r="H548" s="29">
        <v>19.82</v>
      </c>
      <c r="I548" s="29">
        <f t="shared" si="41"/>
        <v>25.449</v>
      </c>
      <c r="J548" s="29">
        <f t="shared" si="42"/>
        <v>25.19451</v>
      </c>
      <c r="K548" s="29">
        <f t="shared" si="43"/>
        <v>305.13351</v>
      </c>
      <c r="L548" s="23">
        <f t="shared" si="44"/>
        <v>610.26702</v>
      </c>
      <c r="M548" s="39" t="s">
        <v>104</v>
      </c>
    </row>
    <row r="549" s="1" customFormat="1" ht="45" outlineLevel="1" spans="1:13">
      <c r="A549" s="24">
        <v>19</v>
      </c>
      <c r="B549" s="25" t="s">
        <v>127</v>
      </c>
      <c r="C549" s="25" t="s">
        <v>269</v>
      </c>
      <c r="D549" s="26" t="s">
        <v>60</v>
      </c>
      <c r="E549" s="26">
        <v>2</v>
      </c>
      <c r="F549" s="24">
        <v>127.67</v>
      </c>
      <c r="G549" s="24">
        <v>227</v>
      </c>
      <c r="H549" s="29">
        <v>19.82</v>
      </c>
      <c r="I549" s="29">
        <f t="shared" ref="I549:I612" si="45">(F549+G549+H549)*$I$4</f>
        <v>37.449</v>
      </c>
      <c r="J549" s="29">
        <f t="shared" ref="J549:J612" si="46">(F549+G549+H549+I549)*$J$4</f>
        <v>37.07451</v>
      </c>
      <c r="K549" s="29">
        <f t="shared" si="43"/>
        <v>449.01351</v>
      </c>
      <c r="L549" s="23">
        <f t="shared" si="44"/>
        <v>898.02702</v>
      </c>
      <c r="M549" s="39" t="s">
        <v>104</v>
      </c>
    </row>
    <row r="550" s="1" customFormat="1" ht="45" outlineLevel="1" spans="1:13">
      <c r="A550" s="24">
        <v>20</v>
      </c>
      <c r="B550" s="25" t="s">
        <v>127</v>
      </c>
      <c r="C550" s="25" t="s">
        <v>336</v>
      </c>
      <c r="D550" s="26" t="s">
        <v>60</v>
      </c>
      <c r="E550" s="26">
        <v>2</v>
      </c>
      <c r="F550" s="24">
        <v>127.67</v>
      </c>
      <c r="G550" s="24">
        <v>266</v>
      </c>
      <c r="H550" s="29">
        <v>19.82</v>
      </c>
      <c r="I550" s="29">
        <f t="shared" si="45"/>
        <v>41.349</v>
      </c>
      <c r="J550" s="29">
        <f t="shared" si="46"/>
        <v>40.93551</v>
      </c>
      <c r="K550" s="29">
        <f t="shared" si="43"/>
        <v>495.77451</v>
      </c>
      <c r="L550" s="23">
        <f t="shared" si="44"/>
        <v>991.54902</v>
      </c>
      <c r="M550" s="39" t="s">
        <v>104</v>
      </c>
    </row>
    <row r="551" s="1" customFormat="1" ht="45" outlineLevel="1" spans="1:13">
      <c r="A551" s="24">
        <v>21</v>
      </c>
      <c r="B551" s="25" t="s">
        <v>127</v>
      </c>
      <c r="C551" s="25" t="s">
        <v>383</v>
      </c>
      <c r="D551" s="26" t="s">
        <v>60</v>
      </c>
      <c r="E551" s="26">
        <v>1</v>
      </c>
      <c r="F551" s="24">
        <v>127.67</v>
      </c>
      <c r="G551" s="24">
        <v>283</v>
      </c>
      <c r="H551" s="29">
        <v>19.82</v>
      </c>
      <c r="I551" s="29">
        <f t="shared" si="45"/>
        <v>43.049</v>
      </c>
      <c r="J551" s="29">
        <f t="shared" si="46"/>
        <v>42.61851</v>
      </c>
      <c r="K551" s="29">
        <f t="shared" si="43"/>
        <v>516.15751</v>
      </c>
      <c r="L551" s="23">
        <f t="shared" si="44"/>
        <v>516.15751</v>
      </c>
      <c r="M551" s="39" t="s">
        <v>104</v>
      </c>
    </row>
    <row r="552" s="1" customFormat="1" ht="45" outlineLevel="1" spans="1:13">
      <c r="A552" s="24">
        <v>22</v>
      </c>
      <c r="B552" s="25" t="s">
        <v>127</v>
      </c>
      <c r="C552" s="25" t="s">
        <v>407</v>
      </c>
      <c r="D552" s="26" t="s">
        <v>60</v>
      </c>
      <c r="E552" s="26">
        <v>1</v>
      </c>
      <c r="F552" s="24">
        <v>127.67</v>
      </c>
      <c r="G552" s="24">
        <v>193</v>
      </c>
      <c r="H552" s="29">
        <v>19.82</v>
      </c>
      <c r="I552" s="29">
        <f t="shared" si="45"/>
        <v>34.049</v>
      </c>
      <c r="J552" s="29">
        <f t="shared" si="46"/>
        <v>33.70851</v>
      </c>
      <c r="K552" s="29">
        <f t="shared" si="43"/>
        <v>408.24751</v>
      </c>
      <c r="L552" s="23">
        <f t="shared" si="44"/>
        <v>408.24751</v>
      </c>
      <c r="M552" s="39" t="s">
        <v>104</v>
      </c>
    </row>
    <row r="553" s="1" customFormat="1" ht="45" outlineLevel="1" spans="1:13">
      <c r="A553" s="24">
        <v>23</v>
      </c>
      <c r="B553" s="25" t="s">
        <v>127</v>
      </c>
      <c r="C553" s="25" t="s">
        <v>386</v>
      </c>
      <c r="D553" s="26" t="s">
        <v>60</v>
      </c>
      <c r="E553" s="26">
        <v>1</v>
      </c>
      <c r="F553" s="24">
        <v>127.67</v>
      </c>
      <c r="G553" s="24">
        <v>184</v>
      </c>
      <c r="H553" s="29">
        <v>19.82</v>
      </c>
      <c r="I553" s="29">
        <f t="shared" si="45"/>
        <v>33.149</v>
      </c>
      <c r="J553" s="29">
        <f t="shared" si="46"/>
        <v>32.81751</v>
      </c>
      <c r="K553" s="29">
        <f t="shared" si="43"/>
        <v>397.45651</v>
      </c>
      <c r="L553" s="23">
        <f t="shared" si="44"/>
        <v>397.45651</v>
      </c>
      <c r="M553" s="39" t="s">
        <v>104</v>
      </c>
    </row>
    <row r="554" s="1" customFormat="1" ht="45" outlineLevel="1" spans="1:13">
      <c r="A554" s="24">
        <v>24</v>
      </c>
      <c r="B554" s="25" t="s">
        <v>127</v>
      </c>
      <c r="C554" s="25" t="s">
        <v>388</v>
      </c>
      <c r="D554" s="26" t="s">
        <v>60</v>
      </c>
      <c r="E554" s="26">
        <v>6</v>
      </c>
      <c r="F554" s="24">
        <v>127.67</v>
      </c>
      <c r="G554" s="24">
        <v>238</v>
      </c>
      <c r="H554" s="29">
        <v>19.82</v>
      </c>
      <c r="I554" s="29">
        <f t="shared" si="45"/>
        <v>38.549</v>
      </c>
      <c r="J554" s="29">
        <f t="shared" si="46"/>
        <v>38.16351</v>
      </c>
      <c r="K554" s="29">
        <f t="shared" si="43"/>
        <v>462.20251</v>
      </c>
      <c r="L554" s="23">
        <f t="shared" si="44"/>
        <v>2773.21506</v>
      </c>
      <c r="M554" s="39" t="s">
        <v>104</v>
      </c>
    </row>
    <row r="555" s="1" customFormat="1" ht="45" outlineLevel="1" spans="1:13">
      <c r="A555" s="24">
        <v>25</v>
      </c>
      <c r="B555" s="25" t="s">
        <v>127</v>
      </c>
      <c r="C555" s="25" t="s">
        <v>270</v>
      </c>
      <c r="D555" s="26" t="s">
        <v>60</v>
      </c>
      <c r="E555" s="26">
        <v>2</v>
      </c>
      <c r="F555" s="24">
        <v>30.63</v>
      </c>
      <c r="G555" s="24">
        <v>168</v>
      </c>
      <c r="H555" s="29">
        <v>9.1</v>
      </c>
      <c r="I555" s="29">
        <f t="shared" si="45"/>
        <v>20.773</v>
      </c>
      <c r="J555" s="29">
        <f t="shared" si="46"/>
        <v>20.56527</v>
      </c>
      <c r="K555" s="29">
        <f t="shared" si="43"/>
        <v>249.06827</v>
      </c>
      <c r="L555" s="23">
        <f t="shared" si="44"/>
        <v>498.13654</v>
      </c>
      <c r="M555" s="39" t="s">
        <v>104</v>
      </c>
    </row>
    <row r="556" s="1" customFormat="1" ht="45" outlineLevel="1" spans="1:13">
      <c r="A556" s="24">
        <v>26</v>
      </c>
      <c r="B556" s="25" t="s">
        <v>127</v>
      </c>
      <c r="C556" s="25" t="s">
        <v>408</v>
      </c>
      <c r="D556" s="26" t="s">
        <v>60</v>
      </c>
      <c r="E556" s="26">
        <v>2</v>
      </c>
      <c r="F556" s="24">
        <v>30.63</v>
      </c>
      <c r="G556" s="24">
        <v>183</v>
      </c>
      <c r="H556" s="29">
        <v>9.1</v>
      </c>
      <c r="I556" s="29">
        <f t="shared" si="45"/>
        <v>22.273</v>
      </c>
      <c r="J556" s="29">
        <f t="shared" si="46"/>
        <v>22.05027</v>
      </c>
      <c r="K556" s="29">
        <f t="shared" si="43"/>
        <v>267.05327</v>
      </c>
      <c r="L556" s="23">
        <f t="shared" si="44"/>
        <v>534.10654</v>
      </c>
      <c r="M556" s="39" t="s">
        <v>104</v>
      </c>
    </row>
    <row r="557" s="1" customFormat="1" ht="45" outlineLevel="1" spans="1:13">
      <c r="A557" s="24">
        <v>27</v>
      </c>
      <c r="B557" s="25" t="s">
        <v>127</v>
      </c>
      <c r="C557" s="25" t="s">
        <v>391</v>
      </c>
      <c r="D557" s="26" t="s">
        <v>60</v>
      </c>
      <c r="E557" s="26">
        <v>2</v>
      </c>
      <c r="F557" s="24">
        <v>31.63</v>
      </c>
      <c r="G557" s="24">
        <v>120</v>
      </c>
      <c r="H557" s="29">
        <v>10.1</v>
      </c>
      <c r="I557" s="29">
        <f t="shared" si="45"/>
        <v>16.173</v>
      </c>
      <c r="J557" s="29">
        <f t="shared" si="46"/>
        <v>16.01127</v>
      </c>
      <c r="K557" s="29">
        <f t="shared" si="43"/>
        <v>193.91427</v>
      </c>
      <c r="L557" s="23">
        <f t="shared" si="44"/>
        <v>387.82854</v>
      </c>
      <c r="M557" s="39" t="s">
        <v>104</v>
      </c>
    </row>
    <row r="558" s="1" customFormat="1" ht="33.75" outlineLevel="1" spans="1:13">
      <c r="A558" s="24">
        <v>28</v>
      </c>
      <c r="B558" s="25" t="s">
        <v>342</v>
      </c>
      <c r="C558" s="25" t="s">
        <v>343</v>
      </c>
      <c r="D558" s="26" t="s">
        <v>60</v>
      </c>
      <c r="E558" s="26">
        <v>4</v>
      </c>
      <c r="F558" s="24">
        <v>32.63</v>
      </c>
      <c r="G558" s="20">
        <v>132</v>
      </c>
      <c r="H558" s="29">
        <v>11.1</v>
      </c>
      <c r="I558" s="29">
        <f t="shared" si="45"/>
        <v>17.573</v>
      </c>
      <c r="J558" s="29">
        <f t="shared" si="46"/>
        <v>17.39727</v>
      </c>
      <c r="K558" s="29">
        <f t="shared" si="43"/>
        <v>210.70027</v>
      </c>
      <c r="L558" s="23">
        <f t="shared" si="44"/>
        <v>842.80108</v>
      </c>
      <c r="M558" s="39" t="s">
        <v>159</v>
      </c>
    </row>
    <row r="559" s="1" customFormat="1" ht="33.75" outlineLevel="1" spans="1:13">
      <c r="A559" s="24">
        <v>29</v>
      </c>
      <c r="B559" s="25" t="s">
        <v>344</v>
      </c>
      <c r="C559" s="25" t="s">
        <v>345</v>
      </c>
      <c r="D559" s="26" t="s">
        <v>60</v>
      </c>
      <c r="E559" s="26">
        <v>42</v>
      </c>
      <c r="F559" s="24">
        <v>33.63</v>
      </c>
      <c r="G559" s="24">
        <v>28</v>
      </c>
      <c r="H559" s="29">
        <v>12.1</v>
      </c>
      <c r="I559" s="29">
        <f t="shared" si="45"/>
        <v>7.373</v>
      </c>
      <c r="J559" s="29">
        <f t="shared" si="46"/>
        <v>7.29927</v>
      </c>
      <c r="K559" s="29">
        <f t="shared" si="43"/>
        <v>88.40227</v>
      </c>
      <c r="L559" s="23">
        <f t="shared" si="44"/>
        <v>3712.89534</v>
      </c>
      <c r="M559" s="39" t="s">
        <v>159</v>
      </c>
    </row>
    <row r="560" s="1" customFormat="1" ht="56.25" outlineLevel="1" spans="1:13">
      <c r="A560" s="24">
        <v>30</v>
      </c>
      <c r="B560" s="25" t="s">
        <v>346</v>
      </c>
      <c r="C560" s="25" t="s">
        <v>347</v>
      </c>
      <c r="D560" s="26" t="s">
        <v>71</v>
      </c>
      <c r="E560" s="27">
        <v>1</v>
      </c>
      <c r="F560" s="24">
        <v>5000</v>
      </c>
      <c r="G560" s="29">
        <v>150</v>
      </c>
      <c r="H560" s="29">
        <v>350</v>
      </c>
      <c r="I560" s="29">
        <f t="shared" si="45"/>
        <v>550</v>
      </c>
      <c r="J560" s="29">
        <f t="shared" si="46"/>
        <v>544.5</v>
      </c>
      <c r="K560" s="29">
        <f t="shared" si="43"/>
        <v>6594.5</v>
      </c>
      <c r="L560" s="23">
        <f t="shared" si="44"/>
        <v>6594.5</v>
      </c>
      <c r="M560" s="39" t="s">
        <v>142</v>
      </c>
    </row>
    <row r="561" s="1" customFormat="1" ht="56.25" outlineLevel="1" spans="1:13">
      <c r="A561" s="24">
        <v>31</v>
      </c>
      <c r="B561" s="25" t="s">
        <v>275</v>
      </c>
      <c r="C561" s="25" t="s">
        <v>304</v>
      </c>
      <c r="D561" s="26" t="s">
        <v>71</v>
      </c>
      <c r="E561" s="26">
        <v>1</v>
      </c>
      <c r="F561" s="20">
        <v>1.38</v>
      </c>
      <c r="G561" s="29">
        <v>2.1</v>
      </c>
      <c r="H561" s="29">
        <v>0.8</v>
      </c>
      <c r="I561" s="29">
        <f t="shared" si="45"/>
        <v>0.428</v>
      </c>
      <c r="J561" s="29">
        <f t="shared" si="46"/>
        <v>0.42372</v>
      </c>
      <c r="K561" s="29">
        <f t="shared" si="43"/>
        <v>5.13172</v>
      </c>
      <c r="L561" s="23">
        <f t="shared" si="44"/>
        <v>5.13172</v>
      </c>
      <c r="M561" s="39" t="s">
        <v>142</v>
      </c>
    </row>
    <row r="562" s="1" customFormat="1" ht="56.25" outlineLevel="1" spans="1:13">
      <c r="A562" s="24">
        <v>32</v>
      </c>
      <c r="B562" s="25" t="s">
        <v>277</v>
      </c>
      <c r="C562" s="25" t="s">
        <v>278</v>
      </c>
      <c r="D562" s="26" t="s">
        <v>71</v>
      </c>
      <c r="E562" s="26">
        <v>1</v>
      </c>
      <c r="F562" s="24">
        <v>6.77</v>
      </c>
      <c r="G562" s="29">
        <v>9.5</v>
      </c>
      <c r="H562" s="29">
        <v>1.2</v>
      </c>
      <c r="I562" s="29">
        <f t="shared" si="45"/>
        <v>1.747</v>
      </c>
      <c r="J562" s="29">
        <f t="shared" si="46"/>
        <v>1.72953</v>
      </c>
      <c r="K562" s="29">
        <f t="shared" si="43"/>
        <v>20.94653</v>
      </c>
      <c r="L562" s="23">
        <f t="shared" si="44"/>
        <v>20.94653</v>
      </c>
      <c r="M562" s="39" t="s">
        <v>142</v>
      </c>
    </row>
    <row r="563" s="1" customFormat="1" ht="56.25" outlineLevel="1" spans="1:13">
      <c r="A563" s="24">
        <v>33</v>
      </c>
      <c r="B563" s="25" t="s">
        <v>279</v>
      </c>
      <c r="C563" s="25" t="s">
        <v>280</v>
      </c>
      <c r="D563" s="26" t="s">
        <v>71</v>
      </c>
      <c r="E563" s="26">
        <v>1</v>
      </c>
      <c r="F563" s="24">
        <v>6.77</v>
      </c>
      <c r="G563" s="29">
        <v>9.5</v>
      </c>
      <c r="H563" s="29">
        <v>1.2</v>
      </c>
      <c r="I563" s="29">
        <f t="shared" si="45"/>
        <v>1.747</v>
      </c>
      <c r="J563" s="29">
        <f t="shared" si="46"/>
        <v>1.72953</v>
      </c>
      <c r="K563" s="29">
        <f t="shared" si="43"/>
        <v>20.94653</v>
      </c>
      <c r="L563" s="23">
        <f t="shared" si="44"/>
        <v>20.94653</v>
      </c>
      <c r="M563" s="39" t="s">
        <v>142</v>
      </c>
    </row>
    <row r="564" s="1" customFormat="1" outlineLevel="1" spans="1:13">
      <c r="A564" s="20" t="s">
        <v>99</v>
      </c>
      <c r="B564" s="21" t="s">
        <v>409</v>
      </c>
      <c r="C564" s="21"/>
      <c r="D564" s="22"/>
      <c r="E564" s="22"/>
      <c r="F564" s="20"/>
      <c r="G564" s="29"/>
      <c r="H564" s="29"/>
      <c r="I564" s="29">
        <f t="shared" si="45"/>
        <v>0</v>
      </c>
      <c r="J564" s="29">
        <f t="shared" si="46"/>
        <v>0</v>
      </c>
      <c r="K564" s="29">
        <f t="shared" si="43"/>
        <v>0</v>
      </c>
      <c r="L564" s="23">
        <f t="shared" si="44"/>
        <v>0</v>
      </c>
      <c r="M564" s="38"/>
    </row>
    <row r="565" s="1" customFormat="1" ht="56.25" outlineLevel="1" spans="1:13">
      <c r="A565" s="24">
        <v>1</v>
      </c>
      <c r="B565" s="25" t="s">
        <v>154</v>
      </c>
      <c r="C565" s="25" t="s">
        <v>349</v>
      </c>
      <c r="D565" s="26" t="s">
        <v>42</v>
      </c>
      <c r="E565" s="27">
        <f>173.76+(2.95*18+3)*2</f>
        <v>285.96</v>
      </c>
      <c r="F565" s="28">
        <v>0.92</v>
      </c>
      <c r="G565" s="29">
        <v>2.57</v>
      </c>
      <c r="H565" s="29">
        <v>0.85</v>
      </c>
      <c r="I565" s="29">
        <f t="shared" si="45"/>
        <v>0.434</v>
      </c>
      <c r="J565" s="29">
        <f t="shared" si="46"/>
        <v>0.42966</v>
      </c>
      <c r="K565" s="29">
        <f t="shared" si="43"/>
        <v>5.20366</v>
      </c>
      <c r="L565" s="23">
        <f t="shared" si="44"/>
        <v>1488.0386136</v>
      </c>
      <c r="M565" s="39" t="s">
        <v>142</v>
      </c>
    </row>
    <row r="566" s="1" customFormat="1" ht="56.25" outlineLevel="1" spans="1:13">
      <c r="A566" s="24">
        <v>2</v>
      </c>
      <c r="B566" s="25" t="s">
        <v>154</v>
      </c>
      <c r="C566" s="25" t="s">
        <v>206</v>
      </c>
      <c r="D566" s="26" t="s">
        <v>42</v>
      </c>
      <c r="E566" s="27">
        <f>E565*2</f>
        <v>571.92</v>
      </c>
      <c r="F566" s="28">
        <v>0.92</v>
      </c>
      <c r="G566" s="29">
        <v>1.93</v>
      </c>
      <c r="H566" s="29">
        <v>0.85</v>
      </c>
      <c r="I566" s="29">
        <f t="shared" si="45"/>
        <v>0.37</v>
      </c>
      <c r="J566" s="29">
        <f t="shared" si="46"/>
        <v>0.3663</v>
      </c>
      <c r="K566" s="29">
        <f t="shared" si="43"/>
        <v>4.4363</v>
      </c>
      <c r="L566" s="23">
        <f t="shared" si="44"/>
        <v>2537.208696</v>
      </c>
      <c r="M566" s="39" t="s">
        <v>142</v>
      </c>
    </row>
    <row r="567" s="1" customFormat="1" ht="33.75" outlineLevel="1" spans="1:13">
      <c r="A567" s="24">
        <v>3</v>
      </c>
      <c r="B567" s="25" t="s">
        <v>157</v>
      </c>
      <c r="C567" s="25" t="s">
        <v>306</v>
      </c>
      <c r="D567" s="26" t="s">
        <v>60</v>
      </c>
      <c r="E567" s="27">
        <v>4</v>
      </c>
      <c r="F567" s="24">
        <v>265.43</v>
      </c>
      <c r="G567" s="29">
        <v>116</v>
      </c>
      <c r="H567" s="29">
        <v>16.5</v>
      </c>
      <c r="I567" s="29">
        <f t="shared" si="45"/>
        <v>39.793</v>
      </c>
      <c r="J567" s="29">
        <f t="shared" si="46"/>
        <v>39.39507</v>
      </c>
      <c r="K567" s="29">
        <f t="shared" si="43"/>
        <v>477.11807</v>
      </c>
      <c r="L567" s="23">
        <f t="shared" si="44"/>
        <v>1908.47228</v>
      </c>
      <c r="M567" s="39" t="s">
        <v>159</v>
      </c>
    </row>
    <row r="568" s="1" customFormat="1" outlineLevel="1" spans="1:13">
      <c r="A568" s="20" t="s">
        <v>152</v>
      </c>
      <c r="B568" s="21" t="s">
        <v>410</v>
      </c>
      <c r="C568" s="21"/>
      <c r="D568" s="26"/>
      <c r="E568" s="27"/>
      <c r="F568" s="24"/>
      <c r="G568" s="29"/>
      <c r="H568" s="29"/>
      <c r="I568" s="29">
        <f t="shared" si="45"/>
        <v>0</v>
      </c>
      <c r="J568" s="29">
        <f t="shared" si="46"/>
        <v>0</v>
      </c>
      <c r="K568" s="29">
        <f t="shared" si="43"/>
        <v>0</v>
      </c>
      <c r="L568" s="23">
        <f t="shared" si="44"/>
        <v>0</v>
      </c>
      <c r="M568" s="39"/>
    </row>
    <row r="569" s="1" customFormat="1" ht="56.25" outlineLevel="1" spans="1:13">
      <c r="A569" s="24">
        <v>1</v>
      </c>
      <c r="B569" s="25" t="s">
        <v>154</v>
      </c>
      <c r="C569" s="25" t="s">
        <v>351</v>
      </c>
      <c r="D569" s="26" t="s">
        <v>42</v>
      </c>
      <c r="E569" s="27">
        <f>173.76+(2.95*1+3)*2</f>
        <v>185.66</v>
      </c>
      <c r="F569" s="28">
        <v>0.92</v>
      </c>
      <c r="G569" s="29">
        <v>2.04</v>
      </c>
      <c r="H569" s="29">
        <v>0.85</v>
      </c>
      <c r="I569" s="29">
        <f t="shared" si="45"/>
        <v>0.381</v>
      </c>
      <c r="J569" s="29">
        <f t="shared" si="46"/>
        <v>0.37719</v>
      </c>
      <c r="K569" s="29">
        <f t="shared" si="43"/>
        <v>4.56819</v>
      </c>
      <c r="L569" s="23">
        <f t="shared" si="44"/>
        <v>848.1301554</v>
      </c>
      <c r="M569" s="39" t="s">
        <v>142</v>
      </c>
    </row>
    <row r="570" s="1" customFormat="1" ht="33.75" outlineLevel="1" spans="1:13">
      <c r="A570" s="24">
        <v>2</v>
      </c>
      <c r="B570" s="25" t="s">
        <v>157</v>
      </c>
      <c r="C570" s="25" t="s">
        <v>163</v>
      </c>
      <c r="D570" s="26" t="s">
        <v>60</v>
      </c>
      <c r="E570" s="27">
        <v>2</v>
      </c>
      <c r="F570" s="24">
        <v>285.43</v>
      </c>
      <c r="G570" s="29">
        <v>78.4</v>
      </c>
      <c r="H570" s="29">
        <v>66.5</v>
      </c>
      <c r="I570" s="29">
        <f t="shared" si="45"/>
        <v>43.033</v>
      </c>
      <c r="J570" s="29">
        <f t="shared" si="46"/>
        <v>42.60267</v>
      </c>
      <c r="K570" s="29">
        <f t="shared" si="43"/>
        <v>515.96567</v>
      </c>
      <c r="L570" s="23">
        <f t="shared" si="44"/>
        <v>1031.93134</v>
      </c>
      <c r="M570" s="39" t="s">
        <v>159</v>
      </c>
    </row>
    <row r="571" s="1" customFormat="1" ht="22.5" outlineLevel="1" spans="1:13">
      <c r="A571" s="20" t="s">
        <v>160</v>
      </c>
      <c r="B571" s="21" t="s">
        <v>411</v>
      </c>
      <c r="C571" s="21"/>
      <c r="D571" s="22"/>
      <c r="E571" s="22"/>
      <c r="F571" s="20"/>
      <c r="G571" s="29"/>
      <c r="H571" s="29"/>
      <c r="I571" s="29">
        <f t="shared" si="45"/>
        <v>0</v>
      </c>
      <c r="J571" s="29">
        <f t="shared" si="46"/>
        <v>0</v>
      </c>
      <c r="K571" s="29">
        <f t="shared" si="43"/>
        <v>0</v>
      </c>
      <c r="L571" s="23">
        <f t="shared" si="44"/>
        <v>0</v>
      </c>
      <c r="M571" s="38"/>
    </row>
    <row r="572" s="1" customFormat="1" ht="67.5" outlineLevel="1" spans="1:13">
      <c r="A572" s="24">
        <v>1</v>
      </c>
      <c r="B572" s="25" t="s">
        <v>154</v>
      </c>
      <c r="C572" s="25" t="s">
        <v>353</v>
      </c>
      <c r="D572" s="26" t="s">
        <v>42</v>
      </c>
      <c r="E572" s="27">
        <f>(173.76+(2.95+3)*2)*2</f>
        <v>371.32</v>
      </c>
      <c r="F572" s="28">
        <v>0.92</v>
      </c>
      <c r="G572" s="29">
        <v>2.14</v>
      </c>
      <c r="H572" s="29">
        <v>0.85</v>
      </c>
      <c r="I572" s="29">
        <f t="shared" si="45"/>
        <v>0.391</v>
      </c>
      <c r="J572" s="29">
        <f t="shared" si="46"/>
        <v>0.38709</v>
      </c>
      <c r="K572" s="29">
        <f t="shared" si="43"/>
        <v>4.68809</v>
      </c>
      <c r="L572" s="23">
        <f t="shared" si="44"/>
        <v>1740.7815788</v>
      </c>
      <c r="M572" s="39" t="s">
        <v>142</v>
      </c>
    </row>
    <row r="573" s="1" customFormat="1" ht="67.5" outlineLevel="1" spans="1:13">
      <c r="A573" s="24">
        <v>2</v>
      </c>
      <c r="B573" s="25" t="s">
        <v>154</v>
      </c>
      <c r="C573" s="25" t="s">
        <v>167</v>
      </c>
      <c r="D573" s="26" t="s">
        <v>42</v>
      </c>
      <c r="E573" s="27">
        <f>E572</f>
        <v>371.32</v>
      </c>
      <c r="F573" s="28">
        <v>0.92</v>
      </c>
      <c r="G573" s="29">
        <v>2.82</v>
      </c>
      <c r="H573" s="29">
        <v>0.85</v>
      </c>
      <c r="I573" s="29">
        <f t="shared" si="45"/>
        <v>0.459</v>
      </c>
      <c r="J573" s="29">
        <f t="shared" si="46"/>
        <v>0.45441</v>
      </c>
      <c r="K573" s="29">
        <f t="shared" si="43"/>
        <v>5.50341</v>
      </c>
      <c r="L573" s="23">
        <f t="shared" si="44"/>
        <v>2043.5262012</v>
      </c>
      <c r="M573" s="39" t="s">
        <v>142</v>
      </c>
    </row>
    <row r="574" s="1" customFormat="1" ht="67.5" outlineLevel="1" spans="1:13">
      <c r="A574" s="24">
        <v>3</v>
      </c>
      <c r="B574" s="25" t="s">
        <v>154</v>
      </c>
      <c r="C574" s="25" t="s">
        <v>354</v>
      </c>
      <c r="D574" s="26" t="s">
        <v>42</v>
      </c>
      <c r="E574" s="27">
        <f>(173.76+(2.95+3)*2)</f>
        <v>185.66</v>
      </c>
      <c r="F574" s="28">
        <v>0.92</v>
      </c>
      <c r="G574" s="29">
        <v>2.57</v>
      </c>
      <c r="H574" s="29">
        <v>0.85</v>
      </c>
      <c r="I574" s="29">
        <f t="shared" si="45"/>
        <v>0.434</v>
      </c>
      <c r="J574" s="29">
        <f t="shared" si="46"/>
        <v>0.42966</v>
      </c>
      <c r="K574" s="29">
        <f t="shared" si="43"/>
        <v>5.20366</v>
      </c>
      <c r="L574" s="23">
        <f t="shared" si="44"/>
        <v>966.1115156</v>
      </c>
      <c r="M574" s="39" t="s">
        <v>142</v>
      </c>
    </row>
    <row r="575" s="1" customFormat="1" ht="67.5" outlineLevel="1" spans="1:13">
      <c r="A575" s="24">
        <v>4</v>
      </c>
      <c r="B575" s="25" t="s">
        <v>154</v>
      </c>
      <c r="C575" s="25" t="s">
        <v>355</v>
      </c>
      <c r="D575" s="26" t="s">
        <v>42</v>
      </c>
      <c r="E575" s="27">
        <f>E574</f>
        <v>185.66</v>
      </c>
      <c r="F575" s="28">
        <v>0.92</v>
      </c>
      <c r="G575" s="29">
        <v>2.57</v>
      </c>
      <c r="H575" s="29">
        <v>0.85</v>
      </c>
      <c r="I575" s="29">
        <f t="shared" si="45"/>
        <v>0.434</v>
      </c>
      <c r="J575" s="29">
        <f t="shared" si="46"/>
        <v>0.42966</v>
      </c>
      <c r="K575" s="29">
        <f t="shared" si="43"/>
        <v>5.20366</v>
      </c>
      <c r="L575" s="23">
        <f t="shared" si="44"/>
        <v>966.1115156</v>
      </c>
      <c r="M575" s="39" t="s">
        <v>142</v>
      </c>
    </row>
    <row r="576" s="1" customFormat="1" ht="67.5" outlineLevel="1" spans="1:13">
      <c r="A576" s="24">
        <v>5</v>
      </c>
      <c r="B576" s="25" t="s">
        <v>154</v>
      </c>
      <c r="C576" s="25" t="s">
        <v>170</v>
      </c>
      <c r="D576" s="26" t="s">
        <v>42</v>
      </c>
      <c r="E576" s="27">
        <v>1077.77</v>
      </c>
      <c r="F576" s="28">
        <v>0.92</v>
      </c>
      <c r="G576" s="29">
        <v>2.04</v>
      </c>
      <c r="H576" s="29">
        <v>0.85</v>
      </c>
      <c r="I576" s="29">
        <f t="shared" si="45"/>
        <v>0.381</v>
      </c>
      <c r="J576" s="29">
        <f t="shared" si="46"/>
        <v>0.37719</v>
      </c>
      <c r="K576" s="29">
        <f t="shared" si="43"/>
        <v>4.56819</v>
      </c>
      <c r="L576" s="23">
        <f t="shared" si="44"/>
        <v>4923.4581363</v>
      </c>
      <c r="M576" s="39" t="s">
        <v>142</v>
      </c>
    </row>
    <row r="577" s="1" customFormat="1" ht="67.5" outlineLevel="1" spans="1:13">
      <c r="A577" s="24">
        <v>6</v>
      </c>
      <c r="B577" s="25" t="s">
        <v>154</v>
      </c>
      <c r="C577" s="25" t="s">
        <v>310</v>
      </c>
      <c r="D577" s="26" t="s">
        <v>42</v>
      </c>
      <c r="E577" s="27">
        <v>1296.66</v>
      </c>
      <c r="F577" s="28">
        <v>0.92</v>
      </c>
      <c r="G577" s="29">
        <v>1.93</v>
      </c>
      <c r="H577" s="29">
        <v>0.85</v>
      </c>
      <c r="I577" s="29">
        <f t="shared" si="45"/>
        <v>0.37</v>
      </c>
      <c r="J577" s="29">
        <f t="shared" si="46"/>
        <v>0.3663</v>
      </c>
      <c r="K577" s="29">
        <f t="shared" si="43"/>
        <v>4.4363</v>
      </c>
      <c r="L577" s="23">
        <f t="shared" si="44"/>
        <v>5752.372758</v>
      </c>
      <c r="M577" s="39" t="s">
        <v>142</v>
      </c>
    </row>
    <row r="578" s="1" customFormat="1" ht="67.5" outlineLevel="1" spans="1:13">
      <c r="A578" s="24">
        <v>7</v>
      </c>
      <c r="B578" s="25" t="s">
        <v>154</v>
      </c>
      <c r="C578" s="25" t="s">
        <v>356</v>
      </c>
      <c r="D578" s="26" t="s">
        <v>42</v>
      </c>
      <c r="E578" s="27">
        <v>288.79</v>
      </c>
      <c r="F578" s="28">
        <v>0.92</v>
      </c>
      <c r="G578" s="29">
        <v>2.57</v>
      </c>
      <c r="H578" s="29">
        <v>0.85</v>
      </c>
      <c r="I578" s="29">
        <f t="shared" si="45"/>
        <v>0.434</v>
      </c>
      <c r="J578" s="29">
        <f t="shared" si="46"/>
        <v>0.42966</v>
      </c>
      <c r="K578" s="29">
        <f t="shared" si="43"/>
        <v>5.20366</v>
      </c>
      <c r="L578" s="23">
        <f t="shared" si="44"/>
        <v>1502.7649714</v>
      </c>
      <c r="M578" s="39" t="s">
        <v>142</v>
      </c>
    </row>
    <row r="579" s="1" customFormat="1" ht="67.5" outlineLevel="1" spans="1:13">
      <c r="A579" s="24">
        <v>8</v>
      </c>
      <c r="B579" s="25" t="s">
        <v>154</v>
      </c>
      <c r="C579" s="25" t="s">
        <v>357</v>
      </c>
      <c r="D579" s="26" t="s">
        <v>42</v>
      </c>
      <c r="E579" s="27">
        <v>296.86</v>
      </c>
      <c r="F579" s="28">
        <v>0.92</v>
      </c>
      <c r="G579" s="29">
        <v>2.57</v>
      </c>
      <c r="H579" s="29">
        <v>0.85</v>
      </c>
      <c r="I579" s="29">
        <f t="shared" si="45"/>
        <v>0.434</v>
      </c>
      <c r="J579" s="29">
        <f t="shared" si="46"/>
        <v>0.42966</v>
      </c>
      <c r="K579" s="29">
        <f t="shared" si="43"/>
        <v>5.20366</v>
      </c>
      <c r="L579" s="23">
        <f t="shared" si="44"/>
        <v>1544.7585076</v>
      </c>
      <c r="M579" s="39" t="s">
        <v>142</v>
      </c>
    </row>
    <row r="580" s="1" customFormat="1" ht="33.75" outlineLevel="1" spans="1:13">
      <c r="A580" s="24">
        <v>9</v>
      </c>
      <c r="B580" s="25" t="s">
        <v>174</v>
      </c>
      <c r="C580" s="25" t="s">
        <v>175</v>
      </c>
      <c r="D580" s="26" t="s">
        <v>60</v>
      </c>
      <c r="E580" s="27">
        <v>38</v>
      </c>
      <c r="F580" s="28">
        <v>192.41</v>
      </c>
      <c r="G580" s="28">
        <v>26.6</v>
      </c>
      <c r="H580" s="29">
        <v>10.12</v>
      </c>
      <c r="I580" s="29">
        <f t="shared" si="45"/>
        <v>22.913</v>
      </c>
      <c r="J580" s="29">
        <f t="shared" si="46"/>
        <v>22.68387</v>
      </c>
      <c r="K580" s="29">
        <f t="shared" si="43"/>
        <v>274.72687</v>
      </c>
      <c r="L580" s="23">
        <f t="shared" si="44"/>
        <v>10439.62106</v>
      </c>
      <c r="M580" s="39" t="s">
        <v>159</v>
      </c>
    </row>
    <row r="581" s="1" customFormat="1" ht="33.75" outlineLevel="1" spans="1:13">
      <c r="A581" s="24">
        <v>10</v>
      </c>
      <c r="B581" s="25" t="s">
        <v>176</v>
      </c>
      <c r="C581" s="25" t="s">
        <v>177</v>
      </c>
      <c r="D581" s="26" t="s">
        <v>60</v>
      </c>
      <c r="E581" s="27">
        <v>160</v>
      </c>
      <c r="F581" s="28">
        <v>37.21</v>
      </c>
      <c r="G581" s="28">
        <v>19.2</v>
      </c>
      <c r="H581" s="29">
        <v>2.21</v>
      </c>
      <c r="I581" s="29">
        <f t="shared" si="45"/>
        <v>5.862</v>
      </c>
      <c r="J581" s="29">
        <f t="shared" si="46"/>
        <v>5.80338</v>
      </c>
      <c r="K581" s="29">
        <f t="shared" si="43"/>
        <v>70.28538</v>
      </c>
      <c r="L581" s="23">
        <f t="shared" si="44"/>
        <v>11245.6608</v>
      </c>
      <c r="M581" s="39" t="s">
        <v>159</v>
      </c>
    </row>
    <row r="582" s="1" customFormat="1" ht="45" outlineLevel="1" spans="1:13">
      <c r="A582" s="24">
        <v>11</v>
      </c>
      <c r="B582" s="25" t="s">
        <v>180</v>
      </c>
      <c r="C582" s="25" t="s">
        <v>181</v>
      </c>
      <c r="D582" s="26" t="s">
        <v>60</v>
      </c>
      <c r="E582" s="27">
        <v>38</v>
      </c>
      <c r="F582" s="28">
        <v>65.22</v>
      </c>
      <c r="G582" s="28">
        <v>26.92</v>
      </c>
      <c r="H582" s="29">
        <v>4.5</v>
      </c>
      <c r="I582" s="29">
        <f t="shared" si="45"/>
        <v>9.664</v>
      </c>
      <c r="J582" s="29">
        <f t="shared" si="46"/>
        <v>9.56736</v>
      </c>
      <c r="K582" s="29">
        <f t="shared" ref="K582:K645" si="47">F582+G582+H582+I582+J582</f>
        <v>115.87136</v>
      </c>
      <c r="L582" s="23">
        <f t="shared" ref="L582:L645" si="48">K582*E582</f>
        <v>4403.11168</v>
      </c>
      <c r="M582" s="39" t="s">
        <v>159</v>
      </c>
    </row>
    <row r="583" s="1" customFormat="1" ht="33.75" outlineLevel="1" spans="1:13">
      <c r="A583" s="24">
        <v>12</v>
      </c>
      <c r="B583" s="25" t="s">
        <v>182</v>
      </c>
      <c r="C583" s="25" t="s">
        <v>183</v>
      </c>
      <c r="D583" s="26" t="s">
        <v>60</v>
      </c>
      <c r="E583" s="27">
        <v>38</v>
      </c>
      <c r="F583" s="5">
        <v>78.12</v>
      </c>
      <c r="G583" s="28">
        <v>30.08</v>
      </c>
      <c r="H583" s="29">
        <v>3.62</v>
      </c>
      <c r="I583" s="29">
        <f t="shared" si="45"/>
        <v>11.182</v>
      </c>
      <c r="J583" s="29">
        <f t="shared" si="46"/>
        <v>11.07018</v>
      </c>
      <c r="K583" s="29">
        <f t="shared" si="47"/>
        <v>134.07218</v>
      </c>
      <c r="L583" s="23">
        <f t="shared" si="48"/>
        <v>5094.74284</v>
      </c>
      <c r="M583" s="39" t="s">
        <v>159</v>
      </c>
    </row>
    <row r="584" s="1" customFormat="1" ht="33.75" outlineLevel="1" spans="1:13">
      <c r="A584" s="24">
        <v>13</v>
      </c>
      <c r="B584" s="25" t="s">
        <v>184</v>
      </c>
      <c r="C584" s="25" t="s">
        <v>185</v>
      </c>
      <c r="D584" s="26" t="s">
        <v>60</v>
      </c>
      <c r="E584" s="27">
        <v>38</v>
      </c>
      <c r="F584" s="28">
        <v>195.64</v>
      </c>
      <c r="G584" s="28">
        <v>22.56</v>
      </c>
      <c r="H584" s="29">
        <v>7.17</v>
      </c>
      <c r="I584" s="29">
        <f t="shared" si="45"/>
        <v>22.537</v>
      </c>
      <c r="J584" s="29">
        <f t="shared" si="46"/>
        <v>22.31163</v>
      </c>
      <c r="K584" s="29">
        <f t="shared" si="47"/>
        <v>270.21863</v>
      </c>
      <c r="L584" s="23">
        <f t="shared" si="48"/>
        <v>10268.30794</v>
      </c>
      <c r="M584" s="39" t="s">
        <v>159</v>
      </c>
    </row>
    <row r="585" s="1" customFormat="1" ht="33.75" outlineLevel="1" spans="1:13">
      <c r="A585" s="24">
        <v>14</v>
      </c>
      <c r="B585" s="25" t="s">
        <v>186</v>
      </c>
      <c r="C585" s="25" t="s">
        <v>187</v>
      </c>
      <c r="D585" s="26" t="s">
        <v>60</v>
      </c>
      <c r="E585" s="27">
        <v>74</v>
      </c>
      <c r="F585" s="28">
        <v>48.37</v>
      </c>
      <c r="G585" s="28">
        <v>19.4</v>
      </c>
      <c r="H585" s="29">
        <v>3.2</v>
      </c>
      <c r="I585" s="29">
        <f t="shared" si="45"/>
        <v>7.097</v>
      </c>
      <c r="J585" s="29">
        <f t="shared" si="46"/>
        <v>7.02603</v>
      </c>
      <c r="K585" s="29">
        <f t="shared" si="47"/>
        <v>85.09303</v>
      </c>
      <c r="L585" s="23">
        <f t="shared" si="48"/>
        <v>6296.88422</v>
      </c>
      <c r="M585" s="39" t="s">
        <v>159</v>
      </c>
    </row>
    <row r="586" s="1" customFormat="1" ht="33.75" outlineLevel="1" spans="1:13">
      <c r="A586" s="24">
        <v>15</v>
      </c>
      <c r="B586" s="25" t="s">
        <v>188</v>
      </c>
      <c r="C586" s="25" t="s">
        <v>189</v>
      </c>
      <c r="D586" s="26" t="s">
        <v>60</v>
      </c>
      <c r="E586" s="27">
        <v>2</v>
      </c>
      <c r="F586" s="28">
        <v>50.98</v>
      </c>
      <c r="G586" s="28">
        <v>46.66</v>
      </c>
      <c r="H586" s="29">
        <v>30.84</v>
      </c>
      <c r="I586" s="29">
        <f t="shared" si="45"/>
        <v>12.848</v>
      </c>
      <c r="J586" s="29">
        <f t="shared" si="46"/>
        <v>12.71952</v>
      </c>
      <c r="K586" s="29">
        <f t="shared" si="47"/>
        <v>154.04752</v>
      </c>
      <c r="L586" s="23">
        <f t="shared" si="48"/>
        <v>308.09504</v>
      </c>
      <c r="M586" s="39" t="s">
        <v>159</v>
      </c>
    </row>
    <row r="587" s="1" customFormat="1" ht="33.75" outlineLevel="1" spans="1:13">
      <c r="A587" s="24">
        <v>16</v>
      </c>
      <c r="B587" s="25" t="s">
        <v>192</v>
      </c>
      <c r="C587" s="25" t="s">
        <v>193</v>
      </c>
      <c r="D587" s="26" t="s">
        <v>60</v>
      </c>
      <c r="E587" s="27">
        <v>84</v>
      </c>
      <c r="F587" s="28">
        <v>254.48</v>
      </c>
      <c r="G587" s="28">
        <v>21.15</v>
      </c>
      <c r="H587" s="29">
        <v>10.26</v>
      </c>
      <c r="I587" s="29">
        <f t="shared" si="45"/>
        <v>28.589</v>
      </c>
      <c r="J587" s="29">
        <f t="shared" si="46"/>
        <v>28.30311</v>
      </c>
      <c r="K587" s="29">
        <f t="shared" si="47"/>
        <v>342.78211</v>
      </c>
      <c r="L587" s="23">
        <f t="shared" si="48"/>
        <v>28793.69724</v>
      </c>
      <c r="M587" s="39" t="s">
        <v>159</v>
      </c>
    </row>
    <row r="588" s="1" customFormat="1" ht="33.75" outlineLevel="1" spans="1:13">
      <c r="A588" s="24">
        <v>17</v>
      </c>
      <c r="B588" s="25" t="s">
        <v>190</v>
      </c>
      <c r="C588" s="25" t="s">
        <v>191</v>
      </c>
      <c r="D588" s="26" t="s">
        <v>60</v>
      </c>
      <c r="E588" s="27">
        <v>2</v>
      </c>
      <c r="F588" s="28">
        <v>212.47</v>
      </c>
      <c r="G588" s="28">
        <v>15.04</v>
      </c>
      <c r="H588" s="29">
        <v>7.1</v>
      </c>
      <c r="I588" s="29">
        <f t="shared" si="45"/>
        <v>23.461</v>
      </c>
      <c r="J588" s="29">
        <f t="shared" si="46"/>
        <v>23.22639</v>
      </c>
      <c r="K588" s="29">
        <f t="shared" si="47"/>
        <v>281.29739</v>
      </c>
      <c r="L588" s="23">
        <f t="shared" si="48"/>
        <v>562.59478</v>
      </c>
      <c r="M588" s="39" t="s">
        <v>159</v>
      </c>
    </row>
    <row r="589" s="1" customFormat="1" ht="33.75" outlineLevel="1" spans="1:13">
      <c r="A589" s="24">
        <v>18</v>
      </c>
      <c r="B589" s="25" t="s">
        <v>194</v>
      </c>
      <c r="C589" s="25" t="s">
        <v>195</v>
      </c>
      <c r="D589" s="26" t="s">
        <v>60</v>
      </c>
      <c r="E589" s="27">
        <v>2</v>
      </c>
      <c r="F589" s="28">
        <v>1425.47</v>
      </c>
      <c r="G589" s="28">
        <v>234.06</v>
      </c>
      <c r="H589" s="29">
        <v>58.4</v>
      </c>
      <c r="I589" s="29">
        <f t="shared" si="45"/>
        <v>171.793</v>
      </c>
      <c r="J589" s="29">
        <f t="shared" si="46"/>
        <v>170.07507</v>
      </c>
      <c r="K589" s="29">
        <f t="shared" si="47"/>
        <v>2059.79807</v>
      </c>
      <c r="L589" s="23">
        <f t="shared" si="48"/>
        <v>4119.59614</v>
      </c>
      <c r="M589" s="39" t="s">
        <v>159</v>
      </c>
    </row>
    <row r="590" s="1" customFormat="1" ht="33.75" outlineLevel="1" spans="1:13">
      <c r="A590" s="24">
        <v>19</v>
      </c>
      <c r="B590" s="25" t="s">
        <v>238</v>
      </c>
      <c r="C590" s="25" t="s">
        <v>239</v>
      </c>
      <c r="D590" s="26" t="s">
        <v>60</v>
      </c>
      <c r="E590" s="27">
        <v>2</v>
      </c>
      <c r="F590" s="28">
        <v>47.27</v>
      </c>
      <c r="G590" s="28">
        <v>43.24</v>
      </c>
      <c r="H590" s="29">
        <v>2.7</v>
      </c>
      <c r="I590" s="29">
        <f t="shared" si="45"/>
        <v>9.321</v>
      </c>
      <c r="J590" s="29">
        <f t="shared" si="46"/>
        <v>9.22779</v>
      </c>
      <c r="K590" s="29">
        <f t="shared" si="47"/>
        <v>111.75879</v>
      </c>
      <c r="L590" s="23">
        <f t="shared" si="48"/>
        <v>223.51758</v>
      </c>
      <c r="M590" s="39" t="s">
        <v>159</v>
      </c>
    </row>
    <row r="591" s="1" customFormat="1" outlineLevel="1" spans="1:13">
      <c r="A591" s="20" t="s">
        <v>164</v>
      </c>
      <c r="B591" s="21" t="s">
        <v>412</v>
      </c>
      <c r="C591" s="21"/>
      <c r="D591" s="22"/>
      <c r="E591" s="22"/>
      <c r="F591" s="20"/>
      <c r="G591" s="29"/>
      <c r="H591" s="29"/>
      <c r="I591" s="29">
        <f t="shared" si="45"/>
        <v>0</v>
      </c>
      <c r="J591" s="29">
        <f t="shared" si="46"/>
        <v>0</v>
      </c>
      <c r="K591" s="29">
        <f t="shared" si="47"/>
        <v>0</v>
      </c>
      <c r="L591" s="23">
        <f t="shared" si="48"/>
        <v>0</v>
      </c>
      <c r="M591" s="38"/>
    </row>
    <row r="592" s="1" customFormat="1" ht="56.25" outlineLevel="1" spans="1:13">
      <c r="A592" s="24">
        <v>1</v>
      </c>
      <c r="B592" s="25" t="s">
        <v>154</v>
      </c>
      <c r="C592" s="25" t="s">
        <v>359</v>
      </c>
      <c r="D592" s="26" t="s">
        <v>42</v>
      </c>
      <c r="E592" s="27">
        <f>173.76+156.75</f>
        <v>330.51</v>
      </c>
      <c r="F592" s="28">
        <v>0.92</v>
      </c>
      <c r="G592" s="29">
        <v>3.64</v>
      </c>
      <c r="H592" s="29">
        <v>0.85</v>
      </c>
      <c r="I592" s="29">
        <f t="shared" si="45"/>
        <v>0.541</v>
      </c>
      <c r="J592" s="29">
        <f t="shared" si="46"/>
        <v>0.53559</v>
      </c>
      <c r="K592" s="29">
        <f t="shared" si="47"/>
        <v>6.48659</v>
      </c>
      <c r="L592" s="23">
        <f t="shared" si="48"/>
        <v>2143.8828609</v>
      </c>
      <c r="M592" s="39" t="s">
        <v>142</v>
      </c>
    </row>
    <row r="593" s="1" customFormat="1" ht="56.25" outlineLevel="1" spans="1:13">
      <c r="A593" s="24">
        <v>2</v>
      </c>
      <c r="B593" s="25" t="s">
        <v>154</v>
      </c>
      <c r="C593" s="25" t="s">
        <v>360</v>
      </c>
      <c r="D593" s="26" t="s">
        <v>42</v>
      </c>
      <c r="E593" s="27">
        <f>E592</f>
        <v>330.51</v>
      </c>
      <c r="F593" s="28">
        <v>0.92</v>
      </c>
      <c r="G593" s="29">
        <v>3.46</v>
      </c>
      <c r="H593" s="29">
        <v>0.85</v>
      </c>
      <c r="I593" s="29">
        <f t="shared" si="45"/>
        <v>0.523</v>
      </c>
      <c r="J593" s="29">
        <f t="shared" si="46"/>
        <v>0.51777</v>
      </c>
      <c r="K593" s="29">
        <f t="shared" si="47"/>
        <v>6.27077</v>
      </c>
      <c r="L593" s="23">
        <f t="shared" si="48"/>
        <v>2072.5521927</v>
      </c>
      <c r="M593" s="39" t="s">
        <v>142</v>
      </c>
    </row>
    <row r="594" s="1" customFormat="1" ht="33.75" outlineLevel="1" spans="1:13">
      <c r="A594" s="24">
        <v>3</v>
      </c>
      <c r="B594" s="25" t="s">
        <v>157</v>
      </c>
      <c r="C594" s="25" t="s">
        <v>313</v>
      </c>
      <c r="D594" s="26" t="s">
        <v>60</v>
      </c>
      <c r="E594" s="27">
        <v>41</v>
      </c>
      <c r="F594" s="24">
        <v>285.43</v>
      </c>
      <c r="G594" s="29">
        <v>43.6</v>
      </c>
      <c r="H594" s="29">
        <v>16.5</v>
      </c>
      <c r="I594" s="29">
        <f t="shared" si="45"/>
        <v>34.553</v>
      </c>
      <c r="J594" s="29">
        <f t="shared" si="46"/>
        <v>34.20747</v>
      </c>
      <c r="K594" s="29">
        <f t="shared" si="47"/>
        <v>414.29047</v>
      </c>
      <c r="L594" s="23">
        <f t="shared" si="48"/>
        <v>16985.90927</v>
      </c>
      <c r="M594" s="39" t="s">
        <v>159</v>
      </c>
    </row>
    <row r="595" s="1" customFormat="1" outlineLevel="1" spans="1:13">
      <c r="A595" s="20" t="s">
        <v>196</v>
      </c>
      <c r="B595" s="21" t="s">
        <v>413</v>
      </c>
      <c r="C595" s="21"/>
      <c r="D595" s="22"/>
      <c r="E595" s="22"/>
      <c r="F595" s="20"/>
      <c r="G595" s="29"/>
      <c r="H595" s="29"/>
      <c r="I595" s="29">
        <f t="shared" si="45"/>
        <v>0</v>
      </c>
      <c r="J595" s="29">
        <f t="shared" si="46"/>
        <v>0</v>
      </c>
      <c r="K595" s="29">
        <f t="shared" si="47"/>
        <v>0</v>
      </c>
      <c r="L595" s="23">
        <f t="shared" si="48"/>
        <v>0</v>
      </c>
      <c r="M595" s="38"/>
    </row>
    <row r="596" s="1" customFormat="1" ht="33.75" outlineLevel="1" spans="1:13">
      <c r="A596" s="24">
        <v>1</v>
      </c>
      <c r="B596" s="25" t="s">
        <v>198</v>
      </c>
      <c r="C596" s="25" t="s">
        <v>245</v>
      </c>
      <c r="D596" s="26" t="s">
        <v>103</v>
      </c>
      <c r="E596" s="27">
        <v>4</v>
      </c>
      <c r="F596" s="24">
        <v>90.73</v>
      </c>
      <c r="G596" s="29">
        <v>360</v>
      </c>
      <c r="H596" s="29">
        <v>19.3</v>
      </c>
      <c r="I596" s="29">
        <f t="shared" si="45"/>
        <v>47.003</v>
      </c>
      <c r="J596" s="29">
        <f t="shared" si="46"/>
        <v>46.53297</v>
      </c>
      <c r="K596" s="29">
        <f t="shared" si="47"/>
        <v>563.56597</v>
      </c>
      <c r="L596" s="23">
        <f t="shared" si="48"/>
        <v>2254.26388</v>
      </c>
      <c r="M596" s="39" t="s">
        <v>202</v>
      </c>
    </row>
    <row r="597" s="1" customFormat="1" ht="56.25" outlineLevel="1" spans="1:13">
      <c r="A597" s="24">
        <v>2</v>
      </c>
      <c r="B597" s="25" t="s">
        <v>200</v>
      </c>
      <c r="C597" s="25" t="s">
        <v>362</v>
      </c>
      <c r="D597" s="26" t="s">
        <v>51</v>
      </c>
      <c r="E597" s="27">
        <v>6</v>
      </c>
      <c r="F597" s="28">
        <v>26.59</v>
      </c>
      <c r="G597" s="29">
        <v>33</v>
      </c>
      <c r="H597" s="29">
        <v>22.37</v>
      </c>
      <c r="I597" s="29">
        <f t="shared" si="45"/>
        <v>8.196</v>
      </c>
      <c r="J597" s="29">
        <f t="shared" si="46"/>
        <v>8.11404</v>
      </c>
      <c r="K597" s="29">
        <f t="shared" si="47"/>
        <v>98.27004</v>
      </c>
      <c r="L597" s="23">
        <f t="shared" si="48"/>
        <v>589.62024</v>
      </c>
      <c r="M597" s="39" t="s">
        <v>202</v>
      </c>
    </row>
    <row r="598" s="1" customFormat="1" ht="67.5" outlineLevel="1" spans="1:13">
      <c r="A598" s="24">
        <v>3</v>
      </c>
      <c r="B598" s="25" t="s">
        <v>200</v>
      </c>
      <c r="C598" s="25" t="s">
        <v>363</v>
      </c>
      <c r="D598" s="26" t="s">
        <v>51</v>
      </c>
      <c r="E598" s="27">
        <v>161</v>
      </c>
      <c r="F598" s="28">
        <v>26.59</v>
      </c>
      <c r="G598" s="29">
        <v>34</v>
      </c>
      <c r="H598" s="29">
        <v>22.37</v>
      </c>
      <c r="I598" s="29">
        <f t="shared" si="45"/>
        <v>8.296</v>
      </c>
      <c r="J598" s="29">
        <f t="shared" si="46"/>
        <v>8.21304</v>
      </c>
      <c r="K598" s="29">
        <f t="shared" si="47"/>
        <v>99.46904</v>
      </c>
      <c r="L598" s="23">
        <f t="shared" si="48"/>
        <v>16014.51544</v>
      </c>
      <c r="M598" s="39" t="s">
        <v>202</v>
      </c>
    </row>
    <row r="599" s="1" customFormat="1" ht="56.25" outlineLevel="1" spans="1:13">
      <c r="A599" s="24">
        <v>4</v>
      </c>
      <c r="B599" s="25" t="s">
        <v>200</v>
      </c>
      <c r="C599" s="25" t="s">
        <v>364</v>
      </c>
      <c r="D599" s="26" t="s">
        <v>51</v>
      </c>
      <c r="E599" s="27">
        <v>36</v>
      </c>
      <c r="F599" s="28">
        <v>26.59</v>
      </c>
      <c r="G599" s="29">
        <v>33</v>
      </c>
      <c r="H599" s="29">
        <v>22.37</v>
      </c>
      <c r="I599" s="29">
        <f t="shared" si="45"/>
        <v>8.196</v>
      </c>
      <c r="J599" s="29">
        <f t="shared" si="46"/>
        <v>8.11404</v>
      </c>
      <c r="K599" s="29">
        <f t="shared" si="47"/>
        <v>98.27004</v>
      </c>
      <c r="L599" s="23">
        <f t="shared" si="48"/>
        <v>3537.72144</v>
      </c>
      <c r="M599" s="39" t="s">
        <v>202</v>
      </c>
    </row>
    <row r="600" s="1" customFormat="1" ht="56.25" outlineLevel="1" spans="1:13">
      <c r="A600" s="24">
        <v>5</v>
      </c>
      <c r="B600" s="25" t="s">
        <v>200</v>
      </c>
      <c r="C600" s="25" t="s">
        <v>365</v>
      </c>
      <c r="D600" s="26" t="s">
        <v>51</v>
      </c>
      <c r="E600" s="27">
        <v>42</v>
      </c>
      <c r="F600" s="28">
        <v>26.59</v>
      </c>
      <c r="G600" s="29">
        <v>33</v>
      </c>
      <c r="H600" s="29">
        <v>22.37</v>
      </c>
      <c r="I600" s="29">
        <f t="shared" si="45"/>
        <v>8.196</v>
      </c>
      <c r="J600" s="29">
        <f t="shared" si="46"/>
        <v>8.11404</v>
      </c>
      <c r="K600" s="29">
        <f t="shared" si="47"/>
        <v>98.27004</v>
      </c>
      <c r="L600" s="23">
        <f t="shared" si="48"/>
        <v>4127.34168</v>
      </c>
      <c r="M600" s="39" t="s">
        <v>202</v>
      </c>
    </row>
    <row r="601" s="1" customFormat="1" ht="67.5" outlineLevel="1" spans="1:13">
      <c r="A601" s="24">
        <v>6</v>
      </c>
      <c r="B601" s="25" t="s">
        <v>200</v>
      </c>
      <c r="C601" s="25" t="s">
        <v>366</v>
      </c>
      <c r="D601" s="26" t="s">
        <v>51</v>
      </c>
      <c r="E601" s="27">
        <v>39</v>
      </c>
      <c r="F601" s="28">
        <v>26.59</v>
      </c>
      <c r="G601" s="29">
        <v>33</v>
      </c>
      <c r="H601" s="29">
        <v>22.37</v>
      </c>
      <c r="I601" s="29">
        <f t="shared" si="45"/>
        <v>8.196</v>
      </c>
      <c r="J601" s="29">
        <f t="shared" si="46"/>
        <v>8.11404</v>
      </c>
      <c r="K601" s="29">
        <f t="shared" si="47"/>
        <v>98.27004</v>
      </c>
      <c r="L601" s="23">
        <f t="shared" si="48"/>
        <v>3832.53156</v>
      </c>
      <c r="M601" s="39" t="s">
        <v>202</v>
      </c>
    </row>
    <row r="602" s="1" customFormat="1" ht="67.5" outlineLevel="1" spans="1:13">
      <c r="A602" s="24">
        <v>7</v>
      </c>
      <c r="B602" s="25" t="s">
        <v>200</v>
      </c>
      <c r="C602" s="25" t="s">
        <v>367</v>
      </c>
      <c r="D602" s="26" t="s">
        <v>51</v>
      </c>
      <c r="E602" s="27">
        <v>2</v>
      </c>
      <c r="F602" s="28">
        <v>26.59</v>
      </c>
      <c r="G602" s="29">
        <v>34</v>
      </c>
      <c r="H602" s="29">
        <v>22.37</v>
      </c>
      <c r="I602" s="29">
        <f t="shared" si="45"/>
        <v>8.296</v>
      </c>
      <c r="J602" s="29">
        <f t="shared" si="46"/>
        <v>8.21304</v>
      </c>
      <c r="K602" s="29">
        <f t="shared" si="47"/>
        <v>99.46904</v>
      </c>
      <c r="L602" s="23">
        <f t="shared" si="48"/>
        <v>198.93808</v>
      </c>
      <c r="M602" s="39" t="s">
        <v>202</v>
      </c>
    </row>
    <row r="603" s="1" customFormat="1" ht="56.25" outlineLevel="1" spans="1:13">
      <c r="A603" s="24">
        <v>8</v>
      </c>
      <c r="B603" s="25" t="s">
        <v>154</v>
      </c>
      <c r="C603" s="25" t="s">
        <v>206</v>
      </c>
      <c r="D603" s="26" t="s">
        <v>42</v>
      </c>
      <c r="E603" s="27">
        <v>2579.68</v>
      </c>
      <c r="F603" s="28">
        <v>0.92</v>
      </c>
      <c r="G603" s="29">
        <v>1.93</v>
      </c>
      <c r="H603" s="29">
        <v>0.85</v>
      </c>
      <c r="I603" s="29">
        <f t="shared" si="45"/>
        <v>0.37</v>
      </c>
      <c r="J603" s="29">
        <f t="shared" si="46"/>
        <v>0.3663</v>
      </c>
      <c r="K603" s="29">
        <f t="shared" si="47"/>
        <v>4.4363</v>
      </c>
      <c r="L603" s="23">
        <f t="shared" si="48"/>
        <v>11444.234384</v>
      </c>
      <c r="M603" s="39" t="s">
        <v>142</v>
      </c>
    </row>
    <row r="604" s="4" customFormat="1" spans="1:13">
      <c r="A604" s="40" t="s">
        <v>207</v>
      </c>
      <c r="B604" s="41" t="s">
        <v>414</v>
      </c>
      <c r="C604" s="41"/>
      <c r="D604" s="40"/>
      <c r="E604" s="40"/>
      <c r="F604" s="40"/>
      <c r="G604" s="23"/>
      <c r="H604" s="42"/>
      <c r="I604" s="42"/>
      <c r="J604" s="42"/>
      <c r="K604" s="42"/>
      <c r="L604" s="44">
        <f>SUM(L513:L603)</f>
        <v>407635.178302</v>
      </c>
      <c r="M604" s="45"/>
    </row>
    <row r="605" s="1" customFormat="1" outlineLevel="1" spans="1:13">
      <c r="A605" s="20" t="s">
        <v>38</v>
      </c>
      <c r="B605" s="21" t="s">
        <v>415</v>
      </c>
      <c r="C605" s="21"/>
      <c r="D605" s="22"/>
      <c r="E605" s="22"/>
      <c r="F605" s="20"/>
      <c r="G605" s="23"/>
      <c r="H605" s="23"/>
      <c r="I605" s="29">
        <f t="shared" si="45"/>
        <v>0</v>
      </c>
      <c r="J605" s="29">
        <f t="shared" si="46"/>
        <v>0</v>
      </c>
      <c r="K605" s="29"/>
      <c r="L605" s="23"/>
      <c r="M605" s="38"/>
    </row>
    <row r="606" s="1" customFormat="1" ht="78.75" outlineLevel="1" spans="1:13">
      <c r="A606" s="24">
        <v>1</v>
      </c>
      <c r="B606" s="25" t="s">
        <v>40</v>
      </c>
      <c r="C606" s="25" t="s">
        <v>41</v>
      </c>
      <c r="D606" s="26" t="s">
        <v>42</v>
      </c>
      <c r="E606" s="27">
        <v>230.16</v>
      </c>
      <c r="F606" s="28">
        <v>29.46</v>
      </c>
      <c r="G606" s="29">
        <f>46.5+10</f>
        <v>56.5</v>
      </c>
      <c r="H606" s="29">
        <v>1.31</v>
      </c>
      <c r="I606" s="29">
        <f t="shared" si="45"/>
        <v>8.727</v>
      </c>
      <c r="J606" s="29">
        <f t="shared" si="46"/>
        <v>8.63973</v>
      </c>
      <c r="K606" s="29">
        <f t="shared" si="47"/>
        <v>104.63673</v>
      </c>
      <c r="L606" s="23">
        <f t="shared" si="48"/>
        <v>24083.1897768</v>
      </c>
      <c r="M606" s="39" t="s">
        <v>43</v>
      </c>
    </row>
    <row r="607" s="1" customFormat="1" ht="78.75" outlineLevel="1" spans="1:13">
      <c r="A607" s="24">
        <v>2</v>
      </c>
      <c r="B607" s="25" t="s">
        <v>40</v>
      </c>
      <c r="C607" s="25" t="s">
        <v>44</v>
      </c>
      <c r="D607" s="26" t="s">
        <v>42</v>
      </c>
      <c r="E607" s="27">
        <v>36.05</v>
      </c>
      <c r="F607" s="28">
        <v>24.65</v>
      </c>
      <c r="G607" s="29">
        <f>30.67+10</f>
        <v>40.67</v>
      </c>
      <c r="H607" s="29">
        <v>1.31</v>
      </c>
      <c r="I607" s="29">
        <f t="shared" si="45"/>
        <v>6.663</v>
      </c>
      <c r="J607" s="29">
        <f t="shared" si="46"/>
        <v>6.59637</v>
      </c>
      <c r="K607" s="29">
        <f t="shared" si="47"/>
        <v>79.88937</v>
      </c>
      <c r="L607" s="23">
        <f t="shared" si="48"/>
        <v>2880.0117885</v>
      </c>
      <c r="M607" s="39" t="s">
        <v>43</v>
      </c>
    </row>
    <row r="608" s="1" customFormat="1" ht="56.25" outlineLevel="1" spans="1:13">
      <c r="A608" s="24">
        <v>3</v>
      </c>
      <c r="B608" s="25" t="s">
        <v>45</v>
      </c>
      <c r="C608" s="25" t="s">
        <v>210</v>
      </c>
      <c r="D608" s="26" t="s">
        <v>47</v>
      </c>
      <c r="E608" s="27">
        <v>139.43</v>
      </c>
      <c r="F608" s="28">
        <v>12.5</v>
      </c>
      <c r="G608" s="29">
        <v>3.92</v>
      </c>
      <c r="H608" s="29">
        <v>4.5</v>
      </c>
      <c r="I608" s="29">
        <f t="shared" si="45"/>
        <v>2.092</v>
      </c>
      <c r="J608" s="29">
        <f t="shared" si="46"/>
        <v>2.07108</v>
      </c>
      <c r="K608" s="29">
        <f t="shared" si="47"/>
        <v>25.08308</v>
      </c>
      <c r="L608" s="23">
        <f t="shared" si="48"/>
        <v>3497.3338444</v>
      </c>
      <c r="M608" s="39" t="s">
        <v>48</v>
      </c>
    </row>
    <row r="609" s="1" customFormat="1" ht="78.75" outlineLevel="1" spans="1:13">
      <c r="A609" s="24">
        <v>4</v>
      </c>
      <c r="B609" s="25" t="s">
        <v>49</v>
      </c>
      <c r="C609" s="25" t="s">
        <v>214</v>
      </c>
      <c r="D609" s="26" t="s">
        <v>51</v>
      </c>
      <c r="E609" s="27">
        <v>36</v>
      </c>
      <c r="F609" s="24">
        <v>75.07</v>
      </c>
      <c r="G609" s="29">
        <v>510</v>
      </c>
      <c r="H609" s="29">
        <v>3.63</v>
      </c>
      <c r="I609" s="29">
        <f t="shared" si="45"/>
        <v>58.87</v>
      </c>
      <c r="J609" s="29">
        <f t="shared" si="46"/>
        <v>58.2813</v>
      </c>
      <c r="K609" s="29">
        <f t="shared" si="47"/>
        <v>705.8513</v>
      </c>
      <c r="L609" s="23">
        <f t="shared" si="48"/>
        <v>25410.6468</v>
      </c>
      <c r="M609" s="39" t="s">
        <v>52</v>
      </c>
    </row>
    <row r="610" s="1" customFormat="1" ht="78.75" outlineLevel="1" spans="1:13">
      <c r="A610" s="24">
        <v>5</v>
      </c>
      <c r="B610" s="25" t="s">
        <v>49</v>
      </c>
      <c r="C610" s="25" t="s">
        <v>253</v>
      </c>
      <c r="D610" s="26" t="s">
        <v>51</v>
      </c>
      <c r="E610" s="27">
        <v>3</v>
      </c>
      <c r="F610" s="24">
        <v>75.07</v>
      </c>
      <c r="G610" s="29">
        <v>375</v>
      </c>
      <c r="H610" s="29">
        <v>3.63</v>
      </c>
      <c r="I610" s="29">
        <f t="shared" si="45"/>
        <v>45.37</v>
      </c>
      <c r="J610" s="29">
        <f t="shared" si="46"/>
        <v>44.9163</v>
      </c>
      <c r="K610" s="29">
        <f t="shared" si="47"/>
        <v>543.9863</v>
      </c>
      <c r="L610" s="23">
        <f t="shared" si="48"/>
        <v>1631.9589</v>
      </c>
      <c r="M610" s="39" t="s">
        <v>52</v>
      </c>
    </row>
    <row r="611" s="1" customFormat="1" ht="67.5" outlineLevel="1" spans="1:13">
      <c r="A611" s="24">
        <v>6</v>
      </c>
      <c r="B611" s="25" t="s">
        <v>49</v>
      </c>
      <c r="C611" s="25" t="s">
        <v>216</v>
      </c>
      <c r="D611" s="26" t="s">
        <v>51</v>
      </c>
      <c r="E611" s="27">
        <v>1</v>
      </c>
      <c r="F611" s="24">
        <v>75.07</v>
      </c>
      <c r="G611" s="29">
        <v>375</v>
      </c>
      <c r="H611" s="29">
        <v>3.63</v>
      </c>
      <c r="I611" s="29">
        <f t="shared" si="45"/>
        <v>45.37</v>
      </c>
      <c r="J611" s="29">
        <f t="shared" si="46"/>
        <v>44.9163</v>
      </c>
      <c r="K611" s="29">
        <f t="shared" si="47"/>
        <v>543.9863</v>
      </c>
      <c r="L611" s="23">
        <f t="shared" si="48"/>
        <v>543.9863</v>
      </c>
      <c r="M611" s="39" t="s">
        <v>52</v>
      </c>
    </row>
    <row r="612" s="1" customFormat="1" ht="45" outlineLevel="1" spans="1:13">
      <c r="A612" s="24">
        <v>7</v>
      </c>
      <c r="B612" s="25" t="s">
        <v>54</v>
      </c>
      <c r="C612" s="25" t="s">
        <v>217</v>
      </c>
      <c r="D612" s="26" t="s">
        <v>56</v>
      </c>
      <c r="E612" s="27">
        <v>72</v>
      </c>
      <c r="F612" s="24">
        <v>1.96</v>
      </c>
      <c r="G612" s="29">
        <v>21</v>
      </c>
      <c r="H612" s="29">
        <v>0.5</v>
      </c>
      <c r="I612" s="29">
        <f t="shared" si="45"/>
        <v>2.346</v>
      </c>
      <c r="J612" s="29">
        <f t="shared" si="46"/>
        <v>2.32254</v>
      </c>
      <c r="K612" s="29">
        <f t="shared" si="47"/>
        <v>28.12854</v>
      </c>
      <c r="L612" s="23">
        <f t="shared" si="48"/>
        <v>2025.25488</v>
      </c>
      <c r="M612" s="39" t="s">
        <v>57</v>
      </c>
    </row>
    <row r="613" s="1" customFormat="1" ht="45" outlineLevel="1" spans="1:13">
      <c r="A613" s="24">
        <v>8</v>
      </c>
      <c r="B613" s="25" t="s">
        <v>54</v>
      </c>
      <c r="C613" s="25" t="s">
        <v>218</v>
      </c>
      <c r="D613" s="26" t="s">
        <v>56</v>
      </c>
      <c r="E613" s="27">
        <v>12</v>
      </c>
      <c r="F613" s="24">
        <v>1.96</v>
      </c>
      <c r="G613" s="29">
        <v>35</v>
      </c>
      <c r="H613" s="29">
        <v>0.5</v>
      </c>
      <c r="I613" s="29">
        <f t="shared" ref="I613:I676" si="49">(F613+G613+H613)*$I$4</f>
        <v>3.746</v>
      </c>
      <c r="J613" s="29">
        <f t="shared" ref="J613:J676" si="50">(F613+G613+H613+I613)*$J$4</f>
        <v>3.70854</v>
      </c>
      <c r="K613" s="29">
        <f t="shared" si="47"/>
        <v>44.91454</v>
      </c>
      <c r="L613" s="23">
        <f t="shared" si="48"/>
        <v>538.97448</v>
      </c>
      <c r="M613" s="39" t="s">
        <v>57</v>
      </c>
    </row>
    <row r="614" s="1" customFormat="1" ht="33.75" outlineLevel="1" spans="1:13">
      <c r="A614" s="24">
        <v>9</v>
      </c>
      <c r="B614" s="25" t="s">
        <v>219</v>
      </c>
      <c r="C614" s="25" t="s">
        <v>220</v>
      </c>
      <c r="D614" s="26" t="s">
        <v>60</v>
      </c>
      <c r="E614" s="27">
        <v>6</v>
      </c>
      <c r="F614" s="24">
        <v>1.96</v>
      </c>
      <c r="G614" s="29">
        <v>38</v>
      </c>
      <c r="H614" s="29">
        <v>0.5</v>
      </c>
      <c r="I614" s="29">
        <f t="shared" si="49"/>
        <v>4.046</v>
      </c>
      <c r="J614" s="29">
        <f t="shared" si="50"/>
        <v>4.00554</v>
      </c>
      <c r="K614" s="29">
        <f t="shared" si="47"/>
        <v>48.51154</v>
      </c>
      <c r="L614" s="23">
        <f t="shared" si="48"/>
        <v>291.06924</v>
      </c>
      <c r="M614" s="39" t="s">
        <v>57</v>
      </c>
    </row>
    <row r="615" s="1" customFormat="1" ht="33.75" outlineLevel="1" spans="1:13">
      <c r="A615" s="24">
        <v>10</v>
      </c>
      <c r="B615" s="25" t="s">
        <v>58</v>
      </c>
      <c r="C615" s="25" t="s">
        <v>59</v>
      </c>
      <c r="D615" s="26" t="s">
        <v>60</v>
      </c>
      <c r="E615" s="27">
        <v>3</v>
      </c>
      <c r="F615" s="24">
        <v>79.59</v>
      </c>
      <c r="G615" s="24">
        <v>60</v>
      </c>
      <c r="H615" s="29">
        <v>18.2</v>
      </c>
      <c r="I615" s="29">
        <f t="shared" si="49"/>
        <v>15.779</v>
      </c>
      <c r="J615" s="29">
        <f t="shared" si="50"/>
        <v>15.62121</v>
      </c>
      <c r="K615" s="29">
        <f t="shared" si="47"/>
        <v>189.19021</v>
      </c>
      <c r="L615" s="29">
        <f t="shared" si="48"/>
        <v>567.57063</v>
      </c>
      <c r="M615" s="39" t="s">
        <v>61</v>
      </c>
    </row>
    <row r="616" s="1" customFormat="1" ht="33.75" outlineLevel="1" spans="1:13">
      <c r="A616" s="24">
        <v>11</v>
      </c>
      <c r="B616" s="25" t="s">
        <v>58</v>
      </c>
      <c r="C616" s="25" t="s">
        <v>254</v>
      </c>
      <c r="D616" s="26" t="s">
        <v>60</v>
      </c>
      <c r="E616" s="27">
        <v>1</v>
      </c>
      <c r="F616" s="28">
        <v>24.65</v>
      </c>
      <c r="G616" s="24">
        <v>45</v>
      </c>
      <c r="H616" s="29">
        <v>21.86</v>
      </c>
      <c r="I616" s="29">
        <f t="shared" si="49"/>
        <v>9.151</v>
      </c>
      <c r="J616" s="29">
        <f t="shared" si="50"/>
        <v>9.05949</v>
      </c>
      <c r="K616" s="29">
        <f t="shared" si="47"/>
        <v>109.72049</v>
      </c>
      <c r="L616" s="29">
        <f t="shared" si="48"/>
        <v>109.72049</v>
      </c>
      <c r="M616" s="39" t="s">
        <v>61</v>
      </c>
    </row>
    <row r="617" s="1" customFormat="1" ht="33.75" outlineLevel="1" spans="1:13">
      <c r="A617" s="24">
        <v>12</v>
      </c>
      <c r="B617" s="25" t="s">
        <v>62</v>
      </c>
      <c r="C617" s="25" t="s">
        <v>63</v>
      </c>
      <c r="D617" s="26" t="s">
        <v>64</v>
      </c>
      <c r="E617" s="27">
        <f>E615</f>
        <v>3</v>
      </c>
      <c r="F617" s="24">
        <v>65.22</v>
      </c>
      <c r="G617" s="24">
        <v>15</v>
      </c>
      <c r="H617" s="29">
        <v>36.25</v>
      </c>
      <c r="I617" s="29">
        <f t="shared" si="49"/>
        <v>11.647</v>
      </c>
      <c r="J617" s="29">
        <f t="shared" si="50"/>
        <v>11.53053</v>
      </c>
      <c r="K617" s="29">
        <f t="shared" si="47"/>
        <v>139.64753</v>
      </c>
      <c r="L617" s="23">
        <f t="shared" si="48"/>
        <v>418.94259</v>
      </c>
      <c r="M617" s="39" t="s">
        <v>61</v>
      </c>
    </row>
    <row r="618" s="1" customFormat="1" ht="33.75" outlineLevel="1" spans="1:13">
      <c r="A618" s="24">
        <v>13</v>
      </c>
      <c r="B618" s="25" t="s">
        <v>62</v>
      </c>
      <c r="C618" s="25" t="s">
        <v>255</v>
      </c>
      <c r="D618" s="26" t="s">
        <v>64</v>
      </c>
      <c r="E618" s="27">
        <v>1</v>
      </c>
      <c r="F618" s="24">
        <v>32.63</v>
      </c>
      <c r="G618" s="24">
        <v>12</v>
      </c>
      <c r="H618" s="29">
        <v>13.65</v>
      </c>
      <c r="I618" s="29">
        <f t="shared" si="49"/>
        <v>5.828</v>
      </c>
      <c r="J618" s="29">
        <f t="shared" si="50"/>
        <v>5.76972</v>
      </c>
      <c r="K618" s="29">
        <f t="shared" si="47"/>
        <v>69.87772</v>
      </c>
      <c r="L618" s="23">
        <f t="shared" si="48"/>
        <v>69.87772</v>
      </c>
      <c r="M618" s="39" t="s">
        <v>61</v>
      </c>
    </row>
    <row r="619" s="1" customFormat="1" ht="45" outlineLevel="1" spans="1:13">
      <c r="A619" s="24">
        <v>14</v>
      </c>
      <c r="B619" s="25" t="s">
        <v>65</v>
      </c>
      <c r="C619" s="25" t="s">
        <v>66</v>
      </c>
      <c r="D619" s="26" t="s">
        <v>60</v>
      </c>
      <c r="E619" s="27">
        <v>2</v>
      </c>
      <c r="F619" s="24">
        <v>19.59</v>
      </c>
      <c r="G619" s="24">
        <v>15</v>
      </c>
      <c r="H619" s="29">
        <v>5.54</v>
      </c>
      <c r="I619" s="29">
        <f t="shared" si="49"/>
        <v>4.013</v>
      </c>
      <c r="J619" s="29">
        <f t="shared" si="50"/>
        <v>3.97287</v>
      </c>
      <c r="K619" s="29">
        <f t="shared" si="47"/>
        <v>48.11587</v>
      </c>
      <c r="L619" s="23">
        <f t="shared" si="48"/>
        <v>96.23174</v>
      </c>
      <c r="M619" s="39" t="s">
        <v>61</v>
      </c>
    </row>
    <row r="620" s="1" customFormat="1" ht="45" outlineLevel="1" spans="1:13">
      <c r="A620" s="24">
        <v>15</v>
      </c>
      <c r="B620" s="25" t="s">
        <v>67</v>
      </c>
      <c r="C620" s="25" t="s">
        <v>68</v>
      </c>
      <c r="D620" s="26" t="s">
        <v>60</v>
      </c>
      <c r="E620" s="27">
        <v>2</v>
      </c>
      <c r="F620" s="28">
        <v>14.37</v>
      </c>
      <c r="G620" s="28">
        <v>25</v>
      </c>
      <c r="H620" s="29">
        <v>6.4</v>
      </c>
      <c r="I620" s="29">
        <f t="shared" si="49"/>
        <v>4.577</v>
      </c>
      <c r="J620" s="29">
        <f t="shared" si="50"/>
        <v>4.53123</v>
      </c>
      <c r="K620" s="29">
        <f t="shared" si="47"/>
        <v>54.87823</v>
      </c>
      <c r="L620" s="23">
        <f t="shared" si="48"/>
        <v>109.75646</v>
      </c>
      <c r="M620" s="39" t="s">
        <v>61</v>
      </c>
    </row>
    <row r="621" s="1" customFormat="1" ht="45" outlineLevel="1" spans="1:13">
      <c r="A621" s="24">
        <v>16</v>
      </c>
      <c r="B621" s="25" t="s">
        <v>69</v>
      </c>
      <c r="C621" s="25" t="s">
        <v>70</v>
      </c>
      <c r="D621" s="26" t="s">
        <v>71</v>
      </c>
      <c r="E621" s="27">
        <v>1</v>
      </c>
      <c r="F621" s="28">
        <v>285</v>
      </c>
      <c r="G621" s="29">
        <v>125</v>
      </c>
      <c r="H621" s="29">
        <v>68.5</v>
      </c>
      <c r="I621" s="29">
        <f t="shared" si="49"/>
        <v>47.85</v>
      </c>
      <c r="J621" s="29">
        <f t="shared" si="50"/>
        <v>47.3715</v>
      </c>
      <c r="K621" s="29">
        <f t="shared" si="47"/>
        <v>573.7215</v>
      </c>
      <c r="L621" s="23">
        <f t="shared" si="48"/>
        <v>573.7215</v>
      </c>
      <c r="M621" s="39"/>
    </row>
    <row r="622" s="1" customFormat="1" outlineLevel="1" spans="1:13">
      <c r="A622" s="24">
        <v>17</v>
      </c>
      <c r="B622" s="25" t="s">
        <v>72</v>
      </c>
      <c r="C622" s="25" t="s">
        <v>73</v>
      </c>
      <c r="D622" s="26" t="s">
        <v>71</v>
      </c>
      <c r="E622" s="27">
        <v>1</v>
      </c>
      <c r="F622" s="24">
        <v>366.15</v>
      </c>
      <c r="G622" s="29">
        <v>0</v>
      </c>
      <c r="H622" s="29">
        <v>185</v>
      </c>
      <c r="I622" s="29">
        <f t="shared" si="49"/>
        <v>55.115</v>
      </c>
      <c r="J622" s="29">
        <f t="shared" si="50"/>
        <v>54.56385</v>
      </c>
      <c r="K622" s="29">
        <f t="shared" si="47"/>
        <v>660.82885</v>
      </c>
      <c r="L622" s="23">
        <f t="shared" si="48"/>
        <v>660.82885</v>
      </c>
      <c r="M622" s="39"/>
    </row>
    <row r="623" s="1" customFormat="1" outlineLevel="1" spans="1:13">
      <c r="A623" s="20" t="s">
        <v>74</v>
      </c>
      <c r="B623" s="21" t="s">
        <v>416</v>
      </c>
      <c r="C623" s="21"/>
      <c r="D623" s="22"/>
      <c r="E623" s="22"/>
      <c r="F623" s="20"/>
      <c r="G623" s="23"/>
      <c r="H623" s="29"/>
      <c r="I623" s="29">
        <f t="shared" si="49"/>
        <v>0</v>
      </c>
      <c r="J623" s="29">
        <f t="shared" si="50"/>
        <v>0</v>
      </c>
      <c r="K623" s="29">
        <f t="shared" si="47"/>
        <v>0</v>
      </c>
      <c r="L623" s="23">
        <f t="shared" si="48"/>
        <v>0</v>
      </c>
      <c r="M623" s="38"/>
    </row>
    <row r="624" s="1" customFormat="1" ht="101.25" outlineLevel="1" spans="1:13">
      <c r="A624" s="24">
        <v>1</v>
      </c>
      <c r="B624" s="25" t="s">
        <v>320</v>
      </c>
      <c r="C624" s="25" t="s">
        <v>321</v>
      </c>
      <c r="D624" s="26" t="s">
        <v>103</v>
      </c>
      <c r="E624" s="26">
        <v>1</v>
      </c>
      <c r="F624" s="24">
        <v>928.1</v>
      </c>
      <c r="G624" s="24">
        <v>4853</v>
      </c>
      <c r="H624" s="29">
        <v>193.9</v>
      </c>
      <c r="I624" s="29">
        <f t="shared" si="49"/>
        <v>597.5</v>
      </c>
      <c r="J624" s="29">
        <f t="shared" si="50"/>
        <v>591.525</v>
      </c>
      <c r="K624" s="29">
        <f t="shared" si="47"/>
        <v>7164.025</v>
      </c>
      <c r="L624" s="23">
        <f t="shared" si="48"/>
        <v>7164.025</v>
      </c>
      <c r="M624" s="39" t="s">
        <v>104</v>
      </c>
    </row>
    <row r="625" s="1" customFormat="1" ht="101.25" outlineLevel="1" spans="1:13">
      <c r="A625" s="24">
        <v>2</v>
      </c>
      <c r="B625" s="25" t="s">
        <v>320</v>
      </c>
      <c r="C625" s="25" t="s">
        <v>322</v>
      </c>
      <c r="D625" s="26" t="s">
        <v>103</v>
      </c>
      <c r="E625" s="26">
        <v>1</v>
      </c>
      <c r="F625" s="24">
        <v>928.1</v>
      </c>
      <c r="G625" s="24">
        <v>5217</v>
      </c>
      <c r="H625" s="29">
        <v>193.9</v>
      </c>
      <c r="I625" s="29">
        <f t="shared" si="49"/>
        <v>633.9</v>
      </c>
      <c r="J625" s="29">
        <f t="shared" si="50"/>
        <v>627.561</v>
      </c>
      <c r="K625" s="29">
        <f t="shared" si="47"/>
        <v>7600.461</v>
      </c>
      <c r="L625" s="23">
        <f t="shared" si="48"/>
        <v>7600.461</v>
      </c>
      <c r="M625" s="39" t="s">
        <v>104</v>
      </c>
    </row>
    <row r="626" s="1" customFormat="1" ht="101.25" outlineLevel="1" spans="1:13">
      <c r="A626" s="24">
        <v>3</v>
      </c>
      <c r="B626" s="25" t="s">
        <v>320</v>
      </c>
      <c r="C626" s="25" t="s">
        <v>371</v>
      </c>
      <c r="D626" s="26" t="s">
        <v>103</v>
      </c>
      <c r="E626" s="26">
        <v>1</v>
      </c>
      <c r="F626" s="24">
        <v>928.1</v>
      </c>
      <c r="G626" s="24">
        <v>6189</v>
      </c>
      <c r="H626" s="29">
        <v>193.9</v>
      </c>
      <c r="I626" s="29">
        <f t="shared" si="49"/>
        <v>731.1</v>
      </c>
      <c r="J626" s="29">
        <f t="shared" si="50"/>
        <v>723.789</v>
      </c>
      <c r="K626" s="29">
        <f t="shared" si="47"/>
        <v>8765.889</v>
      </c>
      <c r="L626" s="23">
        <f t="shared" si="48"/>
        <v>8765.889</v>
      </c>
      <c r="M626" s="39" t="s">
        <v>104</v>
      </c>
    </row>
    <row r="627" s="1" customFormat="1" ht="101.25" outlineLevel="1" spans="1:13">
      <c r="A627" s="24">
        <v>4</v>
      </c>
      <c r="B627" s="25" t="s">
        <v>320</v>
      </c>
      <c r="C627" s="25" t="s">
        <v>372</v>
      </c>
      <c r="D627" s="26" t="s">
        <v>103</v>
      </c>
      <c r="E627" s="26">
        <v>2</v>
      </c>
      <c r="F627" s="24">
        <v>928.1</v>
      </c>
      <c r="G627" s="24">
        <v>4853</v>
      </c>
      <c r="H627" s="29">
        <v>193.9</v>
      </c>
      <c r="I627" s="29">
        <f t="shared" si="49"/>
        <v>597.5</v>
      </c>
      <c r="J627" s="29">
        <f t="shared" si="50"/>
        <v>591.525</v>
      </c>
      <c r="K627" s="29">
        <f t="shared" si="47"/>
        <v>7164.025</v>
      </c>
      <c r="L627" s="23">
        <f t="shared" si="48"/>
        <v>14328.05</v>
      </c>
      <c r="M627" s="39" t="s">
        <v>104</v>
      </c>
    </row>
    <row r="628" s="1" customFormat="1" ht="90" outlineLevel="1" spans="1:13">
      <c r="A628" s="24">
        <v>5</v>
      </c>
      <c r="B628" s="25" t="s">
        <v>323</v>
      </c>
      <c r="C628" s="25" t="s">
        <v>324</v>
      </c>
      <c r="D628" s="26" t="s">
        <v>103</v>
      </c>
      <c r="E628" s="26">
        <v>3</v>
      </c>
      <c r="F628" s="20">
        <v>14.75</v>
      </c>
      <c r="G628" s="20">
        <v>110</v>
      </c>
      <c r="H628" s="29">
        <v>1.2</v>
      </c>
      <c r="I628" s="29">
        <f t="shared" si="49"/>
        <v>12.595</v>
      </c>
      <c r="J628" s="29">
        <f t="shared" si="50"/>
        <v>12.46905</v>
      </c>
      <c r="K628" s="29">
        <f t="shared" si="47"/>
        <v>151.01405</v>
      </c>
      <c r="L628" s="23">
        <f t="shared" si="48"/>
        <v>453.04215</v>
      </c>
      <c r="M628" s="39" t="s">
        <v>325</v>
      </c>
    </row>
    <row r="629" s="1" customFormat="1" ht="90" outlineLevel="1" spans="1:13">
      <c r="A629" s="24">
        <v>6</v>
      </c>
      <c r="B629" s="25" t="s">
        <v>326</v>
      </c>
      <c r="C629" s="25" t="s">
        <v>327</v>
      </c>
      <c r="D629" s="26" t="s">
        <v>103</v>
      </c>
      <c r="E629" s="26">
        <v>4</v>
      </c>
      <c r="F629" s="24">
        <v>14.75</v>
      </c>
      <c r="G629" s="24">
        <v>509</v>
      </c>
      <c r="H629" s="29">
        <v>1.2</v>
      </c>
      <c r="I629" s="29">
        <f t="shared" si="49"/>
        <v>52.495</v>
      </c>
      <c r="J629" s="29">
        <f t="shared" si="50"/>
        <v>51.97005</v>
      </c>
      <c r="K629" s="29">
        <f t="shared" si="47"/>
        <v>629.41505</v>
      </c>
      <c r="L629" s="23">
        <f t="shared" si="48"/>
        <v>2517.6602</v>
      </c>
      <c r="M629" s="39" t="s">
        <v>104</v>
      </c>
    </row>
    <row r="630" s="1" customFormat="1" ht="45" outlineLevel="1" spans="1:13">
      <c r="A630" s="24">
        <v>7</v>
      </c>
      <c r="B630" s="30" t="s">
        <v>114</v>
      </c>
      <c r="C630" s="30" t="s">
        <v>115</v>
      </c>
      <c r="D630" s="31" t="s">
        <v>116</v>
      </c>
      <c r="E630" s="26">
        <v>4.99</v>
      </c>
      <c r="F630" s="24">
        <v>53.22</v>
      </c>
      <c r="G630" s="24">
        <v>132</v>
      </c>
      <c r="H630" s="29">
        <v>24.2</v>
      </c>
      <c r="I630" s="29">
        <f t="shared" si="49"/>
        <v>20.942</v>
      </c>
      <c r="J630" s="29">
        <f t="shared" si="50"/>
        <v>20.73258</v>
      </c>
      <c r="K630" s="29">
        <f t="shared" si="47"/>
        <v>251.09458</v>
      </c>
      <c r="L630" s="23">
        <f t="shared" si="48"/>
        <v>1252.9619542</v>
      </c>
      <c r="M630" s="39"/>
    </row>
    <row r="631" s="1" customFormat="1" ht="112.5" outlineLevel="1" spans="1:13">
      <c r="A631" s="24">
        <v>8</v>
      </c>
      <c r="B631" s="30" t="s">
        <v>117</v>
      </c>
      <c r="C631" s="30" t="s">
        <v>118</v>
      </c>
      <c r="D631" s="31" t="s">
        <v>116</v>
      </c>
      <c r="E631" s="26">
        <v>1.25</v>
      </c>
      <c r="F631" s="24">
        <v>69.69</v>
      </c>
      <c r="G631" s="24">
        <v>36.9</v>
      </c>
      <c r="H631" s="29">
        <v>16.68</v>
      </c>
      <c r="I631" s="29">
        <f t="shared" si="49"/>
        <v>12.327</v>
      </c>
      <c r="J631" s="29">
        <f t="shared" si="50"/>
        <v>12.20373</v>
      </c>
      <c r="K631" s="29">
        <f t="shared" si="47"/>
        <v>147.80073</v>
      </c>
      <c r="L631" s="23">
        <f t="shared" si="48"/>
        <v>184.7509125</v>
      </c>
      <c r="M631" s="39" t="s">
        <v>119</v>
      </c>
    </row>
    <row r="632" s="1" customFormat="1" ht="112.5" outlineLevel="1" spans="1:13">
      <c r="A632" s="24">
        <v>9</v>
      </c>
      <c r="B632" s="30" t="s">
        <v>117</v>
      </c>
      <c r="C632" s="30" t="s">
        <v>260</v>
      </c>
      <c r="D632" s="31" t="s">
        <v>116</v>
      </c>
      <c r="E632" s="26">
        <v>9.51</v>
      </c>
      <c r="F632" s="24">
        <v>69.69</v>
      </c>
      <c r="G632" s="24">
        <v>42.15</v>
      </c>
      <c r="H632" s="29">
        <v>16.68</v>
      </c>
      <c r="I632" s="29">
        <f t="shared" si="49"/>
        <v>12.852</v>
      </c>
      <c r="J632" s="29">
        <f t="shared" si="50"/>
        <v>12.72348</v>
      </c>
      <c r="K632" s="29">
        <f t="shared" si="47"/>
        <v>154.09548</v>
      </c>
      <c r="L632" s="23">
        <f t="shared" si="48"/>
        <v>1465.4480148</v>
      </c>
      <c r="M632" s="39" t="s">
        <v>119</v>
      </c>
    </row>
    <row r="633" s="1" customFormat="1" ht="112.5" outlineLevel="1" spans="1:13">
      <c r="A633" s="24">
        <v>10</v>
      </c>
      <c r="B633" s="30" t="s">
        <v>117</v>
      </c>
      <c r="C633" s="30" t="s">
        <v>373</v>
      </c>
      <c r="D633" s="31" t="s">
        <v>116</v>
      </c>
      <c r="E633" s="26">
        <v>1.55</v>
      </c>
      <c r="F633" s="24">
        <v>69.69</v>
      </c>
      <c r="G633" s="24">
        <v>44</v>
      </c>
      <c r="H633" s="29">
        <v>16.68</v>
      </c>
      <c r="I633" s="29">
        <f t="shared" si="49"/>
        <v>13.037</v>
      </c>
      <c r="J633" s="29">
        <f t="shared" si="50"/>
        <v>12.90663</v>
      </c>
      <c r="K633" s="29">
        <f t="shared" si="47"/>
        <v>156.31363</v>
      </c>
      <c r="L633" s="23">
        <f t="shared" si="48"/>
        <v>242.2861265</v>
      </c>
      <c r="M633" s="39" t="s">
        <v>119</v>
      </c>
    </row>
    <row r="634" s="1" customFormat="1" ht="112.5" outlineLevel="1" spans="1:13">
      <c r="A634" s="24">
        <v>11</v>
      </c>
      <c r="B634" s="30" t="s">
        <v>117</v>
      </c>
      <c r="C634" s="30" t="s">
        <v>120</v>
      </c>
      <c r="D634" s="31" t="s">
        <v>116</v>
      </c>
      <c r="E634" s="26">
        <v>120.44</v>
      </c>
      <c r="F634" s="24">
        <v>44.05</v>
      </c>
      <c r="G634" s="24">
        <v>42.15</v>
      </c>
      <c r="H634" s="29">
        <v>17.18</v>
      </c>
      <c r="I634" s="29">
        <f t="shared" si="49"/>
        <v>10.338</v>
      </c>
      <c r="J634" s="29">
        <f t="shared" si="50"/>
        <v>10.23462</v>
      </c>
      <c r="K634" s="29">
        <f t="shared" si="47"/>
        <v>123.95262</v>
      </c>
      <c r="L634" s="23">
        <f t="shared" si="48"/>
        <v>14928.8535528</v>
      </c>
      <c r="M634" s="39" t="s">
        <v>119</v>
      </c>
    </row>
    <row r="635" s="1" customFormat="1" ht="112.5" outlineLevel="1" spans="1:13">
      <c r="A635" s="24">
        <v>12</v>
      </c>
      <c r="B635" s="30" t="s">
        <v>117</v>
      </c>
      <c r="C635" s="30" t="s">
        <v>261</v>
      </c>
      <c r="D635" s="31" t="s">
        <v>116</v>
      </c>
      <c r="E635" s="26">
        <v>118.17</v>
      </c>
      <c r="F635" s="24">
        <v>46.43</v>
      </c>
      <c r="G635" s="24">
        <v>44</v>
      </c>
      <c r="H635" s="29">
        <v>18.9</v>
      </c>
      <c r="I635" s="29">
        <f t="shared" si="49"/>
        <v>10.933</v>
      </c>
      <c r="J635" s="29">
        <f t="shared" si="50"/>
        <v>10.82367</v>
      </c>
      <c r="K635" s="29">
        <f t="shared" si="47"/>
        <v>131.08667</v>
      </c>
      <c r="L635" s="23">
        <f t="shared" si="48"/>
        <v>15490.5117939</v>
      </c>
      <c r="M635" s="39" t="s">
        <v>119</v>
      </c>
    </row>
    <row r="636" s="1" customFormat="1" ht="112.5" outlineLevel="1" spans="1:13">
      <c r="A636" s="24">
        <v>13</v>
      </c>
      <c r="B636" s="30" t="s">
        <v>117</v>
      </c>
      <c r="C636" s="30" t="s">
        <v>262</v>
      </c>
      <c r="D636" s="31" t="s">
        <v>116</v>
      </c>
      <c r="E636" s="26">
        <v>615.4</v>
      </c>
      <c r="F636" s="24">
        <v>44.05</v>
      </c>
      <c r="G636" s="24">
        <v>42.15</v>
      </c>
      <c r="H636" s="29">
        <v>17.18</v>
      </c>
      <c r="I636" s="29">
        <f t="shared" si="49"/>
        <v>10.338</v>
      </c>
      <c r="J636" s="29">
        <f t="shared" si="50"/>
        <v>10.23462</v>
      </c>
      <c r="K636" s="29">
        <f t="shared" si="47"/>
        <v>123.95262</v>
      </c>
      <c r="L636" s="23">
        <f t="shared" si="48"/>
        <v>76280.442348</v>
      </c>
      <c r="M636" s="39" t="s">
        <v>119</v>
      </c>
    </row>
    <row r="637" s="1" customFormat="1" ht="112.5" outlineLevel="1" spans="1:13">
      <c r="A637" s="24">
        <v>14</v>
      </c>
      <c r="B637" s="30" t="s">
        <v>117</v>
      </c>
      <c r="C637" s="30" t="s">
        <v>328</v>
      </c>
      <c r="D637" s="31" t="s">
        <v>116</v>
      </c>
      <c r="E637" s="26">
        <v>161.1</v>
      </c>
      <c r="F637" s="24">
        <v>45.63</v>
      </c>
      <c r="G637" s="24">
        <v>44</v>
      </c>
      <c r="H637" s="29">
        <v>18.9</v>
      </c>
      <c r="I637" s="29">
        <f t="shared" si="49"/>
        <v>10.853</v>
      </c>
      <c r="J637" s="29">
        <f t="shared" si="50"/>
        <v>10.74447</v>
      </c>
      <c r="K637" s="29">
        <f t="shared" si="47"/>
        <v>130.12747</v>
      </c>
      <c r="L637" s="23">
        <f t="shared" si="48"/>
        <v>20963.535417</v>
      </c>
      <c r="M637" s="39" t="s">
        <v>119</v>
      </c>
    </row>
    <row r="638" s="1" customFormat="1" ht="45" outlineLevel="1" spans="1:13">
      <c r="A638" s="24">
        <v>15</v>
      </c>
      <c r="B638" s="25" t="s">
        <v>329</v>
      </c>
      <c r="C638" s="25" t="s">
        <v>417</v>
      </c>
      <c r="D638" s="26" t="s">
        <v>60</v>
      </c>
      <c r="E638" s="26">
        <v>2</v>
      </c>
      <c r="F638" s="20">
        <v>327.64</v>
      </c>
      <c r="G638" s="20">
        <v>523</v>
      </c>
      <c r="H638" s="29">
        <v>165.2</v>
      </c>
      <c r="I638" s="29">
        <f t="shared" si="49"/>
        <v>101.584</v>
      </c>
      <c r="J638" s="29">
        <f t="shared" si="50"/>
        <v>100.56816</v>
      </c>
      <c r="K638" s="29">
        <f t="shared" si="47"/>
        <v>1217.99216</v>
      </c>
      <c r="L638" s="23">
        <f t="shared" si="48"/>
        <v>2435.98432</v>
      </c>
      <c r="M638" s="38"/>
    </row>
    <row r="639" s="1" customFormat="1" ht="45" outlineLevel="1" spans="1:13">
      <c r="A639" s="24">
        <v>16</v>
      </c>
      <c r="B639" s="25" t="s">
        <v>329</v>
      </c>
      <c r="C639" s="25" t="s">
        <v>375</v>
      </c>
      <c r="D639" s="26" t="s">
        <v>60</v>
      </c>
      <c r="E639" s="26">
        <v>1</v>
      </c>
      <c r="F639" s="20">
        <v>327.64</v>
      </c>
      <c r="G639" s="20">
        <v>570</v>
      </c>
      <c r="H639" s="29">
        <v>165.2</v>
      </c>
      <c r="I639" s="29">
        <f t="shared" si="49"/>
        <v>106.284</v>
      </c>
      <c r="J639" s="29">
        <f t="shared" si="50"/>
        <v>105.22116</v>
      </c>
      <c r="K639" s="29">
        <f t="shared" si="47"/>
        <v>1274.34516</v>
      </c>
      <c r="L639" s="23">
        <f t="shared" si="48"/>
        <v>1274.34516</v>
      </c>
      <c r="M639" s="38"/>
    </row>
    <row r="640" s="1" customFormat="1" ht="56.25" outlineLevel="1" spans="1:13">
      <c r="A640" s="24">
        <v>17</v>
      </c>
      <c r="B640" s="25" t="s">
        <v>123</v>
      </c>
      <c r="C640" s="25" t="s">
        <v>376</v>
      </c>
      <c r="D640" s="26" t="s">
        <v>60</v>
      </c>
      <c r="E640" s="26">
        <v>2</v>
      </c>
      <c r="F640" s="24">
        <v>51.2</v>
      </c>
      <c r="G640" s="24">
        <v>355</v>
      </c>
      <c r="H640" s="29">
        <v>7.42</v>
      </c>
      <c r="I640" s="29">
        <f t="shared" si="49"/>
        <v>41.362</v>
      </c>
      <c r="J640" s="29">
        <f t="shared" si="50"/>
        <v>40.94838</v>
      </c>
      <c r="K640" s="29">
        <f t="shared" si="47"/>
        <v>495.93038</v>
      </c>
      <c r="L640" s="23">
        <f t="shared" si="48"/>
        <v>991.86076</v>
      </c>
      <c r="M640" s="39" t="s">
        <v>104</v>
      </c>
    </row>
    <row r="641" s="1" customFormat="1" ht="56.25" outlineLevel="1" spans="1:13">
      <c r="A641" s="24">
        <v>18</v>
      </c>
      <c r="B641" s="25" t="s">
        <v>123</v>
      </c>
      <c r="C641" s="25" t="s">
        <v>377</v>
      </c>
      <c r="D641" s="26" t="s">
        <v>60</v>
      </c>
      <c r="E641" s="26">
        <v>1</v>
      </c>
      <c r="F641" s="24">
        <v>51.2</v>
      </c>
      <c r="G641" s="24">
        <v>400</v>
      </c>
      <c r="H641" s="29">
        <v>7.42</v>
      </c>
      <c r="I641" s="29">
        <f t="shared" si="49"/>
        <v>45.862</v>
      </c>
      <c r="J641" s="29">
        <f t="shared" si="50"/>
        <v>45.40338</v>
      </c>
      <c r="K641" s="29">
        <f t="shared" si="47"/>
        <v>549.88538</v>
      </c>
      <c r="L641" s="23">
        <f t="shared" si="48"/>
        <v>549.88538</v>
      </c>
      <c r="M641" s="39" t="s">
        <v>104</v>
      </c>
    </row>
    <row r="642" s="1" customFormat="1" ht="45" outlineLevel="1" spans="1:13">
      <c r="A642" s="24">
        <v>19</v>
      </c>
      <c r="B642" s="25" t="s">
        <v>123</v>
      </c>
      <c r="C642" s="25" t="s">
        <v>378</v>
      </c>
      <c r="D642" s="26" t="s">
        <v>60</v>
      </c>
      <c r="E642" s="26">
        <f>3*18</f>
        <v>54</v>
      </c>
      <c r="F642" s="24">
        <v>51.2</v>
      </c>
      <c r="G642" s="24">
        <v>325</v>
      </c>
      <c r="H642" s="29">
        <v>7.42</v>
      </c>
      <c r="I642" s="29">
        <f t="shared" si="49"/>
        <v>38.362</v>
      </c>
      <c r="J642" s="29">
        <f t="shared" si="50"/>
        <v>37.97838</v>
      </c>
      <c r="K642" s="29">
        <f t="shared" si="47"/>
        <v>459.96038</v>
      </c>
      <c r="L642" s="23">
        <f t="shared" si="48"/>
        <v>24837.86052</v>
      </c>
      <c r="M642" s="39" t="s">
        <v>104</v>
      </c>
    </row>
    <row r="643" s="1" customFormat="1" ht="56.25" outlineLevel="1" spans="1:13">
      <c r="A643" s="24">
        <v>20</v>
      </c>
      <c r="B643" s="25" t="s">
        <v>123</v>
      </c>
      <c r="C643" s="25" t="s">
        <v>379</v>
      </c>
      <c r="D643" s="26" t="s">
        <v>60</v>
      </c>
      <c r="E643" s="26">
        <v>9</v>
      </c>
      <c r="F643" s="24">
        <v>51.2</v>
      </c>
      <c r="G643" s="24">
        <v>126</v>
      </c>
      <c r="H643" s="29">
        <v>7.42</v>
      </c>
      <c r="I643" s="29">
        <f t="shared" si="49"/>
        <v>18.462</v>
      </c>
      <c r="J643" s="29">
        <f t="shared" si="50"/>
        <v>18.27738</v>
      </c>
      <c r="K643" s="29">
        <f t="shared" si="47"/>
        <v>221.35938</v>
      </c>
      <c r="L643" s="23">
        <f t="shared" si="48"/>
        <v>1992.23442</v>
      </c>
      <c r="M643" s="39" t="s">
        <v>104</v>
      </c>
    </row>
    <row r="644" s="1" customFormat="1" ht="56.25" outlineLevel="1" spans="1:13">
      <c r="A644" s="24">
        <v>21</v>
      </c>
      <c r="B644" s="25" t="s">
        <v>123</v>
      </c>
      <c r="C644" s="25" t="s">
        <v>380</v>
      </c>
      <c r="D644" s="26" t="s">
        <v>60</v>
      </c>
      <c r="E644" s="26">
        <v>9</v>
      </c>
      <c r="F644" s="24">
        <v>51.2</v>
      </c>
      <c r="G644" s="24">
        <v>149</v>
      </c>
      <c r="H644" s="29">
        <v>7.42</v>
      </c>
      <c r="I644" s="29">
        <f t="shared" si="49"/>
        <v>20.762</v>
      </c>
      <c r="J644" s="29">
        <f t="shared" si="50"/>
        <v>20.55438</v>
      </c>
      <c r="K644" s="29">
        <f t="shared" si="47"/>
        <v>248.93638</v>
      </c>
      <c r="L644" s="23">
        <f t="shared" si="48"/>
        <v>2240.42742</v>
      </c>
      <c r="M644" s="39" t="s">
        <v>104</v>
      </c>
    </row>
    <row r="645" s="1" customFormat="1" ht="45" outlineLevel="1" spans="1:13">
      <c r="A645" s="24">
        <v>22</v>
      </c>
      <c r="B645" s="25" t="s">
        <v>123</v>
      </c>
      <c r="C645" s="25" t="s">
        <v>335</v>
      </c>
      <c r="D645" s="26" t="s">
        <v>60</v>
      </c>
      <c r="E645" s="26">
        <v>4</v>
      </c>
      <c r="F645" s="24">
        <v>51.2</v>
      </c>
      <c r="G645" s="24">
        <v>103</v>
      </c>
      <c r="H645" s="29">
        <v>7.42</v>
      </c>
      <c r="I645" s="29">
        <f t="shared" si="49"/>
        <v>16.162</v>
      </c>
      <c r="J645" s="29">
        <f t="shared" si="50"/>
        <v>16.00038</v>
      </c>
      <c r="K645" s="29">
        <f t="shared" si="47"/>
        <v>193.78238</v>
      </c>
      <c r="L645" s="23">
        <f t="shared" si="48"/>
        <v>775.12952</v>
      </c>
      <c r="M645" s="39" t="s">
        <v>104</v>
      </c>
    </row>
    <row r="646" s="1" customFormat="1" ht="45" outlineLevel="1" spans="1:13">
      <c r="A646" s="24">
        <v>23</v>
      </c>
      <c r="B646" s="25" t="s">
        <v>127</v>
      </c>
      <c r="C646" s="25" t="s">
        <v>381</v>
      </c>
      <c r="D646" s="26" t="s">
        <v>60</v>
      </c>
      <c r="E646" s="26">
        <v>1</v>
      </c>
      <c r="F646" s="24">
        <v>127.67</v>
      </c>
      <c r="G646" s="24">
        <v>107</v>
      </c>
      <c r="H646" s="29">
        <v>19.82</v>
      </c>
      <c r="I646" s="29">
        <f t="shared" si="49"/>
        <v>25.449</v>
      </c>
      <c r="J646" s="29">
        <f t="shared" si="50"/>
        <v>25.19451</v>
      </c>
      <c r="K646" s="29">
        <f t="shared" ref="K646:K709" si="51">F646+G646+H646+I646+J646</f>
        <v>305.13351</v>
      </c>
      <c r="L646" s="23">
        <f t="shared" ref="L646:L709" si="52">K646*E646</f>
        <v>305.13351</v>
      </c>
      <c r="M646" s="39" t="s">
        <v>104</v>
      </c>
    </row>
    <row r="647" s="1" customFormat="1" ht="45" outlineLevel="1" spans="1:13">
      <c r="A647" s="24">
        <v>24</v>
      </c>
      <c r="B647" s="25" t="s">
        <v>127</v>
      </c>
      <c r="C647" s="25" t="s">
        <v>269</v>
      </c>
      <c r="D647" s="26" t="s">
        <v>60</v>
      </c>
      <c r="E647" s="26">
        <v>3</v>
      </c>
      <c r="F647" s="24">
        <v>127.67</v>
      </c>
      <c r="G647" s="24">
        <v>227</v>
      </c>
      <c r="H647" s="29">
        <v>19.82</v>
      </c>
      <c r="I647" s="29">
        <f t="shared" si="49"/>
        <v>37.449</v>
      </c>
      <c r="J647" s="29">
        <f t="shared" si="50"/>
        <v>37.07451</v>
      </c>
      <c r="K647" s="29">
        <f t="shared" si="51"/>
        <v>449.01351</v>
      </c>
      <c r="L647" s="23">
        <f t="shared" si="52"/>
        <v>1347.04053</v>
      </c>
      <c r="M647" s="39" t="s">
        <v>104</v>
      </c>
    </row>
    <row r="648" s="1" customFormat="1" ht="45" outlineLevel="1" spans="1:13">
      <c r="A648" s="24">
        <v>25</v>
      </c>
      <c r="B648" s="25" t="s">
        <v>127</v>
      </c>
      <c r="C648" s="25" t="s">
        <v>336</v>
      </c>
      <c r="D648" s="26" t="s">
        <v>60</v>
      </c>
      <c r="E648" s="26">
        <v>1</v>
      </c>
      <c r="F648" s="24">
        <v>127.67</v>
      </c>
      <c r="G648" s="24">
        <v>266</v>
      </c>
      <c r="H648" s="29">
        <v>19.82</v>
      </c>
      <c r="I648" s="29">
        <f t="shared" si="49"/>
        <v>41.349</v>
      </c>
      <c r="J648" s="29">
        <f t="shared" si="50"/>
        <v>40.93551</v>
      </c>
      <c r="K648" s="29">
        <f t="shared" si="51"/>
        <v>495.77451</v>
      </c>
      <c r="L648" s="23">
        <f t="shared" si="52"/>
        <v>495.77451</v>
      </c>
      <c r="M648" s="39" t="s">
        <v>104</v>
      </c>
    </row>
    <row r="649" s="1" customFormat="1" ht="45" outlineLevel="1" spans="1:13">
      <c r="A649" s="24">
        <v>26</v>
      </c>
      <c r="B649" s="25" t="s">
        <v>127</v>
      </c>
      <c r="C649" s="25" t="s">
        <v>382</v>
      </c>
      <c r="D649" s="26" t="s">
        <v>60</v>
      </c>
      <c r="E649" s="26">
        <v>1</v>
      </c>
      <c r="F649" s="24">
        <v>127.67</v>
      </c>
      <c r="G649" s="24">
        <v>333</v>
      </c>
      <c r="H649" s="29">
        <v>19.82</v>
      </c>
      <c r="I649" s="29">
        <f t="shared" si="49"/>
        <v>48.049</v>
      </c>
      <c r="J649" s="29">
        <f t="shared" si="50"/>
        <v>47.56851</v>
      </c>
      <c r="K649" s="29">
        <f t="shared" si="51"/>
        <v>576.10751</v>
      </c>
      <c r="L649" s="23">
        <f t="shared" si="52"/>
        <v>576.10751</v>
      </c>
      <c r="M649" s="39" t="s">
        <v>104</v>
      </c>
    </row>
    <row r="650" s="1" customFormat="1" ht="45" outlineLevel="1" spans="1:13">
      <c r="A650" s="24">
        <v>27</v>
      </c>
      <c r="B650" s="25" t="s">
        <v>127</v>
      </c>
      <c r="C650" s="25" t="s">
        <v>383</v>
      </c>
      <c r="D650" s="26" t="s">
        <v>60</v>
      </c>
      <c r="E650" s="26">
        <v>1</v>
      </c>
      <c r="F650" s="24">
        <v>127.67</v>
      </c>
      <c r="G650" s="24">
        <v>283</v>
      </c>
      <c r="H650" s="29">
        <v>19.82</v>
      </c>
      <c r="I650" s="29">
        <f t="shared" si="49"/>
        <v>43.049</v>
      </c>
      <c r="J650" s="29">
        <f t="shared" si="50"/>
        <v>42.61851</v>
      </c>
      <c r="K650" s="29">
        <f t="shared" si="51"/>
        <v>516.15751</v>
      </c>
      <c r="L650" s="23">
        <f t="shared" si="52"/>
        <v>516.15751</v>
      </c>
      <c r="M650" s="39" t="s">
        <v>104</v>
      </c>
    </row>
    <row r="651" s="1" customFormat="1" ht="45" outlineLevel="1" spans="1:13">
      <c r="A651" s="24">
        <v>28</v>
      </c>
      <c r="B651" s="25" t="s">
        <v>127</v>
      </c>
      <c r="C651" s="25" t="s">
        <v>384</v>
      </c>
      <c r="D651" s="26" t="s">
        <v>60</v>
      </c>
      <c r="E651" s="26">
        <v>3</v>
      </c>
      <c r="F651" s="24">
        <v>127.67</v>
      </c>
      <c r="G651" s="24">
        <v>243</v>
      </c>
      <c r="H651" s="29">
        <v>19.82</v>
      </c>
      <c r="I651" s="29">
        <f t="shared" si="49"/>
        <v>39.049</v>
      </c>
      <c r="J651" s="29">
        <f t="shared" si="50"/>
        <v>38.65851</v>
      </c>
      <c r="K651" s="29">
        <f t="shared" si="51"/>
        <v>468.19751</v>
      </c>
      <c r="L651" s="23">
        <f t="shared" si="52"/>
        <v>1404.59253</v>
      </c>
      <c r="M651" s="39" t="s">
        <v>104</v>
      </c>
    </row>
    <row r="652" s="1" customFormat="1" ht="45" outlineLevel="1" spans="1:13">
      <c r="A652" s="24">
        <v>29</v>
      </c>
      <c r="B652" s="25" t="s">
        <v>127</v>
      </c>
      <c r="C652" s="25" t="s">
        <v>385</v>
      </c>
      <c r="D652" s="26" t="s">
        <v>60</v>
      </c>
      <c r="E652" s="26">
        <v>5</v>
      </c>
      <c r="F652" s="24">
        <v>127.67</v>
      </c>
      <c r="G652" s="24">
        <v>208</v>
      </c>
      <c r="H652" s="29">
        <v>19.82</v>
      </c>
      <c r="I652" s="29">
        <f t="shared" si="49"/>
        <v>35.549</v>
      </c>
      <c r="J652" s="29">
        <f t="shared" si="50"/>
        <v>35.19351</v>
      </c>
      <c r="K652" s="29">
        <f t="shared" si="51"/>
        <v>426.23251</v>
      </c>
      <c r="L652" s="23">
        <f t="shared" si="52"/>
        <v>2131.16255</v>
      </c>
      <c r="M652" s="39" t="s">
        <v>104</v>
      </c>
    </row>
    <row r="653" s="1" customFormat="1" ht="45" outlineLevel="1" spans="1:13">
      <c r="A653" s="24">
        <v>30</v>
      </c>
      <c r="B653" s="25" t="s">
        <v>127</v>
      </c>
      <c r="C653" s="25" t="s">
        <v>386</v>
      </c>
      <c r="D653" s="26" t="s">
        <v>60</v>
      </c>
      <c r="E653" s="26">
        <v>1</v>
      </c>
      <c r="F653" s="24">
        <v>127.67</v>
      </c>
      <c r="G653" s="24">
        <v>184</v>
      </c>
      <c r="H653" s="29">
        <v>19.82</v>
      </c>
      <c r="I653" s="29">
        <f t="shared" si="49"/>
        <v>33.149</v>
      </c>
      <c r="J653" s="29">
        <f t="shared" si="50"/>
        <v>32.81751</v>
      </c>
      <c r="K653" s="29">
        <f t="shared" si="51"/>
        <v>397.45651</v>
      </c>
      <c r="L653" s="23">
        <f t="shared" si="52"/>
        <v>397.45651</v>
      </c>
      <c r="M653" s="39" t="s">
        <v>104</v>
      </c>
    </row>
    <row r="654" s="1" customFormat="1" ht="45" outlineLevel="1" spans="1:13">
      <c r="A654" s="24">
        <v>31</v>
      </c>
      <c r="B654" s="25" t="s">
        <v>127</v>
      </c>
      <c r="C654" s="25" t="s">
        <v>388</v>
      </c>
      <c r="D654" s="26" t="s">
        <v>60</v>
      </c>
      <c r="E654" s="26">
        <v>3</v>
      </c>
      <c r="F654" s="24">
        <v>127.67</v>
      </c>
      <c r="G654" s="24">
        <v>238</v>
      </c>
      <c r="H654" s="29">
        <v>19.82</v>
      </c>
      <c r="I654" s="29">
        <f t="shared" si="49"/>
        <v>38.549</v>
      </c>
      <c r="J654" s="29">
        <f t="shared" si="50"/>
        <v>38.16351</v>
      </c>
      <c r="K654" s="29">
        <f t="shared" si="51"/>
        <v>462.20251</v>
      </c>
      <c r="L654" s="23">
        <f t="shared" si="52"/>
        <v>1386.60753</v>
      </c>
      <c r="M654" s="39" t="s">
        <v>104</v>
      </c>
    </row>
    <row r="655" s="1" customFormat="1" ht="45" outlineLevel="1" spans="1:13">
      <c r="A655" s="24">
        <v>32</v>
      </c>
      <c r="B655" s="25" t="s">
        <v>127</v>
      </c>
      <c r="C655" s="25" t="s">
        <v>418</v>
      </c>
      <c r="D655" s="26" t="s">
        <v>60</v>
      </c>
      <c r="E655" s="26">
        <v>1</v>
      </c>
      <c r="F655" s="24">
        <v>127.67</v>
      </c>
      <c r="G655" s="24">
        <v>220</v>
      </c>
      <c r="H655" s="29">
        <v>19.82</v>
      </c>
      <c r="I655" s="29">
        <f t="shared" si="49"/>
        <v>36.749</v>
      </c>
      <c r="J655" s="29">
        <f t="shared" si="50"/>
        <v>36.38151</v>
      </c>
      <c r="K655" s="29">
        <f t="shared" si="51"/>
        <v>440.62051</v>
      </c>
      <c r="L655" s="23">
        <f t="shared" si="52"/>
        <v>440.62051</v>
      </c>
      <c r="M655" s="39" t="s">
        <v>104</v>
      </c>
    </row>
    <row r="656" s="1" customFormat="1" ht="45" outlineLevel="1" spans="1:13">
      <c r="A656" s="24">
        <v>33</v>
      </c>
      <c r="B656" s="25" t="s">
        <v>127</v>
      </c>
      <c r="C656" s="25" t="s">
        <v>270</v>
      </c>
      <c r="D656" s="26" t="s">
        <v>60</v>
      </c>
      <c r="E656" s="26">
        <v>1</v>
      </c>
      <c r="F656" s="24">
        <v>30.63</v>
      </c>
      <c r="G656" s="24">
        <v>168</v>
      </c>
      <c r="H656" s="29">
        <v>9.1</v>
      </c>
      <c r="I656" s="29">
        <f t="shared" si="49"/>
        <v>20.773</v>
      </c>
      <c r="J656" s="29">
        <f t="shared" si="50"/>
        <v>20.56527</v>
      </c>
      <c r="K656" s="29">
        <f t="shared" si="51"/>
        <v>249.06827</v>
      </c>
      <c r="L656" s="23">
        <f t="shared" si="52"/>
        <v>249.06827</v>
      </c>
      <c r="M656" s="39" t="s">
        <v>104</v>
      </c>
    </row>
    <row r="657" s="1" customFormat="1" ht="45" outlineLevel="1" spans="1:13">
      <c r="A657" s="24">
        <v>34</v>
      </c>
      <c r="B657" s="25" t="s">
        <v>127</v>
      </c>
      <c r="C657" s="25" t="s">
        <v>419</v>
      </c>
      <c r="D657" s="26" t="s">
        <v>60</v>
      </c>
      <c r="E657" s="26">
        <v>1</v>
      </c>
      <c r="F657" s="24">
        <v>30.63</v>
      </c>
      <c r="G657" s="24">
        <v>182</v>
      </c>
      <c r="H657" s="29">
        <v>9.1</v>
      </c>
      <c r="I657" s="29">
        <f t="shared" si="49"/>
        <v>22.173</v>
      </c>
      <c r="J657" s="29">
        <f t="shared" si="50"/>
        <v>21.95127</v>
      </c>
      <c r="K657" s="29">
        <f t="shared" si="51"/>
        <v>265.85427</v>
      </c>
      <c r="L657" s="23">
        <f t="shared" si="52"/>
        <v>265.85427</v>
      </c>
      <c r="M657" s="39" t="s">
        <v>104</v>
      </c>
    </row>
    <row r="658" s="1" customFormat="1" ht="45" outlineLevel="1" spans="1:13">
      <c r="A658" s="24">
        <v>35</v>
      </c>
      <c r="B658" s="25" t="s">
        <v>127</v>
      </c>
      <c r="C658" s="25" t="s">
        <v>420</v>
      </c>
      <c r="D658" s="26" t="s">
        <v>60</v>
      </c>
      <c r="E658" s="26">
        <v>1</v>
      </c>
      <c r="F658" s="24">
        <v>30.63</v>
      </c>
      <c r="G658" s="24">
        <v>146</v>
      </c>
      <c r="H658" s="29">
        <v>9.1</v>
      </c>
      <c r="I658" s="29">
        <f t="shared" si="49"/>
        <v>18.573</v>
      </c>
      <c r="J658" s="29">
        <f t="shared" si="50"/>
        <v>18.38727</v>
      </c>
      <c r="K658" s="29">
        <f t="shared" si="51"/>
        <v>222.69027</v>
      </c>
      <c r="L658" s="23">
        <f t="shared" si="52"/>
        <v>222.69027</v>
      </c>
      <c r="M658" s="39" t="s">
        <v>104</v>
      </c>
    </row>
    <row r="659" s="1" customFormat="1" ht="45" outlineLevel="1" spans="1:13">
      <c r="A659" s="24">
        <v>36</v>
      </c>
      <c r="B659" s="25" t="s">
        <v>127</v>
      </c>
      <c r="C659" s="25" t="s">
        <v>408</v>
      </c>
      <c r="D659" s="26" t="s">
        <v>60</v>
      </c>
      <c r="E659" s="26">
        <v>1</v>
      </c>
      <c r="F659" s="24">
        <v>30.63</v>
      </c>
      <c r="G659" s="24">
        <v>183</v>
      </c>
      <c r="H659" s="29">
        <v>9.1</v>
      </c>
      <c r="I659" s="29">
        <f t="shared" si="49"/>
        <v>22.273</v>
      </c>
      <c r="J659" s="29">
        <f t="shared" si="50"/>
        <v>22.05027</v>
      </c>
      <c r="K659" s="29">
        <f t="shared" si="51"/>
        <v>267.05327</v>
      </c>
      <c r="L659" s="23">
        <f t="shared" si="52"/>
        <v>267.05327</v>
      </c>
      <c r="M659" s="39" t="s">
        <v>104</v>
      </c>
    </row>
    <row r="660" s="1" customFormat="1" ht="45" outlineLevel="1" spans="1:13">
      <c r="A660" s="24">
        <v>37</v>
      </c>
      <c r="B660" s="25" t="s">
        <v>127</v>
      </c>
      <c r="C660" s="25" t="s">
        <v>421</v>
      </c>
      <c r="D660" s="26" t="s">
        <v>60</v>
      </c>
      <c r="E660" s="26">
        <v>1</v>
      </c>
      <c r="F660" s="24">
        <v>30.63</v>
      </c>
      <c r="G660" s="24">
        <v>175</v>
      </c>
      <c r="H660" s="29">
        <v>9.1</v>
      </c>
      <c r="I660" s="29">
        <f t="shared" si="49"/>
        <v>21.473</v>
      </c>
      <c r="J660" s="29">
        <f t="shared" si="50"/>
        <v>21.25827</v>
      </c>
      <c r="K660" s="29">
        <f t="shared" si="51"/>
        <v>257.46127</v>
      </c>
      <c r="L660" s="23">
        <f t="shared" si="52"/>
        <v>257.46127</v>
      </c>
      <c r="M660" s="39" t="s">
        <v>104</v>
      </c>
    </row>
    <row r="661" s="1" customFormat="1" ht="33.75" outlineLevel="1" spans="1:13">
      <c r="A661" s="24">
        <v>38</v>
      </c>
      <c r="B661" s="25" t="s">
        <v>342</v>
      </c>
      <c r="C661" s="25" t="s">
        <v>343</v>
      </c>
      <c r="D661" s="26" t="s">
        <v>60</v>
      </c>
      <c r="E661" s="26">
        <v>5</v>
      </c>
      <c r="F661" s="20"/>
      <c r="G661" s="20">
        <v>132</v>
      </c>
      <c r="H661" s="29"/>
      <c r="I661" s="29">
        <f t="shared" si="49"/>
        <v>13.2</v>
      </c>
      <c r="J661" s="29">
        <f t="shared" si="50"/>
        <v>13.068</v>
      </c>
      <c r="K661" s="29">
        <f t="shared" si="51"/>
        <v>158.268</v>
      </c>
      <c r="L661" s="23">
        <f t="shared" si="52"/>
        <v>791.34</v>
      </c>
      <c r="M661" s="39" t="s">
        <v>159</v>
      </c>
    </row>
    <row r="662" s="1" customFormat="1" ht="33.75" outlineLevel="1" spans="1:13">
      <c r="A662" s="24">
        <v>39</v>
      </c>
      <c r="B662" s="25" t="s">
        <v>392</v>
      </c>
      <c r="C662" s="25" t="s">
        <v>393</v>
      </c>
      <c r="D662" s="26" t="s">
        <v>60</v>
      </c>
      <c r="E662" s="26">
        <v>62</v>
      </c>
      <c r="F662" s="24">
        <v>35.5</v>
      </c>
      <c r="G662" s="24">
        <v>28</v>
      </c>
      <c r="H662" s="29">
        <v>12.5</v>
      </c>
      <c r="I662" s="29">
        <f t="shared" si="49"/>
        <v>7.6</v>
      </c>
      <c r="J662" s="29">
        <f t="shared" si="50"/>
        <v>7.524</v>
      </c>
      <c r="K662" s="29">
        <f t="shared" si="51"/>
        <v>91.124</v>
      </c>
      <c r="L662" s="23">
        <f t="shared" si="52"/>
        <v>5649.688</v>
      </c>
      <c r="M662" s="39" t="s">
        <v>61</v>
      </c>
    </row>
    <row r="663" s="1" customFormat="1" ht="56.25" outlineLevel="1" spans="1:13">
      <c r="A663" s="24">
        <v>40</v>
      </c>
      <c r="B663" s="25" t="s">
        <v>394</v>
      </c>
      <c r="C663" s="25" t="s">
        <v>395</v>
      </c>
      <c r="D663" s="26" t="s">
        <v>71</v>
      </c>
      <c r="E663" s="27">
        <v>1</v>
      </c>
      <c r="F663" s="24">
        <v>5000</v>
      </c>
      <c r="G663" s="29">
        <v>2000</v>
      </c>
      <c r="H663" s="29">
        <v>350</v>
      </c>
      <c r="I663" s="29">
        <f t="shared" si="49"/>
        <v>735</v>
      </c>
      <c r="J663" s="29">
        <f t="shared" si="50"/>
        <v>727.65</v>
      </c>
      <c r="K663" s="29">
        <f t="shared" si="51"/>
        <v>8812.65</v>
      </c>
      <c r="L663" s="23">
        <f t="shared" si="52"/>
        <v>8812.65</v>
      </c>
      <c r="M663" s="39" t="s">
        <v>142</v>
      </c>
    </row>
    <row r="664" s="1" customFormat="1" ht="56.25" outlineLevel="1" spans="1:13">
      <c r="A664" s="24">
        <v>41</v>
      </c>
      <c r="B664" s="25" t="s">
        <v>275</v>
      </c>
      <c r="C664" s="25" t="s">
        <v>304</v>
      </c>
      <c r="D664" s="26" t="s">
        <v>71</v>
      </c>
      <c r="E664" s="26">
        <v>1</v>
      </c>
      <c r="F664" s="20">
        <v>1.38</v>
      </c>
      <c r="G664" s="29">
        <v>2.1</v>
      </c>
      <c r="H664" s="29">
        <v>0.8</v>
      </c>
      <c r="I664" s="29">
        <f t="shared" si="49"/>
        <v>0.428</v>
      </c>
      <c r="J664" s="29">
        <f t="shared" si="50"/>
        <v>0.42372</v>
      </c>
      <c r="K664" s="29">
        <f t="shared" si="51"/>
        <v>5.13172</v>
      </c>
      <c r="L664" s="23">
        <f t="shared" si="52"/>
        <v>5.13172</v>
      </c>
      <c r="M664" s="39" t="s">
        <v>142</v>
      </c>
    </row>
    <row r="665" s="1" customFormat="1" ht="56.25" outlineLevel="1" spans="1:13">
      <c r="A665" s="24">
        <v>42</v>
      </c>
      <c r="B665" s="25" t="s">
        <v>277</v>
      </c>
      <c r="C665" s="25" t="s">
        <v>278</v>
      </c>
      <c r="D665" s="26" t="s">
        <v>71</v>
      </c>
      <c r="E665" s="26">
        <v>1</v>
      </c>
      <c r="F665" s="24">
        <v>6.77</v>
      </c>
      <c r="G665" s="29">
        <v>9.5</v>
      </c>
      <c r="H665" s="29">
        <v>1.2</v>
      </c>
      <c r="I665" s="29">
        <f t="shared" si="49"/>
        <v>1.747</v>
      </c>
      <c r="J665" s="29">
        <f t="shared" si="50"/>
        <v>1.72953</v>
      </c>
      <c r="K665" s="29">
        <f t="shared" si="51"/>
        <v>20.94653</v>
      </c>
      <c r="L665" s="23">
        <f t="shared" si="52"/>
        <v>20.94653</v>
      </c>
      <c r="M665" s="39" t="s">
        <v>142</v>
      </c>
    </row>
    <row r="666" s="1" customFormat="1" ht="56.25" outlineLevel="1" spans="1:13">
      <c r="A666" s="24">
        <v>43</v>
      </c>
      <c r="B666" s="25" t="s">
        <v>279</v>
      </c>
      <c r="C666" s="25" t="s">
        <v>280</v>
      </c>
      <c r="D666" s="26" t="s">
        <v>71</v>
      </c>
      <c r="E666" s="26">
        <v>1</v>
      </c>
      <c r="F666" s="24">
        <v>6.77</v>
      </c>
      <c r="G666" s="29">
        <v>9.5</v>
      </c>
      <c r="H666" s="29">
        <v>1.2</v>
      </c>
      <c r="I666" s="29">
        <f t="shared" si="49"/>
        <v>1.747</v>
      </c>
      <c r="J666" s="29">
        <f t="shared" si="50"/>
        <v>1.72953</v>
      </c>
      <c r="K666" s="29">
        <f t="shared" si="51"/>
        <v>20.94653</v>
      </c>
      <c r="L666" s="23">
        <f t="shared" si="52"/>
        <v>20.94653</v>
      </c>
      <c r="M666" s="39" t="s">
        <v>142</v>
      </c>
    </row>
    <row r="667" s="1" customFormat="1" outlineLevel="1" spans="1:13">
      <c r="A667" s="20" t="s">
        <v>99</v>
      </c>
      <c r="B667" s="21" t="s">
        <v>422</v>
      </c>
      <c r="C667" s="21"/>
      <c r="D667" s="22"/>
      <c r="E667" s="22"/>
      <c r="F667" s="20"/>
      <c r="G667" s="29"/>
      <c r="H667" s="29"/>
      <c r="I667" s="29">
        <f t="shared" si="49"/>
        <v>0</v>
      </c>
      <c r="J667" s="29">
        <f t="shared" si="50"/>
        <v>0</v>
      </c>
      <c r="K667" s="29">
        <f t="shared" si="51"/>
        <v>0</v>
      </c>
      <c r="L667" s="23">
        <f t="shared" si="52"/>
        <v>0</v>
      </c>
      <c r="M667" s="38"/>
    </row>
    <row r="668" s="1" customFormat="1" ht="56.25" outlineLevel="1" spans="1:13">
      <c r="A668" s="24">
        <v>1</v>
      </c>
      <c r="B668" s="25" t="s">
        <v>154</v>
      </c>
      <c r="C668" s="25" t="s">
        <v>349</v>
      </c>
      <c r="D668" s="26" t="s">
        <v>42</v>
      </c>
      <c r="E668" s="27">
        <f>71.55+8.6+27.12+(2.95*18+3)*2</f>
        <v>219.47</v>
      </c>
      <c r="F668" s="28">
        <v>0.92</v>
      </c>
      <c r="G668" s="29">
        <v>2.57</v>
      </c>
      <c r="H668" s="29">
        <v>0.85</v>
      </c>
      <c r="I668" s="29">
        <f t="shared" si="49"/>
        <v>0.434</v>
      </c>
      <c r="J668" s="29">
        <f t="shared" si="50"/>
        <v>0.42966</v>
      </c>
      <c r="K668" s="29">
        <f t="shared" si="51"/>
        <v>5.20366</v>
      </c>
      <c r="L668" s="23">
        <f t="shared" si="52"/>
        <v>1142.0472602</v>
      </c>
      <c r="M668" s="39" t="s">
        <v>142</v>
      </c>
    </row>
    <row r="669" s="1" customFormat="1" ht="56.25" outlineLevel="1" spans="1:13">
      <c r="A669" s="24">
        <v>2</v>
      </c>
      <c r="B669" s="25" t="s">
        <v>154</v>
      </c>
      <c r="C669" s="25" t="s">
        <v>206</v>
      </c>
      <c r="D669" s="26" t="s">
        <v>42</v>
      </c>
      <c r="E669" s="27">
        <f>E668*2</f>
        <v>438.94</v>
      </c>
      <c r="F669" s="28">
        <v>0.92</v>
      </c>
      <c r="G669" s="29">
        <v>1.93</v>
      </c>
      <c r="H669" s="29">
        <v>0.85</v>
      </c>
      <c r="I669" s="29">
        <f t="shared" si="49"/>
        <v>0.37</v>
      </c>
      <c r="J669" s="29">
        <f t="shared" si="50"/>
        <v>0.3663</v>
      </c>
      <c r="K669" s="29">
        <f t="shared" si="51"/>
        <v>4.4363</v>
      </c>
      <c r="L669" s="23">
        <f t="shared" si="52"/>
        <v>1947.269522</v>
      </c>
      <c r="M669" s="39" t="s">
        <v>142</v>
      </c>
    </row>
    <row r="670" s="1" customFormat="1" ht="33.75" outlineLevel="1" spans="1:13">
      <c r="A670" s="24">
        <v>3</v>
      </c>
      <c r="B670" s="25" t="s">
        <v>157</v>
      </c>
      <c r="C670" s="25" t="s">
        <v>306</v>
      </c>
      <c r="D670" s="26" t="s">
        <v>60</v>
      </c>
      <c r="E670" s="27">
        <v>4</v>
      </c>
      <c r="F670" s="24">
        <v>265.43</v>
      </c>
      <c r="G670" s="29">
        <v>116</v>
      </c>
      <c r="H670" s="29">
        <v>16.5</v>
      </c>
      <c r="I670" s="29">
        <f t="shared" si="49"/>
        <v>39.793</v>
      </c>
      <c r="J670" s="29">
        <f t="shared" si="50"/>
        <v>39.39507</v>
      </c>
      <c r="K670" s="29">
        <f t="shared" si="51"/>
        <v>477.11807</v>
      </c>
      <c r="L670" s="23">
        <f t="shared" si="52"/>
        <v>1908.47228</v>
      </c>
      <c r="M670" s="39" t="s">
        <v>159</v>
      </c>
    </row>
    <row r="671" s="1" customFormat="1" outlineLevel="1" spans="1:13">
      <c r="A671" s="20" t="s">
        <v>152</v>
      </c>
      <c r="B671" s="21" t="s">
        <v>423</v>
      </c>
      <c r="C671" s="21"/>
      <c r="D671" s="26"/>
      <c r="E671" s="27"/>
      <c r="F671" s="24"/>
      <c r="G671" s="29"/>
      <c r="H671" s="29"/>
      <c r="I671" s="29">
        <f t="shared" si="49"/>
        <v>0</v>
      </c>
      <c r="J671" s="29">
        <f t="shared" si="50"/>
        <v>0</v>
      </c>
      <c r="K671" s="29">
        <f t="shared" si="51"/>
        <v>0</v>
      </c>
      <c r="L671" s="23">
        <f t="shared" si="52"/>
        <v>0</v>
      </c>
      <c r="M671" s="39"/>
    </row>
    <row r="672" s="1" customFormat="1" ht="56.25" outlineLevel="1" spans="1:13">
      <c r="A672" s="24">
        <v>1</v>
      </c>
      <c r="B672" s="25" t="s">
        <v>154</v>
      </c>
      <c r="C672" s="25" t="s">
        <v>351</v>
      </c>
      <c r="D672" s="26" t="s">
        <v>42</v>
      </c>
      <c r="E672" s="27">
        <f>71.55+8.6+27.12+(2.95*1+3)*2</f>
        <v>119.17</v>
      </c>
      <c r="F672" s="28">
        <v>0.92</v>
      </c>
      <c r="G672" s="29">
        <v>2.04</v>
      </c>
      <c r="H672" s="29">
        <v>0.85</v>
      </c>
      <c r="I672" s="29">
        <f t="shared" si="49"/>
        <v>0.381</v>
      </c>
      <c r="J672" s="29">
        <f t="shared" si="50"/>
        <v>0.37719</v>
      </c>
      <c r="K672" s="29">
        <f t="shared" si="51"/>
        <v>4.56819</v>
      </c>
      <c r="L672" s="23">
        <f t="shared" si="52"/>
        <v>544.3912023</v>
      </c>
      <c r="M672" s="39" t="s">
        <v>142</v>
      </c>
    </row>
    <row r="673" s="1" customFormat="1" ht="33.75" outlineLevel="1" spans="1:13">
      <c r="A673" s="24">
        <v>2</v>
      </c>
      <c r="B673" s="25" t="s">
        <v>157</v>
      </c>
      <c r="C673" s="25" t="s">
        <v>163</v>
      </c>
      <c r="D673" s="26" t="s">
        <v>60</v>
      </c>
      <c r="E673" s="27">
        <v>2</v>
      </c>
      <c r="F673" s="24">
        <v>285.43</v>
      </c>
      <c r="G673" s="29">
        <v>78.4</v>
      </c>
      <c r="H673" s="29">
        <v>66.5</v>
      </c>
      <c r="I673" s="29">
        <f t="shared" si="49"/>
        <v>43.033</v>
      </c>
      <c r="J673" s="29">
        <f t="shared" si="50"/>
        <v>42.60267</v>
      </c>
      <c r="K673" s="29">
        <f t="shared" si="51"/>
        <v>515.96567</v>
      </c>
      <c r="L673" s="23">
        <f t="shared" si="52"/>
        <v>1031.93134</v>
      </c>
      <c r="M673" s="39" t="s">
        <v>159</v>
      </c>
    </row>
    <row r="674" s="1" customFormat="1" ht="22.5" outlineLevel="1" spans="1:13">
      <c r="A674" s="20" t="s">
        <v>160</v>
      </c>
      <c r="B674" s="21" t="s">
        <v>424</v>
      </c>
      <c r="C674" s="21"/>
      <c r="D674" s="22"/>
      <c r="E674" s="22"/>
      <c r="F674" s="20"/>
      <c r="G674" s="29"/>
      <c r="H674" s="29"/>
      <c r="I674" s="29">
        <f t="shared" si="49"/>
        <v>0</v>
      </c>
      <c r="J674" s="29">
        <f t="shared" si="50"/>
        <v>0</v>
      </c>
      <c r="K674" s="29">
        <f t="shared" si="51"/>
        <v>0</v>
      </c>
      <c r="L674" s="23">
        <f t="shared" si="52"/>
        <v>0</v>
      </c>
      <c r="M674" s="38"/>
    </row>
    <row r="675" s="1" customFormat="1" ht="67.5" outlineLevel="1" spans="1:13">
      <c r="A675" s="24">
        <v>1</v>
      </c>
      <c r="B675" s="25" t="s">
        <v>154</v>
      </c>
      <c r="C675" s="25" t="s">
        <v>353</v>
      </c>
      <c r="D675" s="26" t="s">
        <v>42</v>
      </c>
      <c r="E675" s="27">
        <f>(71.55+8.6+27.12+(2.95+3)*2)*2</f>
        <v>238.34</v>
      </c>
      <c r="F675" s="28">
        <v>0.92</v>
      </c>
      <c r="G675" s="29">
        <v>2.14</v>
      </c>
      <c r="H675" s="29">
        <v>0.85</v>
      </c>
      <c r="I675" s="29">
        <f t="shared" si="49"/>
        <v>0.391</v>
      </c>
      <c r="J675" s="29">
        <f t="shared" si="50"/>
        <v>0.38709</v>
      </c>
      <c r="K675" s="29">
        <f t="shared" si="51"/>
        <v>4.68809</v>
      </c>
      <c r="L675" s="23">
        <f t="shared" si="52"/>
        <v>1117.3593706</v>
      </c>
      <c r="M675" s="39" t="s">
        <v>142</v>
      </c>
    </row>
    <row r="676" s="1" customFormat="1" ht="67.5" outlineLevel="1" spans="1:13">
      <c r="A676" s="24">
        <v>2</v>
      </c>
      <c r="B676" s="25" t="s">
        <v>154</v>
      </c>
      <c r="C676" s="25" t="s">
        <v>167</v>
      </c>
      <c r="D676" s="26" t="s">
        <v>42</v>
      </c>
      <c r="E676" s="27">
        <f>E675</f>
        <v>238.34</v>
      </c>
      <c r="F676" s="28">
        <v>0.92</v>
      </c>
      <c r="G676" s="29">
        <v>2.82</v>
      </c>
      <c r="H676" s="29">
        <v>0.85</v>
      </c>
      <c r="I676" s="29">
        <f t="shared" si="49"/>
        <v>0.459</v>
      </c>
      <c r="J676" s="29">
        <f t="shared" si="50"/>
        <v>0.45441</v>
      </c>
      <c r="K676" s="29">
        <f t="shared" si="51"/>
        <v>5.50341</v>
      </c>
      <c r="L676" s="23">
        <f t="shared" si="52"/>
        <v>1311.6827394</v>
      </c>
      <c r="M676" s="39" t="s">
        <v>142</v>
      </c>
    </row>
    <row r="677" s="1" customFormat="1" ht="67.5" outlineLevel="1" spans="1:13">
      <c r="A677" s="24">
        <v>3</v>
      </c>
      <c r="B677" s="25" t="s">
        <v>154</v>
      </c>
      <c r="C677" s="25" t="s">
        <v>354</v>
      </c>
      <c r="D677" s="26" t="s">
        <v>42</v>
      </c>
      <c r="E677" s="27">
        <f>(71.55+8.6+27.12+(2.95+3)*2)</f>
        <v>119.17</v>
      </c>
      <c r="F677" s="28">
        <v>0.92</v>
      </c>
      <c r="G677" s="29">
        <v>2.57</v>
      </c>
      <c r="H677" s="29">
        <v>0.85</v>
      </c>
      <c r="I677" s="29">
        <f t="shared" ref="I677:I740" si="53">(F677+G677+H677)*$I$4</f>
        <v>0.434</v>
      </c>
      <c r="J677" s="29">
        <f t="shared" ref="J677:J740" si="54">(F677+G677+H677+I677)*$J$4</f>
        <v>0.42966</v>
      </c>
      <c r="K677" s="29">
        <f t="shared" si="51"/>
        <v>5.20366</v>
      </c>
      <c r="L677" s="23">
        <f t="shared" si="52"/>
        <v>620.1201622</v>
      </c>
      <c r="M677" s="39" t="s">
        <v>142</v>
      </c>
    </row>
    <row r="678" s="1" customFormat="1" ht="67.5" outlineLevel="1" spans="1:13">
      <c r="A678" s="24">
        <v>4</v>
      </c>
      <c r="B678" s="25" t="s">
        <v>154</v>
      </c>
      <c r="C678" s="25" t="s">
        <v>355</v>
      </c>
      <c r="D678" s="26" t="s">
        <v>42</v>
      </c>
      <c r="E678" s="27">
        <f>E677</f>
        <v>119.17</v>
      </c>
      <c r="F678" s="28">
        <v>0.92</v>
      </c>
      <c r="G678" s="29">
        <v>2.57</v>
      </c>
      <c r="H678" s="29">
        <v>0.85</v>
      </c>
      <c r="I678" s="29">
        <f t="shared" si="53"/>
        <v>0.434</v>
      </c>
      <c r="J678" s="29">
        <f t="shared" si="54"/>
        <v>0.42966</v>
      </c>
      <c r="K678" s="29">
        <f t="shared" si="51"/>
        <v>5.20366</v>
      </c>
      <c r="L678" s="23">
        <f t="shared" si="52"/>
        <v>620.1201622</v>
      </c>
      <c r="M678" s="39" t="s">
        <v>142</v>
      </c>
    </row>
    <row r="679" s="1" customFormat="1" ht="67.5" outlineLevel="1" spans="1:13">
      <c r="A679" s="24">
        <v>5</v>
      </c>
      <c r="B679" s="25" t="s">
        <v>154</v>
      </c>
      <c r="C679" s="25" t="s">
        <v>170</v>
      </c>
      <c r="D679" s="26" t="s">
        <v>42</v>
      </c>
      <c r="E679" s="27">
        <v>1137.01</v>
      </c>
      <c r="F679" s="28">
        <v>0.92</v>
      </c>
      <c r="G679" s="29">
        <v>2.04</v>
      </c>
      <c r="H679" s="29">
        <v>0.85</v>
      </c>
      <c r="I679" s="29">
        <f t="shared" si="53"/>
        <v>0.381</v>
      </c>
      <c r="J679" s="29">
        <f t="shared" si="54"/>
        <v>0.37719</v>
      </c>
      <c r="K679" s="29">
        <f t="shared" si="51"/>
        <v>4.56819</v>
      </c>
      <c r="L679" s="23">
        <f t="shared" si="52"/>
        <v>5194.0777119</v>
      </c>
      <c r="M679" s="39" t="s">
        <v>142</v>
      </c>
    </row>
    <row r="680" s="1" customFormat="1" ht="67.5" outlineLevel="1" spans="1:13">
      <c r="A680" s="24">
        <v>6</v>
      </c>
      <c r="B680" s="25" t="s">
        <v>154</v>
      </c>
      <c r="C680" s="25" t="s">
        <v>310</v>
      </c>
      <c r="D680" s="26" t="s">
        <v>42</v>
      </c>
      <c r="E680" s="27">
        <v>1514.41</v>
      </c>
      <c r="F680" s="28">
        <v>0.92</v>
      </c>
      <c r="G680" s="29">
        <v>1.93</v>
      </c>
      <c r="H680" s="29">
        <v>0.85</v>
      </c>
      <c r="I680" s="29">
        <f t="shared" si="53"/>
        <v>0.37</v>
      </c>
      <c r="J680" s="29">
        <f t="shared" si="54"/>
        <v>0.3663</v>
      </c>
      <c r="K680" s="29">
        <f t="shared" si="51"/>
        <v>4.4363</v>
      </c>
      <c r="L680" s="23">
        <f t="shared" si="52"/>
        <v>6718.377083</v>
      </c>
      <c r="M680" s="39" t="s">
        <v>142</v>
      </c>
    </row>
    <row r="681" s="1" customFormat="1" ht="67.5" outlineLevel="1" spans="1:13">
      <c r="A681" s="24">
        <v>7</v>
      </c>
      <c r="B681" s="25" t="s">
        <v>154</v>
      </c>
      <c r="C681" s="25" t="s">
        <v>356</v>
      </c>
      <c r="D681" s="26" t="s">
        <v>42</v>
      </c>
      <c r="E681" s="27">
        <v>355.53</v>
      </c>
      <c r="F681" s="28">
        <v>0.92</v>
      </c>
      <c r="G681" s="29">
        <v>2.57</v>
      </c>
      <c r="H681" s="29">
        <v>0.85</v>
      </c>
      <c r="I681" s="29">
        <f t="shared" si="53"/>
        <v>0.434</v>
      </c>
      <c r="J681" s="29">
        <f t="shared" si="54"/>
        <v>0.42966</v>
      </c>
      <c r="K681" s="29">
        <f t="shared" si="51"/>
        <v>5.20366</v>
      </c>
      <c r="L681" s="23">
        <f t="shared" si="52"/>
        <v>1850.0572398</v>
      </c>
      <c r="M681" s="39" t="s">
        <v>142</v>
      </c>
    </row>
    <row r="682" s="1" customFormat="1" ht="67.5" outlineLevel="1" spans="1:13">
      <c r="A682" s="24">
        <v>8</v>
      </c>
      <c r="B682" s="25" t="s">
        <v>154</v>
      </c>
      <c r="C682" s="25" t="s">
        <v>357</v>
      </c>
      <c r="D682" s="26" t="s">
        <v>42</v>
      </c>
      <c r="E682" s="27">
        <v>321.68</v>
      </c>
      <c r="F682" s="28">
        <v>0.92</v>
      </c>
      <c r="G682" s="29">
        <v>2.57</v>
      </c>
      <c r="H682" s="29">
        <v>0.85</v>
      </c>
      <c r="I682" s="29">
        <f t="shared" si="53"/>
        <v>0.434</v>
      </c>
      <c r="J682" s="29">
        <f t="shared" si="54"/>
        <v>0.42966</v>
      </c>
      <c r="K682" s="29">
        <f t="shared" si="51"/>
        <v>5.20366</v>
      </c>
      <c r="L682" s="23">
        <f t="shared" si="52"/>
        <v>1673.9133488</v>
      </c>
      <c r="M682" s="39" t="s">
        <v>142</v>
      </c>
    </row>
    <row r="683" s="1" customFormat="1" ht="33.75" outlineLevel="1" spans="1:13">
      <c r="A683" s="24">
        <v>9</v>
      </c>
      <c r="B683" s="25" t="s">
        <v>174</v>
      </c>
      <c r="C683" s="25" t="s">
        <v>175</v>
      </c>
      <c r="D683" s="26" t="s">
        <v>60</v>
      </c>
      <c r="E683" s="27">
        <v>38</v>
      </c>
      <c r="F683" s="28">
        <v>192.41</v>
      </c>
      <c r="G683" s="28">
        <v>26.6</v>
      </c>
      <c r="H683" s="29">
        <v>10.12</v>
      </c>
      <c r="I683" s="29">
        <f t="shared" si="53"/>
        <v>22.913</v>
      </c>
      <c r="J683" s="29">
        <f t="shared" si="54"/>
        <v>22.68387</v>
      </c>
      <c r="K683" s="29">
        <f t="shared" si="51"/>
        <v>274.72687</v>
      </c>
      <c r="L683" s="23">
        <f t="shared" si="52"/>
        <v>10439.62106</v>
      </c>
      <c r="M683" s="39" t="s">
        <v>159</v>
      </c>
    </row>
    <row r="684" s="1" customFormat="1" ht="33.75" outlineLevel="1" spans="1:13">
      <c r="A684" s="24">
        <v>10</v>
      </c>
      <c r="B684" s="25" t="s">
        <v>176</v>
      </c>
      <c r="C684" s="25" t="s">
        <v>177</v>
      </c>
      <c r="D684" s="26" t="s">
        <v>60</v>
      </c>
      <c r="E684" s="27">
        <v>161</v>
      </c>
      <c r="F684" s="28">
        <v>37.21</v>
      </c>
      <c r="G684" s="28">
        <v>19.2</v>
      </c>
      <c r="H684" s="29">
        <v>2.21</v>
      </c>
      <c r="I684" s="29">
        <f t="shared" si="53"/>
        <v>5.862</v>
      </c>
      <c r="J684" s="29">
        <f t="shared" si="54"/>
        <v>5.80338</v>
      </c>
      <c r="K684" s="29">
        <f t="shared" si="51"/>
        <v>70.28538</v>
      </c>
      <c r="L684" s="23">
        <f t="shared" si="52"/>
        <v>11315.94618</v>
      </c>
      <c r="M684" s="39" t="s">
        <v>159</v>
      </c>
    </row>
    <row r="685" s="1" customFormat="1" ht="45" outlineLevel="1" spans="1:13">
      <c r="A685" s="24">
        <v>11</v>
      </c>
      <c r="B685" s="25" t="s">
        <v>180</v>
      </c>
      <c r="C685" s="25" t="s">
        <v>181</v>
      </c>
      <c r="D685" s="26" t="s">
        <v>60</v>
      </c>
      <c r="E685" s="27">
        <v>55</v>
      </c>
      <c r="F685" s="28">
        <v>65.22</v>
      </c>
      <c r="G685" s="28">
        <v>26.92</v>
      </c>
      <c r="H685" s="29">
        <v>4.5</v>
      </c>
      <c r="I685" s="29">
        <f t="shared" si="53"/>
        <v>9.664</v>
      </c>
      <c r="J685" s="29">
        <f t="shared" si="54"/>
        <v>9.56736</v>
      </c>
      <c r="K685" s="29">
        <f t="shared" si="51"/>
        <v>115.87136</v>
      </c>
      <c r="L685" s="23">
        <f t="shared" si="52"/>
        <v>6372.9248</v>
      </c>
      <c r="M685" s="39" t="s">
        <v>159</v>
      </c>
    </row>
    <row r="686" s="1" customFormat="1" ht="33.75" outlineLevel="1" spans="1:13">
      <c r="A686" s="24">
        <v>12</v>
      </c>
      <c r="B686" s="25" t="s">
        <v>182</v>
      </c>
      <c r="C686" s="25" t="s">
        <v>183</v>
      </c>
      <c r="D686" s="26" t="s">
        <v>60</v>
      </c>
      <c r="E686" s="27">
        <v>55</v>
      </c>
      <c r="F686" s="28">
        <v>78.12</v>
      </c>
      <c r="G686" s="28">
        <v>30.08</v>
      </c>
      <c r="H686" s="29">
        <v>3.62</v>
      </c>
      <c r="I686" s="29">
        <f t="shared" si="53"/>
        <v>11.182</v>
      </c>
      <c r="J686" s="29">
        <f t="shared" si="54"/>
        <v>11.07018</v>
      </c>
      <c r="K686" s="29">
        <f t="shared" si="51"/>
        <v>134.07218</v>
      </c>
      <c r="L686" s="23">
        <f t="shared" si="52"/>
        <v>7373.9699</v>
      </c>
      <c r="M686" s="39" t="s">
        <v>159</v>
      </c>
    </row>
    <row r="687" s="1" customFormat="1" ht="33.75" outlineLevel="1" spans="1:13">
      <c r="A687" s="24">
        <v>13</v>
      </c>
      <c r="B687" s="25" t="s">
        <v>184</v>
      </c>
      <c r="C687" s="25" t="s">
        <v>185</v>
      </c>
      <c r="D687" s="26" t="s">
        <v>60</v>
      </c>
      <c r="E687" s="27">
        <v>38</v>
      </c>
      <c r="F687" s="28">
        <v>195.64</v>
      </c>
      <c r="G687" s="28">
        <v>22.56</v>
      </c>
      <c r="H687" s="29">
        <v>7.17</v>
      </c>
      <c r="I687" s="29">
        <f t="shared" si="53"/>
        <v>22.537</v>
      </c>
      <c r="J687" s="29">
        <f t="shared" si="54"/>
        <v>22.31163</v>
      </c>
      <c r="K687" s="29">
        <f t="shared" si="51"/>
        <v>270.21863</v>
      </c>
      <c r="L687" s="23">
        <f t="shared" si="52"/>
        <v>10268.30794</v>
      </c>
      <c r="M687" s="39" t="s">
        <v>159</v>
      </c>
    </row>
    <row r="688" s="1" customFormat="1" ht="33.75" outlineLevel="1" spans="1:13">
      <c r="A688" s="24">
        <v>14</v>
      </c>
      <c r="B688" s="25" t="s">
        <v>186</v>
      </c>
      <c r="C688" s="25" t="s">
        <v>187</v>
      </c>
      <c r="D688" s="26" t="s">
        <v>60</v>
      </c>
      <c r="E688" s="27">
        <v>92</v>
      </c>
      <c r="F688" s="28">
        <v>48.37</v>
      </c>
      <c r="G688" s="28">
        <v>19.4</v>
      </c>
      <c r="H688" s="29">
        <v>3.2</v>
      </c>
      <c r="I688" s="29">
        <f t="shared" si="53"/>
        <v>7.097</v>
      </c>
      <c r="J688" s="29">
        <f t="shared" si="54"/>
        <v>7.02603</v>
      </c>
      <c r="K688" s="29">
        <f t="shared" si="51"/>
        <v>85.09303</v>
      </c>
      <c r="L688" s="23">
        <f t="shared" si="52"/>
        <v>7828.55876</v>
      </c>
      <c r="M688" s="39" t="s">
        <v>159</v>
      </c>
    </row>
    <row r="689" s="1" customFormat="1" ht="33.75" outlineLevel="1" spans="1:13">
      <c r="A689" s="24">
        <v>15</v>
      </c>
      <c r="B689" s="25" t="s">
        <v>188</v>
      </c>
      <c r="C689" s="25" t="s">
        <v>189</v>
      </c>
      <c r="D689" s="26" t="s">
        <v>60</v>
      </c>
      <c r="E689" s="27">
        <v>2</v>
      </c>
      <c r="F689" s="28">
        <v>50.98</v>
      </c>
      <c r="G689" s="28">
        <v>46.66</v>
      </c>
      <c r="H689" s="29">
        <v>30.84</v>
      </c>
      <c r="I689" s="29">
        <f t="shared" si="53"/>
        <v>12.848</v>
      </c>
      <c r="J689" s="29">
        <f t="shared" si="54"/>
        <v>12.71952</v>
      </c>
      <c r="K689" s="29">
        <f t="shared" si="51"/>
        <v>154.04752</v>
      </c>
      <c r="L689" s="23">
        <f t="shared" si="52"/>
        <v>308.09504</v>
      </c>
      <c r="M689" s="39" t="s">
        <v>159</v>
      </c>
    </row>
    <row r="690" s="1" customFormat="1" ht="33.75" outlineLevel="1" spans="1:13">
      <c r="A690" s="24">
        <v>16</v>
      </c>
      <c r="B690" s="25" t="s">
        <v>192</v>
      </c>
      <c r="C690" s="25" t="s">
        <v>193</v>
      </c>
      <c r="D690" s="26" t="s">
        <v>60</v>
      </c>
      <c r="E690" s="27">
        <v>103</v>
      </c>
      <c r="F690" s="28">
        <v>254.48</v>
      </c>
      <c r="G690" s="28">
        <v>21.15</v>
      </c>
      <c r="H690" s="29">
        <v>10.26</v>
      </c>
      <c r="I690" s="29">
        <f t="shared" si="53"/>
        <v>28.589</v>
      </c>
      <c r="J690" s="29">
        <f t="shared" si="54"/>
        <v>28.30311</v>
      </c>
      <c r="K690" s="29">
        <f t="shared" si="51"/>
        <v>342.78211</v>
      </c>
      <c r="L690" s="23">
        <f t="shared" si="52"/>
        <v>35306.55733</v>
      </c>
      <c r="M690" s="39" t="s">
        <v>159</v>
      </c>
    </row>
    <row r="691" s="1" customFormat="1" ht="33.75" outlineLevel="1" spans="1:13">
      <c r="A691" s="24">
        <v>17</v>
      </c>
      <c r="B691" s="25" t="s">
        <v>190</v>
      </c>
      <c r="C691" s="25" t="s">
        <v>191</v>
      </c>
      <c r="D691" s="26" t="s">
        <v>60</v>
      </c>
      <c r="E691" s="27">
        <v>4</v>
      </c>
      <c r="F691" s="28">
        <v>212.47</v>
      </c>
      <c r="G691" s="28">
        <v>15.04</v>
      </c>
      <c r="H691" s="29">
        <v>7.1</v>
      </c>
      <c r="I691" s="29">
        <f t="shared" si="53"/>
        <v>23.461</v>
      </c>
      <c r="J691" s="29">
        <f t="shared" si="54"/>
        <v>23.22639</v>
      </c>
      <c r="K691" s="29">
        <f t="shared" si="51"/>
        <v>281.29739</v>
      </c>
      <c r="L691" s="23">
        <f t="shared" si="52"/>
        <v>1125.18956</v>
      </c>
      <c r="M691" s="39" t="s">
        <v>159</v>
      </c>
    </row>
    <row r="692" s="1" customFormat="1" ht="33.75" outlineLevel="1" spans="1:13">
      <c r="A692" s="24">
        <v>18</v>
      </c>
      <c r="B692" s="25" t="s">
        <v>194</v>
      </c>
      <c r="C692" s="25" t="s">
        <v>195</v>
      </c>
      <c r="D692" s="26" t="s">
        <v>60</v>
      </c>
      <c r="E692" s="27">
        <v>2</v>
      </c>
      <c r="F692" s="28">
        <v>1425.47</v>
      </c>
      <c r="G692" s="28">
        <v>234.06</v>
      </c>
      <c r="H692" s="29">
        <v>58.4</v>
      </c>
      <c r="I692" s="29">
        <f t="shared" si="53"/>
        <v>171.793</v>
      </c>
      <c r="J692" s="29">
        <f t="shared" si="54"/>
        <v>170.07507</v>
      </c>
      <c r="K692" s="29">
        <f t="shared" si="51"/>
        <v>2059.79807</v>
      </c>
      <c r="L692" s="23">
        <f t="shared" si="52"/>
        <v>4119.59614</v>
      </c>
      <c r="M692" s="39" t="s">
        <v>159</v>
      </c>
    </row>
    <row r="693" s="1" customFormat="1" ht="33.75" outlineLevel="1" spans="1:13">
      <c r="A693" s="24">
        <v>19</v>
      </c>
      <c r="B693" s="25" t="s">
        <v>238</v>
      </c>
      <c r="C693" s="25" t="s">
        <v>239</v>
      </c>
      <c r="D693" s="26" t="s">
        <v>60</v>
      </c>
      <c r="E693" s="27">
        <v>2</v>
      </c>
      <c r="F693" s="28">
        <v>47.27</v>
      </c>
      <c r="G693" s="28">
        <v>43.24</v>
      </c>
      <c r="H693" s="29">
        <v>2.7</v>
      </c>
      <c r="I693" s="29">
        <f t="shared" si="53"/>
        <v>9.321</v>
      </c>
      <c r="J693" s="29">
        <f t="shared" si="54"/>
        <v>9.22779</v>
      </c>
      <c r="K693" s="29">
        <f t="shared" si="51"/>
        <v>111.75879</v>
      </c>
      <c r="L693" s="23">
        <f t="shared" si="52"/>
        <v>223.51758</v>
      </c>
      <c r="M693" s="39" t="s">
        <v>159</v>
      </c>
    </row>
    <row r="694" s="1" customFormat="1" outlineLevel="1" spans="1:13">
      <c r="A694" s="20" t="s">
        <v>164</v>
      </c>
      <c r="B694" s="21" t="s">
        <v>425</v>
      </c>
      <c r="C694" s="21"/>
      <c r="D694" s="22"/>
      <c r="E694" s="22"/>
      <c r="F694" s="20"/>
      <c r="G694" s="29"/>
      <c r="H694" s="29"/>
      <c r="I694" s="29">
        <f t="shared" si="53"/>
        <v>0</v>
      </c>
      <c r="J694" s="29">
        <f t="shared" si="54"/>
        <v>0</v>
      </c>
      <c r="K694" s="29">
        <f t="shared" si="51"/>
        <v>0</v>
      </c>
      <c r="L694" s="23">
        <f t="shared" si="52"/>
        <v>0</v>
      </c>
      <c r="M694" s="38"/>
    </row>
    <row r="695" s="1" customFormat="1" ht="56.25" outlineLevel="1" spans="1:13">
      <c r="A695" s="24">
        <v>1</v>
      </c>
      <c r="B695" s="25" t="s">
        <v>154</v>
      </c>
      <c r="C695" s="25" t="s">
        <v>359</v>
      </c>
      <c r="D695" s="26" t="s">
        <v>42</v>
      </c>
      <c r="E695" s="27">
        <f>71.55+8.6+27.12+203.84</f>
        <v>311.11</v>
      </c>
      <c r="F695" s="28">
        <v>0.92</v>
      </c>
      <c r="G695" s="29">
        <v>3.64</v>
      </c>
      <c r="H695" s="29">
        <v>0.85</v>
      </c>
      <c r="I695" s="29">
        <f t="shared" si="53"/>
        <v>0.541</v>
      </c>
      <c r="J695" s="29">
        <f t="shared" si="54"/>
        <v>0.53559</v>
      </c>
      <c r="K695" s="29">
        <f t="shared" si="51"/>
        <v>6.48659</v>
      </c>
      <c r="L695" s="23">
        <f t="shared" si="52"/>
        <v>2018.0430149</v>
      </c>
      <c r="M695" s="39" t="s">
        <v>142</v>
      </c>
    </row>
    <row r="696" s="1" customFormat="1" ht="56.25" outlineLevel="1" spans="1:13">
      <c r="A696" s="24">
        <v>2</v>
      </c>
      <c r="B696" s="25" t="s">
        <v>154</v>
      </c>
      <c r="C696" s="25" t="s">
        <v>360</v>
      </c>
      <c r="D696" s="26" t="s">
        <v>42</v>
      </c>
      <c r="E696" s="27">
        <f>E695</f>
        <v>311.11</v>
      </c>
      <c r="F696" s="28">
        <v>0.92</v>
      </c>
      <c r="G696" s="29">
        <v>3.46</v>
      </c>
      <c r="H696" s="29">
        <v>0.85</v>
      </c>
      <c r="I696" s="29">
        <f t="shared" si="53"/>
        <v>0.523</v>
      </c>
      <c r="J696" s="29">
        <f t="shared" si="54"/>
        <v>0.51777</v>
      </c>
      <c r="K696" s="29">
        <f t="shared" si="51"/>
        <v>6.27077</v>
      </c>
      <c r="L696" s="23">
        <f t="shared" si="52"/>
        <v>1950.8992547</v>
      </c>
      <c r="M696" s="39" t="s">
        <v>142</v>
      </c>
    </row>
    <row r="697" s="1" customFormat="1" ht="33.75" outlineLevel="1" spans="1:13">
      <c r="A697" s="24">
        <v>3</v>
      </c>
      <c r="B697" s="25" t="s">
        <v>157</v>
      </c>
      <c r="C697" s="25" t="s">
        <v>313</v>
      </c>
      <c r="D697" s="26" t="s">
        <v>60</v>
      </c>
      <c r="E697" s="27">
        <v>57</v>
      </c>
      <c r="F697" s="24">
        <v>285.43</v>
      </c>
      <c r="G697" s="29">
        <v>43.6</v>
      </c>
      <c r="H697" s="29">
        <v>16.5</v>
      </c>
      <c r="I697" s="29">
        <f t="shared" si="53"/>
        <v>34.553</v>
      </c>
      <c r="J697" s="29">
        <f t="shared" si="54"/>
        <v>34.20747</v>
      </c>
      <c r="K697" s="29">
        <f t="shared" si="51"/>
        <v>414.29047</v>
      </c>
      <c r="L697" s="23">
        <f t="shared" si="52"/>
        <v>23614.55679</v>
      </c>
      <c r="M697" s="39" t="s">
        <v>159</v>
      </c>
    </row>
    <row r="698" s="1" customFormat="1" outlineLevel="1" spans="1:13">
      <c r="A698" s="20" t="s">
        <v>196</v>
      </c>
      <c r="B698" s="21" t="s">
        <v>426</v>
      </c>
      <c r="C698" s="21"/>
      <c r="D698" s="22"/>
      <c r="E698" s="22"/>
      <c r="F698" s="20"/>
      <c r="G698" s="29"/>
      <c r="H698" s="29"/>
      <c r="I698" s="29">
        <f t="shared" si="53"/>
        <v>0</v>
      </c>
      <c r="J698" s="29">
        <f t="shared" si="54"/>
        <v>0</v>
      </c>
      <c r="K698" s="29">
        <f t="shared" si="51"/>
        <v>0</v>
      </c>
      <c r="L698" s="23">
        <f t="shared" si="52"/>
        <v>0</v>
      </c>
      <c r="M698" s="38"/>
    </row>
    <row r="699" s="1" customFormat="1" ht="33.75" outlineLevel="1" spans="1:13">
      <c r="A699" s="24">
        <v>1</v>
      </c>
      <c r="B699" s="25" t="s">
        <v>198</v>
      </c>
      <c r="C699" s="25" t="s">
        <v>245</v>
      </c>
      <c r="D699" s="26" t="s">
        <v>103</v>
      </c>
      <c r="E699" s="27">
        <v>4</v>
      </c>
      <c r="F699" s="24">
        <v>90.73</v>
      </c>
      <c r="G699" s="29">
        <v>360</v>
      </c>
      <c r="H699" s="29">
        <v>19.3</v>
      </c>
      <c r="I699" s="29">
        <f t="shared" si="53"/>
        <v>47.003</v>
      </c>
      <c r="J699" s="29">
        <f t="shared" si="54"/>
        <v>46.53297</v>
      </c>
      <c r="K699" s="29">
        <f t="shared" si="51"/>
        <v>563.56597</v>
      </c>
      <c r="L699" s="23">
        <f t="shared" si="52"/>
        <v>2254.26388</v>
      </c>
      <c r="M699" s="39" t="s">
        <v>202</v>
      </c>
    </row>
    <row r="700" s="1" customFormat="1" ht="56.25" outlineLevel="1" spans="1:13">
      <c r="A700" s="24">
        <v>2</v>
      </c>
      <c r="B700" s="25" t="s">
        <v>200</v>
      </c>
      <c r="C700" s="25" t="s">
        <v>362</v>
      </c>
      <c r="D700" s="26" t="s">
        <v>51</v>
      </c>
      <c r="E700" s="27">
        <v>6</v>
      </c>
      <c r="F700" s="28">
        <v>26.59</v>
      </c>
      <c r="G700" s="29">
        <v>33</v>
      </c>
      <c r="H700" s="29">
        <v>22.37</v>
      </c>
      <c r="I700" s="29">
        <f t="shared" si="53"/>
        <v>8.196</v>
      </c>
      <c r="J700" s="29">
        <f t="shared" si="54"/>
        <v>8.11404</v>
      </c>
      <c r="K700" s="29">
        <f t="shared" si="51"/>
        <v>98.27004</v>
      </c>
      <c r="L700" s="23">
        <f t="shared" si="52"/>
        <v>589.62024</v>
      </c>
      <c r="M700" s="39" t="s">
        <v>202</v>
      </c>
    </row>
    <row r="701" s="1" customFormat="1" ht="67.5" outlineLevel="1" spans="1:13">
      <c r="A701" s="24">
        <v>3</v>
      </c>
      <c r="B701" s="25" t="s">
        <v>200</v>
      </c>
      <c r="C701" s="25" t="s">
        <v>363</v>
      </c>
      <c r="D701" s="26" t="s">
        <v>51</v>
      </c>
      <c r="E701" s="27">
        <v>162</v>
      </c>
      <c r="F701" s="28">
        <v>26.59</v>
      </c>
      <c r="G701" s="29">
        <v>34</v>
      </c>
      <c r="H701" s="29">
        <v>22.37</v>
      </c>
      <c r="I701" s="29">
        <f t="shared" si="53"/>
        <v>8.296</v>
      </c>
      <c r="J701" s="29">
        <f t="shared" si="54"/>
        <v>8.21304</v>
      </c>
      <c r="K701" s="29">
        <f t="shared" si="51"/>
        <v>99.46904</v>
      </c>
      <c r="L701" s="23">
        <f t="shared" si="52"/>
        <v>16113.98448</v>
      </c>
      <c r="M701" s="39" t="s">
        <v>202</v>
      </c>
    </row>
    <row r="702" s="1" customFormat="1" ht="56.25" outlineLevel="1" spans="1:13">
      <c r="A702" s="24">
        <v>4</v>
      </c>
      <c r="B702" s="25" t="s">
        <v>200</v>
      </c>
      <c r="C702" s="25" t="s">
        <v>364</v>
      </c>
      <c r="D702" s="26" t="s">
        <v>51</v>
      </c>
      <c r="E702" s="27">
        <v>37</v>
      </c>
      <c r="F702" s="28">
        <v>26.59</v>
      </c>
      <c r="G702" s="29">
        <v>33</v>
      </c>
      <c r="H702" s="29">
        <v>22.37</v>
      </c>
      <c r="I702" s="29">
        <f t="shared" si="53"/>
        <v>8.196</v>
      </c>
      <c r="J702" s="29">
        <f t="shared" si="54"/>
        <v>8.11404</v>
      </c>
      <c r="K702" s="29">
        <f t="shared" si="51"/>
        <v>98.27004</v>
      </c>
      <c r="L702" s="23">
        <f t="shared" si="52"/>
        <v>3635.99148</v>
      </c>
      <c r="M702" s="39" t="s">
        <v>202</v>
      </c>
    </row>
    <row r="703" s="1" customFormat="1" ht="56.25" outlineLevel="1" spans="1:13">
      <c r="A703" s="24">
        <v>5</v>
      </c>
      <c r="B703" s="25" t="s">
        <v>200</v>
      </c>
      <c r="C703" s="25" t="s">
        <v>365</v>
      </c>
      <c r="D703" s="26" t="s">
        <v>51</v>
      </c>
      <c r="E703" s="27">
        <v>42</v>
      </c>
      <c r="F703" s="28">
        <v>26.59</v>
      </c>
      <c r="G703" s="29">
        <v>33</v>
      </c>
      <c r="H703" s="29">
        <v>22.37</v>
      </c>
      <c r="I703" s="29">
        <f t="shared" si="53"/>
        <v>8.196</v>
      </c>
      <c r="J703" s="29">
        <f t="shared" si="54"/>
        <v>8.11404</v>
      </c>
      <c r="K703" s="29">
        <f t="shared" si="51"/>
        <v>98.27004</v>
      </c>
      <c r="L703" s="23">
        <f t="shared" si="52"/>
        <v>4127.34168</v>
      </c>
      <c r="M703" s="39" t="s">
        <v>202</v>
      </c>
    </row>
    <row r="704" s="1" customFormat="1" ht="67.5" outlineLevel="1" spans="1:13">
      <c r="A704" s="24">
        <v>6</v>
      </c>
      <c r="B704" s="25" t="s">
        <v>200</v>
      </c>
      <c r="C704" s="25" t="s">
        <v>366</v>
      </c>
      <c r="D704" s="26" t="s">
        <v>51</v>
      </c>
      <c r="E704" s="27">
        <v>55</v>
      </c>
      <c r="F704" s="28">
        <v>26.59</v>
      </c>
      <c r="G704" s="29">
        <v>33</v>
      </c>
      <c r="H704" s="29">
        <v>22.37</v>
      </c>
      <c r="I704" s="29">
        <f t="shared" si="53"/>
        <v>8.196</v>
      </c>
      <c r="J704" s="29">
        <f t="shared" si="54"/>
        <v>8.11404</v>
      </c>
      <c r="K704" s="29">
        <f t="shared" si="51"/>
        <v>98.27004</v>
      </c>
      <c r="L704" s="23">
        <f t="shared" si="52"/>
        <v>5404.8522</v>
      </c>
      <c r="M704" s="39" t="s">
        <v>202</v>
      </c>
    </row>
    <row r="705" s="1" customFormat="1" ht="67.5" outlineLevel="1" spans="1:13">
      <c r="A705" s="24">
        <v>7</v>
      </c>
      <c r="B705" s="25" t="s">
        <v>200</v>
      </c>
      <c r="C705" s="25" t="s">
        <v>367</v>
      </c>
      <c r="D705" s="26" t="s">
        <v>51</v>
      </c>
      <c r="E705" s="27">
        <v>2</v>
      </c>
      <c r="F705" s="28">
        <v>26.59</v>
      </c>
      <c r="G705" s="29">
        <v>34</v>
      </c>
      <c r="H705" s="29">
        <v>22.37</v>
      </c>
      <c r="I705" s="29">
        <f t="shared" si="53"/>
        <v>8.296</v>
      </c>
      <c r="J705" s="29">
        <f t="shared" si="54"/>
        <v>8.21304</v>
      </c>
      <c r="K705" s="29">
        <f t="shared" si="51"/>
        <v>99.46904</v>
      </c>
      <c r="L705" s="23">
        <f t="shared" si="52"/>
        <v>198.93808</v>
      </c>
      <c r="M705" s="39" t="s">
        <v>202</v>
      </c>
    </row>
    <row r="706" s="1" customFormat="1" ht="56.25" outlineLevel="1" spans="1:13">
      <c r="A706" s="24">
        <v>8</v>
      </c>
      <c r="B706" s="25" t="s">
        <v>154</v>
      </c>
      <c r="C706" s="25" t="s">
        <v>206</v>
      </c>
      <c r="D706" s="26" t="s">
        <v>42</v>
      </c>
      <c r="E706" s="27">
        <v>2592.67</v>
      </c>
      <c r="F706" s="28">
        <v>0.92</v>
      </c>
      <c r="G706" s="29">
        <v>1.93</v>
      </c>
      <c r="H706" s="29">
        <v>0.85</v>
      </c>
      <c r="I706" s="29">
        <f t="shared" si="53"/>
        <v>0.37</v>
      </c>
      <c r="J706" s="29">
        <f t="shared" si="54"/>
        <v>0.3663</v>
      </c>
      <c r="K706" s="29">
        <f t="shared" si="51"/>
        <v>4.4363</v>
      </c>
      <c r="L706" s="23">
        <f t="shared" si="52"/>
        <v>11501.861921</v>
      </c>
      <c r="M706" s="39" t="s">
        <v>142</v>
      </c>
    </row>
    <row r="707" s="4" customFormat="1" spans="1:13">
      <c r="A707" s="40" t="s">
        <v>207</v>
      </c>
      <c r="B707" s="41" t="s">
        <v>427</v>
      </c>
      <c r="C707" s="41"/>
      <c r="D707" s="40"/>
      <c r="E707" s="40"/>
      <c r="F707" s="40"/>
      <c r="G707" s="23"/>
      <c r="H707" s="42"/>
      <c r="I707" s="42"/>
      <c r="J707" s="42"/>
      <c r="K707" s="42"/>
      <c r="L707" s="44">
        <f>SUM(L606:L706)</f>
        <v>487580.6610224</v>
      </c>
      <c r="M707" s="45"/>
    </row>
    <row r="708" s="1" customFormat="1" outlineLevel="1" spans="1:13">
      <c r="A708" s="20" t="s">
        <v>38</v>
      </c>
      <c r="B708" s="21" t="s">
        <v>428</v>
      </c>
      <c r="C708" s="21"/>
      <c r="D708" s="22"/>
      <c r="E708" s="22"/>
      <c r="F708" s="20"/>
      <c r="G708" s="23"/>
      <c r="H708" s="23"/>
      <c r="I708" s="29">
        <f t="shared" si="53"/>
        <v>0</v>
      </c>
      <c r="J708" s="29">
        <f t="shared" si="54"/>
        <v>0</v>
      </c>
      <c r="K708" s="29"/>
      <c r="L708" s="23"/>
      <c r="M708" s="38"/>
    </row>
    <row r="709" s="1" customFormat="1" ht="78.75" outlineLevel="1" spans="1:13">
      <c r="A709" s="24">
        <v>1</v>
      </c>
      <c r="B709" s="25" t="s">
        <v>40</v>
      </c>
      <c r="C709" s="25" t="s">
        <v>41</v>
      </c>
      <c r="D709" s="26" t="s">
        <v>42</v>
      </c>
      <c r="E709" s="27">
        <f>216.35</f>
        <v>216.35</v>
      </c>
      <c r="F709" s="28">
        <v>29.46</v>
      </c>
      <c r="G709" s="29">
        <f>46.5+10</f>
        <v>56.5</v>
      </c>
      <c r="H709" s="29">
        <v>1.31</v>
      </c>
      <c r="I709" s="29">
        <f t="shared" si="53"/>
        <v>8.727</v>
      </c>
      <c r="J709" s="29">
        <f t="shared" si="54"/>
        <v>8.63973</v>
      </c>
      <c r="K709" s="29">
        <f t="shared" si="51"/>
        <v>104.63673</v>
      </c>
      <c r="L709" s="23">
        <f t="shared" si="52"/>
        <v>22638.1565355</v>
      </c>
      <c r="M709" s="39" t="s">
        <v>43</v>
      </c>
    </row>
    <row r="710" s="1" customFormat="1" ht="78.75" outlineLevel="1" spans="1:13">
      <c r="A710" s="24">
        <v>2</v>
      </c>
      <c r="B710" s="25" t="s">
        <v>40</v>
      </c>
      <c r="C710" s="25" t="s">
        <v>44</v>
      </c>
      <c r="D710" s="26" t="s">
        <v>42</v>
      </c>
      <c r="E710" s="27">
        <v>21.6</v>
      </c>
      <c r="F710" s="28">
        <v>24.65</v>
      </c>
      <c r="G710" s="29">
        <f>30.67+10</f>
        <v>40.67</v>
      </c>
      <c r="H710" s="29">
        <v>1.31</v>
      </c>
      <c r="I710" s="29">
        <f t="shared" si="53"/>
        <v>6.663</v>
      </c>
      <c r="J710" s="29">
        <f t="shared" si="54"/>
        <v>6.59637</v>
      </c>
      <c r="K710" s="29">
        <f t="shared" ref="K710:K773" si="55">F710+G710+H710+I710+J710</f>
        <v>79.88937</v>
      </c>
      <c r="L710" s="23">
        <f t="shared" ref="L710:L773" si="56">K710*E710</f>
        <v>1725.610392</v>
      </c>
      <c r="M710" s="39" t="s">
        <v>43</v>
      </c>
    </row>
    <row r="711" s="1" customFormat="1" ht="56.25" outlineLevel="1" spans="1:13">
      <c r="A711" s="24">
        <v>3</v>
      </c>
      <c r="B711" s="25" t="s">
        <v>45</v>
      </c>
      <c r="C711" s="25" t="s">
        <v>210</v>
      </c>
      <c r="D711" s="26" t="s">
        <v>47</v>
      </c>
      <c r="E711" s="27">
        <v>125.9</v>
      </c>
      <c r="F711" s="28">
        <v>12.5</v>
      </c>
      <c r="G711" s="29">
        <v>3.92</v>
      </c>
      <c r="H711" s="29">
        <v>4.5</v>
      </c>
      <c r="I711" s="29">
        <f t="shared" si="53"/>
        <v>2.092</v>
      </c>
      <c r="J711" s="29">
        <f t="shared" si="54"/>
        <v>2.07108</v>
      </c>
      <c r="K711" s="29">
        <f t="shared" si="55"/>
        <v>25.08308</v>
      </c>
      <c r="L711" s="23">
        <f t="shared" si="56"/>
        <v>3157.959772</v>
      </c>
      <c r="M711" s="39" t="s">
        <v>48</v>
      </c>
    </row>
    <row r="712" s="1" customFormat="1" ht="78.75" outlineLevel="1" spans="1:13">
      <c r="A712" s="24">
        <v>4</v>
      </c>
      <c r="B712" s="25" t="s">
        <v>49</v>
      </c>
      <c r="C712" s="25" t="s">
        <v>214</v>
      </c>
      <c r="D712" s="26" t="s">
        <v>51</v>
      </c>
      <c r="E712" s="27">
        <v>36</v>
      </c>
      <c r="F712" s="24">
        <v>75.07</v>
      </c>
      <c r="G712" s="29">
        <v>510</v>
      </c>
      <c r="H712" s="29">
        <v>3.63</v>
      </c>
      <c r="I712" s="29">
        <f t="shared" si="53"/>
        <v>58.87</v>
      </c>
      <c r="J712" s="29">
        <f t="shared" si="54"/>
        <v>58.2813</v>
      </c>
      <c r="K712" s="29">
        <f t="shared" si="55"/>
        <v>705.8513</v>
      </c>
      <c r="L712" s="23">
        <f t="shared" si="56"/>
        <v>25410.6468</v>
      </c>
      <c r="M712" s="39" t="s">
        <v>52</v>
      </c>
    </row>
    <row r="713" s="1" customFormat="1" ht="78.75" outlineLevel="1" spans="1:13">
      <c r="A713" s="24">
        <v>5</v>
      </c>
      <c r="B713" s="25" t="s">
        <v>49</v>
      </c>
      <c r="C713" s="25" t="s">
        <v>253</v>
      </c>
      <c r="D713" s="26" t="s">
        <v>51</v>
      </c>
      <c r="E713" s="27">
        <v>3</v>
      </c>
      <c r="F713" s="24">
        <v>75.07</v>
      </c>
      <c r="G713" s="29">
        <v>375</v>
      </c>
      <c r="H713" s="29">
        <v>3.63</v>
      </c>
      <c r="I713" s="29">
        <f t="shared" si="53"/>
        <v>45.37</v>
      </c>
      <c r="J713" s="29">
        <f t="shared" si="54"/>
        <v>44.9163</v>
      </c>
      <c r="K713" s="29">
        <f t="shared" si="55"/>
        <v>543.9863</v>
      </c>
      <c r="L713" s="23">
        <f t="shared" si="56"/>
        <v>1631.9589</v>
      </c>
      <c r="M713" s="39" t="s">
        <v>52</v>
      </c>
    </row>
    <row r="714" s="1" customFormat="1" ht="67.5" outlineLevel="1" spans="1:13">
      <c r="A714" s="24">
        <v>6</v>
      </c>
      <c r="B714" s="25" t="s">
        <v>49</v>
      </c>
      <c r="C714" s="25" t="s">
        <v>216</v>
      </c>
      <c r="D714" s="26" t="s">
        <v>51</v>
      </c>
      <c r="E714" s="27">
        <v>1</v>
      </c>
      <c r="F714" s="24">
        <v>75.07</v>
      </c>
      <c r="G714" s="29">
        <v>375</v>
      </c>
      <c r="H714" s="29">
        <v>3.63</v>
      </c>
      <c r="I714" s="29">
        <f t="shared" si="53"/>
        <v>45.37</v>
      </c>
      <c r="J714" s="29">
        <f t="shared" si="54"/>
        <v>44.9163</v>
      </c>
      <c r="K714" s="29">
        <f t="shared" si="55"/>
        <v>543.9863</v>
      </c>
      <c r="L714" s="23">
        <f t="shared" si="56"/>
        <v>543.9863</v>
      </c>
      <c r="M714" s="39" t="s">
        <v>52</v>
      </c>
    </row>
    <row r="715" s="1" customFormat="1" ht="45" outlineLevel="1" spans="1:13">
      <c r="A715" s="24">
        <v>7</v>
      </c>
      <c r="B715" s="25" t="s">
        <v>54</v>
      </c>
      <c r="C715" s="25" t="s">
        <v>217</v>
      </c>
      <c r="D715" s="26" t="s">
        <v>56</v>
      </c>
      <c r="E715" s="27">
        <v>72</v>
      </c>
      <c r="F715" s="24">
        <v>1.96</v>
      </c>
      <c r="G715" s="29">
        <v>21</v>
      </c>
      <c r="H715" s="29">
        <v>0.5</v>
      </c>
      <c r="I715" s="29">
        <f t="shared" si="53"/>
        <v>2.346</v>
      </c>
      <c r="J715" s="29">
        <f t="shared" si="54"/>
        <v>2.32254</v>
      </c>
      <c r="K715" s="29">
        <f t="shared" si="55"/>
        <v>28.12854</v>
      </c>
      <c r="L715" s="23">
        <f t="shared" si="56"/>
        <v>2025.25488</v>
      </c>
      <c r="M715" s="39" t="s">
        <v>57</v>
      </c>
    </row>
    <row r="716" s="1" customFormat="1" ht="45" outlineLevel="1" spans="1:13">
      <c r="A716" s="24">
        <v>8</v>
      </c>
      <c r="B716" s="25" t="s">
        <v>54</v>
      </c>
      <c r="C716" s="25" t="s">
        <v>218</v>
      </c>
      <c r="D716" s="26" t="s">
        <v>56</v>
      </c>
      <c r="E716" s="27">
        <v>14</v>
      </c>
      <c r="F716" s="24">
        <v>1.96</v>
      </c>
      <c r="G716" s="29">
        <v>35</v>
      </c>
      <c r="H716" s="29">
        <v>0.5</v>
      </c>
      <c r="I716" s="29">
        <f t="shared" si="53"/>
        <v>3.746</v>
      </c>
      <c r="J716" s="29">
        <f t="shared" si="54"/>
        <v>3.70854</v>
      </c>
      <c r="K716" s="29">
        <f t="shared" si="55"/>
        <v>44.91454</v>
      </c>
      <c r="L716" s="23">
        <f t="shared" si="56"/>
        <v>628.80356</v>
      </c>
      <c r="M716" s="39" t="s">
        <v>57</v>
      </c>
    </row>
    <row r="717" s="1" customFormat="1" ht="33.75" outlineLevel="1" spans="1:13">
      <c r="A717" s="24">
        <v>9</v>
      </c>
      <c r="B717" s="25" t="s">
        <v>219</v>
      </c>
      <c r="C717" s="25" t="s">
        <v>220</v>
      </c>
      <c r="D717" s="26" t="s">
        <v>60</v>
      </c>
      <c r="E717" s="27">
        <v>7</v>
      </c>
      <c r="F717" s="24">
        <v>1.96</v>
      </c>
      <c r="G717" s="29">
        <v>38</v>
      </c>
      <c r="H717" s="29">
        <v>0.5</v>
      </c>
      <c r="I717" s="29">
        <f t="shared" si="53"/>
        <v>4.046</v>
      </c>
      <c r="J717" s="29">
        <f t="shared" si="54"/>
        <v>4.00554</v>
      </c>
      <c r="K717" s="29">
        <f t="shared" si="55"/>
        <v>48.51154</v>
      </c>
      <c r="L717" s="23">
        <f t="shared" si="56"/>
        <v>339.58078</v>
      </c>
      <c r="M717" s="39" t="s">
        <v>57</v>
      </c>
    </row>
    <row r="718" s="1" customFormat="1" ht="33.75" outlineLevel="1" spans="1:13">
      <c r="A718" s="24">
        <v>10</v>
      </c>
      <c r="B718" s="25" t="s">
        <v>58</v>
      </c>
      <c r="C718" s="25" t="s">
        <v>59</v>
      </c>
      <c r="D718" s="26" t="s">
        <v>60</v>
      </c>
      <c r="E718" s="27">
        <v>3</v>
      </c>
      <c r="F718" s="24">
        <v>79.59</v>
      </c>
      <c r="G718" s="29">
        <v>60</v>
      </c>
      <c r="H718" s="29">
        <v>18.2</v>
      </c>
      <c r="I718" s="29">
        <f t="shared" si="53"/>
        <v>15.779</v>
      </c>
      <c r="J718" s="29">
        <f t="shared" si="54"/>
        <v>15.62121</v>
      </c>
      <c r="K718" s="29">
        <f t="shared" si="55"/>
        <v>189.19021</v>
      </c>
      <c r="L718" s="29">
        <f t="shared" si="56"/>
        <v>567.57063</v>
      </c>
      <c r="M718" s="39" t="s">
        <v>61</v>
      </c>
    </row>
    <row r="719" s="1" customFormat="1" ht="33.75" outlineLevel="1" spans="1:13">
      <c r="A719" s="24">
        <v>11</v>
      </c>
      <c r="B719" s="25" t="s">
        <v>62</v>
      </c>
      <c r="C719" s="25" t="s">
        <v>63</v>
      </c>
      <c r="D719" s="26" t="s">
        <v>64</v>
      </c>
      <c r="E719" s="27">
        <f>E718</f>
        <v>3</v>
      </c>
      <c r="F719" s="24">
        <v>65.22</v>
      </c>
      <c r="G719" s="29">
        <v>15</v>
      </c>
      <c r="H719" s="29">
        <v>36.25</v>
      </c>
      <c r="I719" s="29">
        <f t="shared" si="53"/>
        <v>11.647</v>
      </c>
      <c r="J719" s="29">
        <f t="shared" si="54"/>
        <v>11.53053</v>
      </c>
      <c r="K719" s="29">
        <f t="shared" si="55"/>
        <v>139.64753</v>
      </c>
      <c r="L719" s="23">
        <f t="shared" si="56"/>
        <v>418.94259</v>
      </c>
      <c r="M719" s="39" t="s">
        <v>61</v>
      </c>
    </row>
    <row r="720" s="1" customFormat="1" ht="45" outlineLevel="1" spans="1:13">
      <c r="A720" s="24">
        <v>12</v>
      </c>
      <c r="B720" s="25" t="s">
        <v>65</v>
      </c>
      <c r="C720" s="25" t="s">
        <v>66</v>
      </c>
      <c r="D720" s="26" t="s">
        <v>60</v>
      </c>
      <c r="E720" s="27">
        <v>2</v>
      </c>
      <c r="F720" s="24">
        <v>19.59</v>
      </c>
      <c r="G720" s="29">
        <v>15</v>
      </c>
      <c r="H720" s="29">
        <v>5.54</v>
      </c>
      <c r="I720" s="29">
        <f t="shared" si="53"/>
        <v>4.013</v>
      </c>
      <c r="J720" s="29">
        <f t="shared" si="54"/>
        <v>3.97287</v>
      </c>
      <c r="K720" s="29">
        <f t="shared" si="55"/>
        <v>48.11587</v>
      </c>
      <c r="L720" s="23">
        <f t="shared" si="56"/>
        <v>96.23174</v>
      </c>
      <c r="M720" s="39" t="s">
        <v>61</v>
      </c>
    </row>
    <row r="721" s="1" customFormat="1" ht="45" outlineLevel="1" spans="1:13">
      <c r="A721" s="24">
        <v>13</v>
      </c>
      <c r="B721" s="25" t="s">
        <v>67</v>
      </c>
      <c r="C721" s="25" t="s">
        <v>68</v>
      </c>
      <c r="D721" s="26" t="s">
        <v>60</v>
      </c>
      <c r="E721" s="27">
        <v>2</v>
      </c>
      <c r="F721" s="28">
        <v>14.37</v>
      </c>
      <c r="G721" s="29">
        <v>25</v>
      </c>
      <c r="H721" s="29">
        <v>6.4</v>
      </c>
      <c r="I721" s="29">
        <f t="shared" si="53"/>
        <v>4.577</v>
      </c>
      <c r="J721" s="29">
        <f t="shared" si="54"/>
        <v>4.53123</v>
      </c>
      <c r="K721" s="29">
        <f t="shared" si="55"/>
        <v>54.87823</v>
      </c>
      <c r="L721" s="23">
        <f t="shared" si="56"/>
        <v>109.75646</v>
      </c>
      <c r="M721" s="39" t="s">
        <v>61</v>
      </c>
    </row>
    <row r="722" s="1" customFormat="1" ht="45" outlineLevel="1" spans="1:13">
      <c r="A722" s="24">
        <v>14</v>
      </c>
      <c r="B722" s="25" t="s">
        <v>69</v>
      </c>
      <c r="C722" s="25" t="s">
        <v>70</v>
      </c>
      <c r="D722" s="26" t="s">
        <v>71</v>
      </c>
      <c r="E722" s="27">
        <v>1</v>
      </c>
      <c r="F722" s="28">
        <v>285</v>
      </c>
      <c r="G722" s="29">
        <v>125</v>
      </c>
      <c r="H722" s="29">
        <v>68.5</v>
      </c>
      <c r="I722" s="29">
        <f t="shared" si="53"/>
        <v>47.85</v>
      </c>
      <c r="J722" s="29">
        <f t="shared" si="54"/>
        <v>47.3715</v>
      </c>
      <c r="K722" s="29">
        <f t="shared" si="55"/>
        <v>573.7215</v>
      </c>
      <c r="L722" s="23">
        <f t="shared" si="56"/>
        <v>573.7215</v>
      </c>
      <c r="M722" s="39"/>
    </row>
    <row r="723" s="1" customFormat="1" outlineLevel="1" spans="1:13">
      <c r="A723" s="24">
        <v>15</v>
      </c>
      <c r="B723" s="25" t="s">
        <v>72</v>
      </c>
      <c r="C723" s="25" t="s">
        <v>73</v>
      </c>
      <c r="D723" s="26" t="s">
        <v>71</v>
      </c>
      <c r="E723" s="27">
        <v>1</v>
      </c>
      <c r="F723" s="24">
        <v>366.15</v>
      </c>
      <c r="G723" s="29">
        <v>0</v>
      </c>
      <c r="H723" s="29">
        <v>185</v>
      </c>
      <c r="I723" s="29">
        <f t="shared" si="53"/>
        <v>55.115</v>
      </c>
      <c r="J723" s="29">
        <f t="shared" si="54"/>
        <v>54.56385</v>
      </c>
      <c r="K723" s="29">
        <f t="shared" si="55"/>
        <v>660.82885</v>
      </c>
      <c r="L723" s="23">
        <f t="shared" si="56"/>
        <v>660.82885</v>
      </c>
      <c r="M723" s="39"/>
    </row>
    <row r="724" s="1" customFormat="1" ht="22.5" outlineLevel="1" spans="1:13">
      <c r="A724" s="20" t="s">
        <v>74</v>
      </c>
      <c r="B724" s="21" t="s">
        <v>429</v>
      </c>
      <c r="C724" s="21"/>
      <c r="D724" s="22"/>
      <c r="E724" s="22"/>
      <c r="F724" s="20"/>
      <c r="G724" s="23"/>
      <c r="H724" s="29"/>
      <c r="I724" s="29">
        <f t="shared" si="53"/>
        <v>0</v>
      </c>
      <c r="J724" s="29">
        <f t="shared" si="54"/>
        <v>0</v>
      </c>
      <c r="K724" s="29">
        <f t="shared" si="55"/>
        <v>0</v>
      </c>
      <c r="L724" s="23">
        <f t="shared" si="56"/>
        <v>0</v>
      </c>
      <c r="M724" s="38"/>
    </row>
    <row r="725" s="1" customFormat="1" ht="78.75" outlineLevel="1" spans="1:13">
      <c r="A725" s="24">
        <v>1</v>
      </c>
      <c r="B725" s="25" t="s">
        <v>430</v>
      </c>
      <c r="C725" s="25" t="s">
        <v>41</v>
      </c>
      <c r="D725" s="26" t="s">
        <v>42</v>
      </c>
      <c r="E725" s="27">
        <v>62.48</v>
      </c>
      <c r="F725" s="28">
        <v>29.46</v>
      </c>
      <c r="G725" s="29">
        <f>46.5+10</f>
        <v>56.5</v>
      </c>
      <c r="H725" s="29"/>
      <c r="I725" s="29">
        <f t="shared" si="53"/>
        <v>8.596</v>
      </c>
      <c r="J725" s="29">
        <f t="shared" si="54"/>
        <v>8.51004</v>
      </c>
      <c r="K725" s="29">
        <f t="shared" si="55"/>
        <v>103.06604</v>
      </c>
      <c r="L725" s="23">
        <f t="shared" si="56"/>
        <v>6439.5661792</v>
      </c>
      <c r="M725" s="39" t="s">
        <v>43</v>
      </c>
    </row>
    <row r="726" s="1" customFormat="1" ht="78.75" outlineLevel="1" spans="1:13">
      <c r="A726" s="24">
        <v>2</v>
      </c>
      <c r="B726" s="25" t="s">
        <v>40</v>
      </c>
      <c r="C726" s="25" t="s">
        <v>431</v>
      </c>
      <c r="D726" s="26" t="s">
        <v>42</v>
      </c>
      <c r="E726" s="27">
        <v>5.76</v>
      </c>
      <c r="F726" s="24">
        <v>35.77</v>
      </c>
      <c r="G726" s="29">
        <f>23.33+5</f>
        <v>28.33</v>
      </c>
      <c r="H726" s="29">
        <v>2.15</v>
      </c>
      <c r="I726" s="29">
        <f t="shared" si="53"/>
        <v>6.625</v>
      </c>
      <c r="J726" s="29">
        <f t="shared" si="54"/>
        <v>6.55875</v>
      </c>
      <c r="K726" s="29">
        <f t="shared" si="55"/>
        <v>79.43375</v>
      </c>
      <c r="L726" s="23">
        <f t="shared" si="56"/>
        <v>457.5384</v>
      </c>
      <c r="M726" s="39" t="s">
        <v>43</v>
      </c>
    </row>
    <row r="727" s="1" customFormat="1" ht="78.75" outlineLevel="1" spans="1:13">
      <c r="A727" s="24">
        <v>3</v>
      </c>
      <c r="B727" s="25" t="s">
        <v>432</v>
      </c>
      <c r="C727" s="25" t="s">
        <v>433</v>
      </c>
      <c r="D727" s="26" t="s">
        <v>42</v>
      </c>
      <c r="E727" s="27">
        <v>4.6</v>
      </c>
      <c r="F727" s="24">
        <v>25.3</v>
      </c>
      <c r="G727" s="29">
        <v>35</v>
      </c>
      <c r="H727" s="29">
        <v>3.5</v>
      </c>
      <c r="I727" s="29">
        <f t="shared" si="53"/>
        <v>6.38</v>
      </c>
      <c r="J727" s="29">
        <f t="shared" si="54"/>
        <v>6.3162</v>
      </c>
      <c r="K727" s="29">
        <f t="shared" si="55"/>
        <v>76.4962</v>
      </c>
      <c r="L727" s="23">
        <f t="shared" si="56"/>
        <v>351.88252</v>
      </c>
      <c r="M727" s="39" t="s">
        <v>434</v>
      </c>
    </row>
    <row r="728" s="1" customFormat="1" ht="78.75" outlineLevel="1" spans="1:13">
      <c r="A728" s="24">
        <v>4</v>
      </c>
      <c r="B728" s="25" t="s">
        <v>432</v>
      </c>
      <c r="C728" s="25" t="s">
        <v>435</v>
      </c>
      <c r="D728" s="26" t="s">
        <v>42</v>
      </c>
      <c r="E728" s="27">
        <v>1.5</v>
      </c>
      <c r="F728" s="24">
        <v>5.2</v>
      </c>
      <c r="G728" s="29">
        <v>5.2</v>
      </c>
      <c r="H728" s="29">
        <v>2.1</v>
      </c>
      <c r="I728" s="29">
        <f t="shared" si="53"/>
        <v>1.25</v>
      </c>
      <c r="J728" s="29">
        <f t="shared" si="54"/>
        <v>1.2375</v>
      </c>
      <c r="K728" s="29">
        <f t="shared" si="55"/>
        <v>14.9875</v>
      </c>
      <c r="L728" s="23">
        <f t="shared" si="56"/>
        <v>22.48125</v>
      </c>
      <c r="M728" s="39" t="s">
        <v>434</v>
      </c>
    </row>
    <row r="729" s="1" customFormat="1" ht="56.25" outlineLevel="1" spans="1:13">
      <c r="A729" s="24">
        <v>5</v>
      </c>
      <c r="B729" s="25" t="s">
        <v>45</v>
      </c>
      <c r="C729" s="25" t="s">
        <v>210</v>
      </c>
      <c r="D729" s="26" t="s">
        <v>47</v>
      </c>
      <c r="E729" s="27">
        <v>38.49</v>
      </c>
      <c r="F729" s="28">
        <v>12.5</v>
      </c>
      <c r="G729" s="29">
        <v>3.92</v>
      </c>
      <c r="H729" s="29">
        <v>4.5</v>
      </c>
      <c r="I729" s="29">
        <f t="shared" si="53"/>
        <v>2.092</v>
      </c>
      <c r="J729" s="29">
        <f t="shared" si="54"/>
        <v>2.07108</v>
      </c>
      <c r="K729" s="29">
        <f t="shared" si="55"/>
        <v>25.08308</v>
      </c>
      <c r="L729" s="23">
        <f t="shared" si="56"/>
        <v>965.4477492</v>
      </c>
      <c r="M729" s="39" t="s">
        <v>48</v>
      </c>
    </row>
    <row r="730" s="1" customFormat="1" ht="33.75" outlineLevel="1" spans="1:13">
      <c r="A730" s="24">
        <v>6</v>
      </c>
      <c r="B730" s="25" t="s">
        <v>211</v>
      </c>
      <c r="C730" s="25" t="s">
        <v>436</v>
      </c>
      <c r="D730" s="26" t="s">
        <v>213</v>
      </c>
      <c r="E730" s="27">
        <v>1.75</v>
      </c>
      <c r="F730" s="28">
        <v>428.58</v>
      </c>
      <c r="G730" s="29">
        <v>500</v>
      </c>
      <c r="H730" s="29">
        <v>80.32</v>
      </c>
      <c r="I730" s="29">
        <f t="shared" si="53"/>
        <v>100.89</v>
      </c>
      <c r="J730" s="29">
        <f t="shared" si="54"/>
        <v>99.8811</v>
      </c>
      <c r="K730" s="29">
        <f t="shared" si="55"/>
        <v>1209.6711</v>
      </c>
      <c r="L730" s="23">
        <f t="shared" si="56"/>
        <v>2116.924425</v>
      </c>
      <c r="M730" s="39" t="s">
        <v>61</v>
      </c>
    </row>
    <row r="731" s="1" customFormat="1" ht="33.75" outlineLevel="1" spans="1:13">
      <c r="A731" s="24">
        <v>7</v>
      </c>
      <c r="B731" s="25" t="s">
        <v>58</v>
      </c>
      <c r="C731" s="25" t="s">
        <v>437</v>
      </c>
      <c r="D731" s="26" t="s">
        <v>60</v>
      </c>
      <c r="E731" s="27">
        <v>6</v>
      </c>
      <c r="F731" s="24">
        <v>79.59</v>
      </c>
      <c r="G731" s="24">
        <v>155</v>
      </c>
      <c r="H731" s="29">
        <v>18.2</v>
      </c>
      <c r="I731" s="29">
        <f t="shared" si="53"/>
        <v>25.279</v>
      </c>
      <c r="J731" s="29">
        <f t="shared" si="54"/>
        <v>25.02621</v>
      </c>
      <c r="K731" s="29">
        <f t="shared" si="55"/>
        <v>303.09521</v>
      </c>
      <c r="L731" s="29">
        <f t="shared" si="56"/>
        <v>1818.57126</v>
      </c>
      <c r="M731" s="39" t="s">
        <v>61</v>
      </c>
    </row>
    <row r="732" s="1" customFormat="1" ht="33.75" outlineLevel="1" spans="1:13">
      <c r="A732" s="24">
        <v>8</v>
      </c>
      <c r="B732" s="25" t="s">
        <v>58</v>
      </c>
      <c r="C732" s="25" t="s">
        <v>438</v>
      </c>
      <c r="D732" s="26" t="s">
        <v>60</v>
      </c>
      <c r="E732" s="27">
        <v>2</v>
      </c>
      <c r="F732" s="24">
        <v>79.59</v>
      </c>
      <c r="G732" s="24">
        <v>105</v>
      </c>
      <c r="H732" s="29">
        <v>18.2</v>
      </c>
      <c r="I732" s="29">
        <f t="shared" si="53"/>
        <v>20.279</v>
      </c>
      <c r="J732" s="29">
        <f t="shared" si="54"/>
        <v>20.07621</v>
      </c>
      <c r="K732" s="29">
        <f t="shared" si="55"/>
        <v>243.14521</v>
      </c>
      <c r="L732" s="29">
        <f t="shared" si="56"/>
        <v>486.29042</v>
      </c>
      <c r="M732" s="39" t="s">
        <v>61</v>
      </c>
    </row>
    <row r="733" s="1" customFormat="1" ht="33.75" outlineLevel="1" spans="1:13">
      <c r="A733" s="24">
        <v>9</v>
      </c>
      <c r="B733" s="25" t="s">
        <v>62</v>
      </c>
      <c r="C733" s="25" t="s">
        <v>63</v>
      </c>
      <c r="D733" s="26" t="s">
        <v>64</v>
      </c>
      <c r="E733" s="27">
        <f>E731+E732</f>
        <v>8</v>
      </c>
      <c r="F733" s="24">
        <v>65.22</v>
      </c>
      <c r="G733" s="24">
        <v>15</v>
      </c>
      <c r="H733" s="29">
        <v>36.25</v>
      </c>
      <c r="I733" s="29">
        <f t="shared" si="53"/>
        <v>11.647</v>
      </c>
      <c r="J733" s="29">
        <f t="shared" si="54"/>
        <v>11.53053</v>
      </c>
      <c r="K733" s="29">
        <f t="shared" si="55"/>
        <v>139.64753</v>
      </c>
      <c r="L733" s="23">
        <f t="shared" si="56"/>
        <v>1117.18024</v>
      </c>
      <c r="M733" s="39" t="s">
        <v>61</v>
      </c>
    </row>
    <row r="734" s="1" customFormat="1" ht="22.5" outlineLevel="1" spans="1:13">
      <c r="A734" s="24">
        <v>10</v>
      </c>
      <c r="B734" s="25" t="s">
        <v>58</v>
      </c>
      <c r="C734" s="25" t="s">
        <v>439</v>
      </c>
      <c r="D734" s="26" t="s">
        <v>60</v>
      </c>
      <c r="E734" s="27">
        <v>2</v>
      </c>
      <c r="F734" s="24">
        <v>79.59</v>
      </c>
      <c r="G734" s="24">
        <v>80</v>
      </c>
      <c r="H734" s="29">
        <v>18.2</v>
      </c>
      <c r="I734" s="29">
        <f t="shared" si="53"/>
        <v>17.779</v>
      </c>
      <c r="J734" s="29">
        <f t="shared" si="54"/>
        <v>17.60121</v>
      </c>
      <c r="K734" s="29">
        <f t="shared" si="55"/>
        <v>213.17021</v>
      </c>
      <c r="L734" s="29">
        <f t="shared" si="56"/>
        <v>426.34042</v>
      </c>
      <c r="M734" s="39" t="s">
        <v>61</v>
      </c>
    </row>
    <row r="735" s="1" customFormat="1" ht="45" outlineLevel="1" spans="1:13">
      <c r="A735" s="24">
        <v>11</v>
      </c>
      <c r="B735" s="25" t="s">
        <v>65</v>
      </c>
      <c r="C735" s="25" t="s">
        <v>66</v>
      </c>
      <c r="D735" s="26" t="s">
        <v>60</v>
      </c>
      <c r="E735" s="27">
        <v>1</v>
      </c>
      <c r="F735" s="24">
        <v>19.59</v>
      </c>
      <c r="G735" s="24">
        <v>15</v>
      </c>
      <c r="H735" s="29">
        <v>5.54</v>
      </c>
      <c r="I735" s="29">
        <f t="shared" si="53"/>
        <v>4.013</v>
      </c>
      <c r="J735" s="29">
        <f t="shared" si="54"/>
        <v>3.97287</v>
      </c>
      <c r="K735" s="29">
        <f t="shared" si="55"/>
        <v>48.11587</v>
      </c>
      <c r="L735" s="23">
        <f t="shared" si="56"/>
        <v>48.11587</v>
      </c>
      <c r="M735" s="39" t="s">
        <v>61</v>
      </c>
    </row>
    <row r="736" s="1" customFormat="1" ht="45" outlineLevel="1" spans="1:13">
      <c r="A736" s="24">
        <v>12</v>
      </c>
      <c r="B736" s="25" t="s">
        <v>67</v>
      </c>
      <c r="C736" s="25" t="s">
        <v>68</v>
      </c>
      <c r="D736" s="26" t="s">
        <v>60</v>
      </c>
      <c r="E736" s="27">
        <v>1</v>
      </c>
      <c r="F736" s="28">
        <v>14.37</v>
      </c>
      <c r="G736" s="24">
        <v>25</v>
      </c>
      <c r="H736" s="29">
        <v>6.4</v>
      </c>
      <c r="I736" s="29">
        <f t="shared" si="53"/>
        <v>4.577</v>
      </c>
      <c r="J736" s="29">
        <f t="shared" si="54"/>
        <v>4.53123</v>
      </c>
      <c r="K736" s="29">
        <f t="shared" si="55"/>
        <v>54.87823</v>
      </c>
      <c r="L736" s="23">
        <f t="shared" si="56"/>
        <v>54.87823</v>
      </c>
      <c r="M736" s="39" t="s">
        <v>61</v>
      </c>
    </row>
    <row r="737" s="1" customFormat="1" ht="45" outlineLevel="1" spans="1:13">
      <c r="A737" s="24">
        <v>13</v>
      </c>
      <c r="B737" s="25" t="s">
        <v>65</v>
      </c>
      <c r="C737" s="25" t="s">
        <v>440</v>
      </c>
      <c r="D737" s="26" t="s">
        <v>60</v>
      </c>
      <c r="E737" s="27">
        <v>1</v>
      </c>
      <c r="F737" s="24">
        <v>19.59</v>
      </c>
      <c r="G737" s="24">
        <v>10</v>
      </c>
      <c r="H737" s="29">
        <v>5.54</v>
      </c>
      <c r="I737" s="29">
        <f t="shared" si="53"/>
        <v>3.513</v>
      </c>
      <c r="J737" s="29">
        <f t="shared" si="54"/>
        <v>3.47787</v>
      </c>
      <c r="K737" s="29">
        <f t="shared" si="55"/>
        <v>42.12087</v>
      </c>
      <c r="L737" s="23">
        <f t="shared" si="56"/>
        <v>42.12087</v>
      </c>
      <c r="M737" s="39" t="s">
        <v>61</v>
      </c>
    </row>
    <row r="738" s="1" customFormat="1" ht="45" outlineLevel="1" spans="1:13">
      <c r="A738" s="24">
        <v>14</v>
      </c>
      <c r="B738" s="25" t="s">
        <v>67</v>
      </c>
      <c r="C738" s="25" t="s">
        <v>441</v>
      </c>
      <c r="D738" s="26" t="s">
        <v>60</v>
      </c>
      <c r="E738" s="27">
        <v>1</v>
      </c>
      <c r="F738" s="28">
        <v>14.37</v>
      </c>
      <c r="G738" s="24">
        <v>18</v>
      </c>
      <c r="H738" s="29">
        <v>6.4</v>
      </c>
      <c r="I738" s="29">
        <f t="shared" si="53"/>
        <v>3.877</v>
      </c>
      <c r="J738" s="29">
        <f t="shared" si="54"/>
        <v>3.83823</v>
      </c>
      <c r="K738" s="29">
        <f t="shared" si="55"/>
        <v>46.48523</v>
      </c>
      <c r="L738" s="23">
        <f t="shared" si="56"/>
        <v>46.48523</v>
      </c>
      <c r="M738" s="39" t="s">
        <v>61</v>
      </c>
    </row>
    <row r="739" s="1" customFormat="1" ht="45" outlineLevel="1" spans="1:13">
      <c r="A739" s="24">
        <v>15</v>
      </c>
      <c r="B739" s="25" t="s">
        <v>442</v>
      </c>
      <c r="C739" s="25" t="s">
        <v>443</v>
      </c>
      <c r="D739" s="26" t="s">
        <v>60</v>
      </c>
      <c r="E739" s="27">
        <v>1</v>
      </c>
      <c r="F739" s="24">
        <v>15.2</v>
      </c>
      <c r="G739" s="24">
        <v>28</v>
      </c>
      <c r="H739" s="29">
        <v>1.2</v>
      </c>
      <c r="I739" s="29">
        <f t="shared" si="53"/>
        <v>4.44</v>
      </c>
      <c r="J739" s="29">
        <f t="shared" si="54"/>
        <v>4.3956</v>
      </c>
      <c r="K739" s="29">
        <f t="shared" si="55"/>
        <v>53.2356</v>
      </c>
      <c r="L739" s="23">
        <f t="shared" si="56"/>
        <v>53.2356</v>
      </c>
      <c r="M739" s="39" t="s">
        <v>61</v>
      </c>
    </row>
    <row r="740" s="1" customFormat="1" ht="33.75" outlineLevel="1" spans="1:13">
      <c r="A740" s="24">
        <v>16</v>
      </c>
      <c r="B740" s="25" t="s">
        <v>444</v>
      </c>
      <c r="C740" s="25" t="s">
        <v>445</v>
      </c>
      <c r="D740" s="26" t="s">
        <v>60</v>
      </c>
      <c r="E740" s="27">
        <v>2</v>
      </c>
      <c r="F740" s="24">
        <v>2000</v>
      </c>
      <c r="G740" s="29">
        <v>2600</v>
      </c>
      <c r="H740" s="29">
        <v>125.3</v>
      </c>
      <c r="I740" s="29">
        <f t="shared" si="53"/>
        <v>472.53</v>
      </c>
      <c r="J740" s="29">
        <f t="shared" si="54"/>
        <v>467.8047</v>
      </c>
      <c r="K740" s="29">
        <f t="shared" si="55"/>
        <v>5665.6347</v>
      </c>
      <c r="L740" s="23">
        <f t="shared" si="56"/>
        <v>11331.2694</v>
      </c>
      <c r="M740" s="39" t="s">
        <v>446</v>
      </c>
    </row>
    <row r="741" s="1" customFormat="1" ht="33.75" outlineLevel="1" spans="1:13">
      <c r="A741" s="24">
        <v>17</v>
      </c>
      <c r="B741" s="25" t="s">
        <v>447</v>
      </c>
      <c r="C741" s="25" t="s">
        <v>448</v>
      </c>
      <c r="D741" s="26" t="s">
        <v>60</v>
      </c>
      <c r="E741" s="27">
        <v>1</v>
      </c>
      <c r="F741" s="24">
        <v>3000</v>
      </c>
      <c r="G741" s="29">
        <v>4500</v>
      </c>
      <c r="H741" s="29">
        <v>130</v>
      </c>
      <c r="I741" s="29">
        <f t="shared" ref="I741:I804" si="57">(F741+G741+H741)*$I$4</f>
        <v>763</v>
      </c>
      <c r="J741" s="29">
        <f t="shared" ref="J741:J804" si="58">(F741+G741+H741+I741)*$J$4</f>
        <v>755.37</v>
      </c>
      <c r="K741" s="29">
        <f t="shared" si="55"/>
        <v>9148.37</v>
      </c>
      <c r="L741" s="23">
        <f t="shared" si="56"/>
        <v>9148.37</v>
      </c>
      <c r="M741" s="39"/>
    </row>
    <row r="742" s="1" customFormat="1" ht="56.25" outlineLevel="1" spans="1:13">
      <c r="A742" s="24">
        <v>18</v>
      </c>
      <c r="B742" s="25" t="s">
        <v>449</v>
      </c>
      <c r="C742" s="25" t="s">
        <v>450</v>
      </c>
      <c r="D742" s="26" t="s">
        <v>60</v>
      </c>
      <c r="E742" s="27">
        <v>1</v>
      </c>
      <c r="F742" s="24">
        <v>2410</v>
      </c>
      <c r="G742" s="29">
        <v>38000</v>
      </c>
      <c r="H742" s="29">
        <v>850</v>
      </c>
      <c r="I742" s="29">
        <f t="shared" si="57"/>
        <v>4126</v>
      </c>
      <c r="J742" s="29">
        <f t="shared" si="58"/>
        <v>4084.74</v>
      </c>
      <c r="K742" s="29">
        <f t="shared" si="55"/>
        <v>49470.74</v>
      </c>
      <c r="L742" s="23">
        <f t="shared" si="56"/>
        <v>49470.74</v>
      </c>
      <c r="M742" s="39"/>
    </row>
    <row r="743" s="1" customFormat="1" outlineLevel="1" spans="1:13">
      <c r="A743" s="20" t="s">
        <v>99</v>
      </c>
      <c r="B743" s="21" t="s">
        <v>451</v>
      </c>
      <c r="C743" s="21"/>
      <c r="D743" s="22"/>
      <c r="E743" s="22"/>
      <c r="F743" s="20"/>
      <c r="G743" s="23"/>
      <c r="H743" s="29"/>
      <c r="I743" s="29">
        <f t="shared" si="57"/>
        <v>0</v>
      </c>
      <c r="J743" s="29">
        <f t="shared" si="58"/>
        <v>0</v>
      </c>
      <c r="K743" s="29">
        <f t="shared" si="55"/>
        <v>0</v>
      </c>
      <c r="L743" s="23">
        <f t="shared" si="56"/>
        <v>0</v>
      </c>
      <c r="M743" s="38"/>
    </row>
    <row r="744" s="1" customFormat="1" ht="101.25" outlineLevel="1" spans="1:13">
      <c r="A744" s="24">
        <v>1</v>
      </c>
      <c r="B744" s="25" t="s">
        <v>320</v>
      </c>
      <c r="C744" s="25" t="s">
        <v>321</v>
      </c>
      <c r="D744" s="26" t="s">
        <v>103</v>
      </c>
      <c r="E744" s="26">
        <v>2</v>
      </c>
      <c r="F744" s="24">
        <v>928.1</v>
      </c>
      <c r="G744" s="24">
        <v>4853</v>
      </c>
      <c r="H744" s="29">
        <v>193.9</v>
      </c>
      <c r="I744" s="29">
        <f t="shared" si="57"/>
        <v>597.5</v>
      </c>
      <c r="J744" s="29">
        <f t="shared" si="58"/>
        <v>591.525</v>
      </c>
      <c r="K744" s="29">
        <f t="shared" si="55"/>
        <v>7164.025</v>
      </c>
      <c r="L744" s="23">
        <f t="shared" si="56"/>
        <v>14328.05</v>
      </c>
      <c r="M744" s="39" t="s">
        <v>104</v>
      </c>
    </row>
    <row r="745" s="1" customFormat="1" ht="101.25" outlineLevel="1" spans="1:13">
      <c r="A745" s="24">
        <v>2</v>
      </c>
      <c r="B745" s="25" t="s">
        <v>320</v>
      </c>
      <c r="C745" s="25" t="s">
        <v>322</v>
      </c>
      <c r="D745" s="26" t="s">
        <v>103</v>
      </c>
      <c r="E745" s="26">
        <v>2</v>
      </c>
      <c r="F745" s="24">
        <v>928.1</v>
      </c>
      <c r="G745" s="24">
        <v>5217</v>
      </c>
      <c r="H745" s="29">
        <v>193.9</v>
      </c>
      <c r="I745" s="29">
        <f t="shared" si="57"/>
        <v>633.9</v>
      </c>
      <c r="J745" s="29">
        <f t="shared" si="58"/>
        <v>627.561</v>
      </c>
      <c r="K745" s="29">
        <f t="shared" si="55"/>
        <v>7600.461</v>
      </c>
      <c r="L745" s="23">
        <f t="shared" si="56"/>
        <v>15200.922</v>
      </c>
      <c r="M745" s="39" t="s">
        <v>104</v>
      </c>
    </row>
    <row r="746" s="1" customFormat="1" ht="90" outlineLevel="1" spans="1:13">
      <c r="A746" s="24">
        <v>3</v>
      </c>
      <c r="B746" s="25" t="s">
        <v>323</v>
      </c>
      <c r="C746" s="25" t="s">
        <v>324</v>
      </c>
      <c r="D746" s="26" t="s">
        <v>103</v>
      </c>
      <c r="E746" s="26">
        <v>3</v>
      </c>
      <c r="F746" s="20">
        <v>14.75</v>
      </c>
      <c r="G746" s="20">
        <v>110</v>
      </c>
      <c r="H746" s="29">
        <v>1.2</v>
      </c>
      <c r="I746" s="29">
        <f t="shared" si="57"/>
        <v>12.595</v>
      </c>
      <c r="J746" s="29">
        <f t="shared" si="58"/>
        <v>12.46905</v>
      </c>
      <c r="K746" s="29">
        <f t="shared" si="55"/>
        <v>151.01405</v>
      </c>
      <c r="L746" s="23">
        <f t="shared" si="56"/>
        <v>453.04215</v>
      </c>
      <c r="M746" s="39" t="s">
        <v>325</v>
      </c>
    </row>
    <row r="747" s="1" customFormat="1" ht="90" outlineLevel="1" spans="1:13">
      <c r="A747" s="24">
        <v>4</v>
      </c>
      <c r="B747" s="25" t="s">
        <v>326</v>
      </c>
      <c r="C747" s="25" t="s">
        <v>327</v>
      </c>
      <c r="D747" s="26" t="s">
        <v>103</v>
      </c>
      <c r="E747" s="26">
        <v>4</v>
      </c>
      <c r="F747" s="24">
        <v>14.75</v>
      </c>
      <c r="G747" s="24">
        <v>509</v>
      </c>
      <c r="H747" s="29">
        <v>1.2</v>
      </c>
      <c r="I747" s="29">
        <f t="shared" si="57"/>
        <v>52.495</v>
      </c>
      <c r="J747" s="29">
        <f t="shared" si="58"/>
        <v>51.97005</v>
      </c>
      <c r="K747" s="29">
        <f t="shared" si="55"/>
        <v>629.41505</v>
      </c>
      <c r="L747" s="23">
        <f t="shared" si="56"/>
        <v>2517.6602</v>
      </c>
      <c r="M747" s="39" t="s">
        <v>104</v>
      </c>
    </row>
    <row r="748" s="1" customFormat="1" ht="90" outlineLevel="1" spans="1:13">
      <c r="A748" s="24">
        <v>5</v>
      </c>
      <c r="B748" s="25" t="s">
        <v>452</v>
      </c>
      <c r="C748" s="25" t="s">
        <v>453</v>
      </c>
      <c r="D748" s="26" t="s">
        <v>103</v>
      </c>
      <c r="E748" s="26">
        <v>1</v>
      </c>
      <c r="F748" s="24">
        <v>14.75</v>
      </c>
      <c r="G748" s="24">
        <v>509</v>
      </c>
      <c r="H748" s="29">
        <v>1.2</v>
      </c>
      <c r="I748" s="29">
        <f t="shared" si="57"/>
        <v>52.495</v>
      </c>
      <c r="J748" s="29">
        <f t="shared" si="58"/>
        <v>51.97005</v>
      </c>
      <c r="K748" s="29">
        <f t="shared" si="55"/>
        <v>629.41505</v>
      </c>
      <c r="L748" s="23">
        <f t="shared" si="56"/>
        <v>629.41505</v>
      </c>
      <c r="M748" s="39" t="s">
        <v>104</v>
      </c>
    </row>
    <row r="749" s="1" customFormat="1" ht="45" outlineLevel="1" spans="1:13">
      <c r="A749" s="24">
        <v>6</v>
      </c>
      <c r="B749" s="30" t="s">
        <v>114</v>
      </c>
      <c r="C749" s="30" t="s">
        <v>115</v>
      </c>
      <c r="D749" s="31" t="s">
        <v>116</v>
      </c>
      <c r="E749" s="26">
        <v>4.27</v>
      </c>
      <c r="F749" s="24">
        <v>53.22</v>
      </c>
      <c r="G749" s="24">
        <v>132</v>
      </c>
      <c r="H749" s="29">
        <v>24.2</v>
      </c>
      <c r="I749" s="29">
        <f t="shared" si="57"/>
        <v>20.942</v>
      </c>
      <c r="J749" s="29">
        <f t="shared" si="58"/>
        <v>20.73258</v>
      </c>
      <c r="K749" s="29">
        <f t="shared" si="55"/>
        <v>251.09458</v>
      </c>
      <c r="L749" s="23">
        <f t="shared" si="56"/>
        <v>1072.1738566</v>
      </c>
      <c r="M749" s="39"/>
    </row>
    <row r="750" s="1" customFormat="1" ht="112.5" outlineLevel="1" spans="1:13">
      <c r="A750" s="24">
        <v>7</v>
      </c>
      <c r="B750" s="30" t="s">
        <v>117</v>
      </c>
      <c r="C750" s="30" t="s">
        <v>260</v>
      </c>
      <c r="D750" s="31" t="s">
        <v>116</v>
      </c>
      <c r="E750" s="26">
        <v>9.98</v>
      </c>
      <c r="F750" s="24">
        <v>69.69</v>
      </c>
      <c r="G750" s="24">
        <v>42.15</v>
      </c>
      <c r="H750" s="29">
        <v>16.68</v>
      </c>
      <c r="I750" s="29">
        <f t="shared" si="57"/>
        <v>12.852</v>
      </c>
      <c r="J750" s="29">
        <f t="shared" si="58"/>
        <v>12.72348</v>
      </c>
      <c r="K750" s="29">
        <f t="shared" si="55"/>
        <v>154.09548</v>
      </c>
      <c r="L750" s="23">
        <f t="shared" si="56"/>
        <v>1537.8728904</v>
      </c>
      <c r="M750" s="39" t="s">
        <v>119</v>
      </c>
    </row>
    <row r="751" s="1" customFormat="1" ht="112.5" outlineLevel="1" spans="1:13">
      <c r="A751" s="24">
        <v>8</v>
      </c>
      <c r="B751" s="30" t="s">
        <v>117</v>
      </c>
      <c r="C751" s="30" t="s">
        <v>120</v>
      </c>
      <c r="D751" s="31" t="s">
        <v>116</v>
      </c>
      <c r="E751" s="26">
        <v>93.42</v>
      </c>
      <c r="F751" s="24">
        <v>44.05</v>
      </c>
      <c r="G751" s="24">
        <v>42.15</v>
      </c>
      <c r="H751" s="29">
        <v>17.18</v>
      </c>
      <c r="I751" s="29">
        <f t="shared" si="57"/>
        <v>10.338</v>
      </c>
      <c r="J751" s="29">
        <f t="shared" si="58"/>
        <v>10.23462</v>
      </c>
      <c r="K751" s="29">
        <f t="shared" si="55"/>
        <v>123.95262</v>
      </c>
      <c r="L751" s="23">
        <f t="shared" si="56"/>
        <v>11579.6537604</v>
      </c>
      <c r="M751" s="39" t="s">
        <v>119</v>
      </c>
    </row>
    <row r="752" s="1" customFormat="1" ht="112.5" outlineLevel="1" spans="1:13">
      <c r="A752" s="24">
        <v>9</v>
      </c>
      <c r="B752" s="30" t="s">
        <v>117</v>
      </c>
      <c r="C752" s="30" t="s">
        <v>262</v>
      </c>
      <c r="D752" s="31" t="s">
        <v>116</v>
      </c>
      <c r="E752" s="26">
        <v>302.94</v>
      </c>
      <c r="F752" s="24">
        <v>44.05</v>
      </c>
      <c r="G752" s="24">
        <v>42.15</v>
      </c>
      <c r="H752" s="29">
        <v>17.18</v>
      </c>
      <c r="I752" s="29">
        <f t="shared" si="57"/>
        <v>10.338</v>
      </c>
      <c r="J752" s="29">
        <f t="shared" si="58"/>
        <v>10.23462</v>
      </c>
      <c r="K752" s="29">
        <f t="shared" si="55"/>
        <v>123.95262</v>
      </c>
      <c r="L752" s="23">
        <f t="shared" si="56"/>
        <v>37550.2067028</v>
      </c>
      <c r="M752" s="39" t="s">
        <v>119</v>
      </c>
    </row>
    <row r="753" s="1" customFormat="1" ht="112.5" outlineLevel="1" spans="1:13">
      <c r="A753" s="24">
        <v>10</v>
      </c>
      <c r="B753" s="30" t="s">
        <v>117</v>
      </c>
      <c r="C753" s="30" t="s">
        <v>328</v>
      </c>
      <c r="D753" s="31" t="s">
        <v>116</v>
      </c>
      <c r="E753" s="26">
        <v>347.82</v>
      </c>
      <c r="F753" s="24">
        <v>45.63</v>
      </c>
      <c r="G753" s="24">
        <v>44</v>
      </c>
      <c r="H753" s="29">
        <v>18.9</v>
      </c>
      <c r="I753" s="29">
        <f t="shared" si="57"/>
        <v>10.853</v>
      </c>
      <c r="J753" s="29">
        <f t="shared" si="58"/>
        <v>10.74447</v>
      </c>
      <c r="K753" s="29">
        <f t="shared" si="55"/>
        <v>130.12747</v>
      </c>
      <c r="L753" s="23">
        <f t="shared" si="56"/>
        <v>45260.9366154</v>
      </c>
      <c r="M753" s="39" t="s">
        <v>119</v>
      </c>
    </row>
    <row r="754" s="1" customFormat="1" ht="45" outlineLevel="1" spans="1:13">
      <c r="A754" s="24">
        <v>11</v>
      </c>
      <c r="B754" s="25" t="s">
        <v>329</v>
      </c>
      <c r="C754" s="25" t="s">
        <v>330</v>
      </c>
      <c r="D754" s="26" t="s">
        <v>60</v>
      </c>
      <c r="E754" s="26">
        <v>2</v>
      </c>
      <c r="F754" s="20">
        <v>327.64</v>
      </c>
      <c r="G754" s="20">
        <v>408</v>
      </c>
      <c r="H754" s="29">
        <v>165.2</v>
      </c>
      <c r="I754" s="29">
        <f t="shared" si="57"/>
        <v>90.084</v>
      </c>
      <c r="J754" s="29">
        <f t="shared" si="58"/>
        <v>89.18316</v>
      </c>
      <c r="K754" s="29">
        <f t="shared" si="55"/>
        <v>1080.10716</v>
      </c>
      <c r="L754" s="23">
        <f t="shared" si="56"/>
        <v>2160.21432</v>
      </c>
      <c r="M754" s="38"/>
    </row>
    <row r="755" s="1" customFormat="1" ht="45" outlineLevel="1" spans="1:13">
      <c r="A755" s="24">
        <v>12</v>
      </c>
      <c r="B755" s="25" t="s">
        <v>329</v>
      </c>
      <c r="C755" s="25" t="s">
        <v>331</v>
      </c>
      <c r="D755" s="26" t="s">
        <v>60</v>
      </c>
      <c r="E755" s="26">
        <v>2</v>
      </c>
      <c r="F755" s="20">
        <v>327.64</v>
      </c>
      <c r="G755" s="20">
        <v>453</v>
      </c>
      <c r="H755" s="29">
        <v>165.2</v>
      </c>
      <c r="I755" s="29">
        <f t="shared" si="57"/>
        <v>94.584</v>
      </c>
      <c r="J755" s="29">
        <f t="shared" si="58"/>
        <v>93.63816</v>
      </c>
      <c r="K755" s="29">
        <f t="shared" si="55"/>
        <v>1134.06216</v>
      </c>
      <c r="L755" s="23">
        <f t="shared" si="56"/>
        <v>2268.12432</v>
      </c>
      <c r="M755" s="38"/>
    </row>
    <row r="756" s="1" customFormat="1" ht="45" outlineLevel="1" spans="1:13">
      <c r="A756" s="24">
        <v>13</v>
      </c>
      <c r="B756" s="25" t="s">
        <v>123</v>
      </c>
      <c r="C756" s="25" t="s">
        <v>332</v>
      </c>
      <c r="D756" s="26" t="s">
        <v>60</v>
      </c>
      <c r="E756" s="26">
        <v>2</v>
      </c>
      <c r="F756" s="24">
        <v>51.2</v>
      </c>
      <c r="G756" s="24">
        <v>470</v>
      </c>
      <c r="H756" s="29">
        <v>7.42</v>
      </c>
      <c r="I756" s="29">
        <f t="shared" si="57"/>
        <v>52.862</v>
      </c>
      <c r="J756" s="29">
        <f t="shared" si="58"/>
        <v>52.33338</v>
      </c>
      <c r="K756" s="29">
        <f t="shared" si="55"/>
        <v>633.81538</v>
      </c>
      <c r="L756" s="23">
        <f t="shared" si="56"/>
        <v>1267.63076</v>
      </c>
      <c r="M756" s="39" t="s">
        <v>104</v>
      </c>
    </row>
    <row r="757" s="1" customFormat="1" ht="45" outlineLevel="1" spans="1:13">
      <c r="A757" s="24">
        <v>14</v>
      </c>
      <c r="B757" s="25" t="s">
        <v>123</v>
      </c>
      <c r="C757" s="25" t="s">
        <v>333</v>
      </c>
      <c r="D757" s="26" t="s">
        <v>60</v>
      </c>
      <c r="E757" s="26">
        <v>36</v>
      </c>
      <c r="F757" s="24">
        <v>51.2</v>
      </c>
      <c r="G757" s="24">
        <v>330</v>
      </c>
      <c r="H757" s="29">
        <v>7.42</v>
      </c>
      <c r="I757" s="29">
        <f t="shared" si="57"/>
        <v>38.862</v>
      </c>
      <c r="J757" s="29">
        <f t="shared" si="58"/>
        <v>38.47338</v>
      </c>
      <c r="K757" s="29">
        <f t="shared" si="55"/>
        <v>465.95538</v>
      </c>
      <c r="L757" s="23">
        <f t="shared" si="56"/>
        <v>16774.39368</v>
      </c>
      <c r="M757" s="39" t="s">
        <v>104</v>
      </c>
    </row>
    <row r="758" s="1" customFormat="1" ht="56.25" outlineLevel="1" spans="1:13">
      <c r="A758" s="24">
        <v>15</v>
      </c>
      <c r="B758" s="25" t="s">
        <v>123</v>
      </c>
      <c r="C758" s="25" t="s">
        <v>334</v>
      </c>
      <c r="D758" s="26" t="s">
        <v>60</v>
      </c>
      <c r="E758" s="26">
        <v>18</v>
      </c>
      <c r="F758" s="24">
        <v>51.2</v>
      </c>
      <c r="G758" s="24">
        <v>126</v>
      </c>
      <c r="H758" s="29">
        <v>7.42</v>
      </c>
      <c r="I758" s="29">
        <f t="shared" si="57"/>
        <v>18.462</v>
      </c>
      <c r="J758" s="29">
        <f t="shared" si="58"/>
        <v>18.27738</v>
      </c>
      <c r="K758" s="29">
        <f t="shared" si="55"/>
        <v>221.35938</v>
      </c>
      <c r="L758" s="23">
        <f t="shared" si="56"/>
        <v>3984.46884</v>
      </c>
      <c r="M758" s="39" t="s">
        <v>104</v>
      </c>
    </row>
    <row r="759" s="1" customFormat="1" ht="45" outlineLevel="1" spans="1:13">
      <c r="A759" s="24">
        <v>16</v>
      </c>
      <c r="B759" s="25" t="s">
        <v>123</v>
      </c>
      <c r="C759" s="25" t="s">
        <v>335</v>
      </c>
      <c r="D759" s="26" t="s">
        <v>60</v>
      </c>
      <c r="E759" s="26">
        <v>4</v>
      </c>
      <c r="F759" s="24">
        <v>51.2</v>
      </c>
      <c r="G759" s="24">
        <v>103</v>
      </c>
      <c r="H759" s="29">
        <v>7.42</v>
      </c>
      <c r="I759" s="29">
        <f t="shared" si="57"/>
        <v>16.162</v>
      </c>
      <c r="J759" s="29">
        <f t="shared" si="58"/>
        <v>16.00038</v>
      </c>
      <c r="K759" s="29">
        <f t="shared" si="55"/>
        <v>193.78238</v>
      </c>
      <c r="L759" s="23">
        <f t="shared" si="56"/>
        <v>775.12952</v>
      </c>
      <c r="M759" s="39" t="s">
        <v>104</v>
      </c>
    </row>
    <row r="760" s="1" customFormat="1" ht="45" outlineLevel="1" spans="1:13">
      <c r="A760" s="24">
        <v>17</v>
      </c>
      <c r="B760" s="25" t="s">
        <v>123</v>
      </c>
      <c r="C760" s="25" t="s">
        <v>454</v>
      </c>
      <c r="D760" s="26" t="s">
        <v>60</v>
      </c>
      <c r="E760" s="26">
        <v>1</v>
      </c>
      <c r="F760" s="24">
        <v>51.2</v>
      </c>
      <c r="G760" s="24">
        <v>117</v>
      </c>
      <c r="H760" s="29">
        <v>7.42</v>
      </c>
      <c r="I760" s="29">
        <f t="shared" si="57"/>
        <v>17.562</v>
      </c>
      <c r="J760" s="29">
        <f t="shared" si="58"/>
        <v>17.38638</v>
      </c>
      <c r="K760" s="29">
        <f t="shared" si="55"/>
        <v>210.56838</v>
      </c>
      <c r="L760" s="23">
        <f t="shared" si="56"/>
        <v>210.56838</v>
      </c>
      <c r="M760" s="39" t="s">
        <v>104</v>
      </c>
    </row>
    <row r="761" s="1" customFormat="1" ht="45" outlineLevel="1" spans="1:13">
      <c r="A761" s="24">
        <v>18</v>
      </c>
      <c r="B761" s="25" t="s">
        <v>127</v>
      </c>
      <c r="C761" s="25" t="s">
        <v>269</v>
      </c>
      <c r="D761" s="26" t="s">
        <v>60</v>
      </c>
      <c r="E761" s="26">
        <v>4</v>
      </c>
      <c r="F761" s="24">
        <v>127.67</v>
      </c>
      <c r="G761" s="24">
        <v>227</v>
      </c>
      <c r="H761" s="29">
        <v>19.82</v>
      </c>
      <c r="I761" s="29">
        <f t="shared" si="57"/>
        <v>37.449</v>
      </c>
      <c r="J761" s="29">
        <f t="shared" si="58"/>
        <v>37.07451</v>
      </c>
      <c r="K761" s="29">
        <f t="shared" si="55"/>
        <v>449.01351</v>
      </c>
      <c r="L761" s="23">
        <f t="shared" si="56"/>
        <v>1796.05404</v>
      </c>
      <c r="M761" s="39" t="s">
        <v>104</v>
      </c>
    </row>
    <row r="762" s="1" customFormat="1" ht="45" outlineLevel="1" spans="1:13">
      <c r="A762" s="24">
        <v>19</v>
      </c>
      <c r="B762" s="25" t="s">
        <v>127</v>
      </c>
      <c r="C762" s="25" t="s">
        <v>336</v>
      </c>
      <c r="D762" s="26" t="s">
        <v>60</v>
      </c>
      <c r="E762" s="26">
        <v>2</v>
      </c>
      <c r="F762" s="24">
        <v>127.67</v>
      </c>
      <c r="G762" s="24">
        <v>266</v>
      </c>
      <c r="H762" s="29">
        <v>19.82</v>
      </c>
      <c r="I762" s="29">
        <f t="shared" si="57"/>
        <v>41.349</v>
      </c>
      <c r="J762" s="29">
        <f t="shared" si="58"/>
        <v>40.93551</v>
      </c>
      <c r="K762" s="29">
        <f t="shared" si="55"/>
        <v>495.77451</v>
      </c>
      <c r="L762" s="23">
        <f t="shared" si="56"/>
        <v>991.54902</v>
      </c>
      <c r="M762" s="39" t="s">
        <v>104</v>
      </c>
    </row>
    <row r="763" s="1" customFormat="1" ht="45" outlineLevel="1" spans="1:13">
      <c r="A763" s="24">
        <v>20</v>
      </c>
      <c r="B763" s="25" t="s">
        <v>127</v>
      </c>
      <c r="C763" s="25" t="s">
        <v>337</v>
      </c>
      <c r="D763" s="26" t="s">
        <v>60</v>
      </c>
      <c r="E763" s="26">
        <v>2</v>
      </c>
      <c r="F763" s="24">
        <v>127.67</v>
      </c>
      <c r="G763" s="24">
        <v>178</v>
      </c>
      <c r="H763" s="29">
        <v>19.82</v>
      </c>
      <c r="I763" s="29">
        <f t="shared" si="57"/>
        <v>32.549</v>
      </c>
      <c r="J763" s="29">
        <f t="shared" si="58"/>
        <v>32.22351</v>
      </c>
      <c r="K763" s="29">
        <f t="shared" si="55"/>
        <v>390.26251</v>
      </c>
      <c r="L763" s="23">
        <f t="shared" si="56"/>
        <v>780.52502</v>
      </c>
      <c r="M763" s="39" t="s">
        <v>104</v>
      </c>
    </row>
    <row r="764" s="1" customFormat="1" ht="45" outlineLevel="1" spans="1:13">
      <c r="A764" s="24">
        <v>21</v>
      </c>
      <c r="B764" s="25" t="s">
        <v>127</v>
      </c>
      <c r="C764" s="25" t="s">
        <v>338</v>
      </c>
      <c r="D764" s="26" t="s">
        <v>60</v>
      </c>
      <c r="E764" s="26">
        <v>4</v>
      </c>
      <c r="F764" s="24">
        <v>127.67</v>
      </c>
      <c r="G764" s="24">
        <v>171</v>
      </c>
      <c r="H764" s="29">
        <v>19.82</v>
      </c>
      <c r="I764" s="29">
        <f t="shared" si="57"/>
        <v>31.849</v>
      </c>
      <c r="J764" s="29">
        <f t="shared" si="58"/>
        <v>31.53051</v>
      </c>
      <c r="K764" s="29">
        <f t="shared" si="55"/>
        <v>381.86951</v>
      </c>
      <c r="L764" s="23">
        <f t="shared" si="56"/>
        <v>1527.47804</v>
      </c>
      <c r="M764" s="39" t="s">
        <v>104</v>
      </c>
    </row>
    <row r="765" s="1" customFormat="1" ht="45" outlineLevel="1" spans="1:13">
      <c r="A765" s="24">
        <v>22</v>
      </c>
      <c r="B765" s="25" t="s">
        <v>127</v>
      </c>
      <c r="C765" s="25" t="s">
        <v>339</v>
      </c>
      <c r="D765" s="26" t="s">
        <v>60</v>
      </c>
      <c r="E765" s="26">
        <v>2</v>
      </c>
      <c r="F765" s="24">
        <v>127.67</v>
      </c>
      <c r="G765" s="24">
        <v>218</v>
      </c>
      <c r="H765" s="29">
        <v>19.82</v>
      </c>
      <c r="I765" s="29">
        <f t="shared" si="57"/>
        <v>36.549</v>
      </c>
      <c r="J765" s="29">
        <f t="shared" si="58"/>
        <v>36.18351</v>
      </c>
      <c r="K765" s="29">
        <f t="shared" si="55"/>
        <v>438.22251</v>
      </c>
      <c r="L765" s="23">
        <f t="shared" si="56"/>
        <v>876.44502</v>
      </c>
      <c r="M765" s="39" t="s">
        <v>104</v>
      </c>
    </row>
    <row r="766" s="1" customFormat="1" ht="45" outlineLevel="1" spans="1:13">
      <c r="A766" s="24">
        <v>23</v>
      </c>
      <c r="B766" s="25" t="s">
        <v>127</v>
      </c>
      <c r="C766" s="25" t="s">
        <v>340</v>
      </c>
      <c r="D766" s="26" t="s">
        <v>60</v>
      </c>
      <c r="E766" s="26">
        <v>2</v>
      </c>
      <c r="F766" s="24">
        <v>30.63</v>
      </c>
      <c r="G766" s="24">
        <v>139</v>
      </c>
      <c r="H766" s="29">
        <v>9.1</v>
      </c>
      <c r="I766" s="29">
        <f t="shared" si="57"/>
        <v>17.873</v>
      </c>
      <c r="J766" s="29">
        <f t="shared" si="58"/>
        <v>17.69427</v>
      </c>
      <c r="K766" s="29">
        <f t="shared" si="55"/>
        <v>214.29727</v>
      </c>
      <c r="L766" s="23">
        <f t="shared" si="56"/>
        <v>428.59454</v>
      </c>
      <c r="M766" s="39" t="s">
        <v>104</v>
      </c>
    </row>
    <row r="767" s="1" customFormat="1" ht="45" outlineLevel="1" spans="1:13">
      <c r="A767" s="24">
        <v>24</v>
      </c>
      <c r="B767" s="25" t="s">
        <v>127</v>
      </c>
      <c r="C767" s="25" t="s">
        <v>341</v>
      </c>
      <c r="D767" s="26" t="s">
        <v>60</v>
      </c>
      <c r="E767" s="26">
        <v>2</v>
      </c>
      <c r="F767" s="24">
        <v>30.63</v>
      </c>
      <c r="G767" s="24">
        <v>131</v>
      </c>
      <c r="H767" s="29">
        <v>9.1</v>
      </c>
      <c r="I767" s="29">
        <f t="shared" si="57"/>
        <v>17.073</v>
      </c>
      <c r="J767" s="29">
        <f t="shared" si="58"/>
        <v>16.90227</v>
      </c>
      <c r="K767" s="29">
        <f t="shared" si="55"/>
        <v>204.70527</v>
      </c>
      <c r="L767" s="23">
        <f t="shared" si="56"/>
        <v>409.41054</v>
      </c>
      <c r="M767" s="39" t="s">
        <v>104</v>
      </c>
    </row>
    <row r="768" s="1" customFormat="1" ht="33.75" outlineLevel="1" spans="1:13">
      <c r="A768" s="24">
        <v>25</v>
      </c>
      <c r="B768" s="25" t="s">
        <v>342</v>
      </c>
      <c r="C768" s="25" t="s">
        <v>343</v>
      </c>
      <c r="D768" s="26" t="s">
        <v>60</v>
      </c>
      <c r="E768" s="26">
        <v>4</v>
      </c>
      <c r="F768" s="20">
        <v>30.63</v>
      </c>
      <c r="G768" s="20">
        <v>132</v>
      </c>
      <c r="H768" s="29">
        <v>9.1</v>
      </c>
      <c r="I768" s="29">
        <f t="shared" si="57"/>
        <v>17.173</v>
      </c>
      <c r="J768" s="29">
        <f t="shared" si="58"/>
        <v>17.00127</v>
      </c>
      <c r="K768" s="29">
        <f t="shared" si="55"/>
        <v>205.90427</v>
      </c>
      <c r="L768" s="23">
        <f t="shared" si="56"/>
        <v>823.61708</v>
      </c>
      <c r="M768" s="39" t="s">
        <v>159</v>
      </c>
    </row>
    <row r="769" s="1" customFormat="1" ht="33.75" outlineLevel="1" spans="1:13">
      <c r="A769" s="24">
        <v>26</v>
      </c>
      <c r="B769" s="25" t="s">
        <v>344</v>
      </c>
      <c r="C769" s="25" t="s">
        <v>345</v>
      </c>
      <c r="D769" s="26" t="s">
        <v>60</v>
      </c>
      <c r="E769" s="26">
        <v>42</v>
      </c>
      <c r="F769" s="20">
        <v>31.63</v>
      </c>
      <c r="G769" s="24">
        <v>28</v>
      </c>
      <c r="H769" s="29">
        <v>9.1</v>
      </c>
      <c r="I769" s="29">
        <f t="shared" si="57"/>
        <v>6.873</v>
      </c>
      <c r="J769" s="29">
        <f t="shared" si="58"/>
        <v>6.80427</v>
      </c>
      <c r="K769" s="29">
        <f t="shared" si="55"/>
        <v>82.40727</v>
      </c>
      <c r="L769" s="23">
        <f t="shared" si="56"/>
        <v>3461.10534</v>
      </c>
      <c r="M769" s="39" t="s">
        <v>159</v>
      </c>
    </row>
    <row r="770" s="1" customFormat="1" ht="56.25" outlineLevel="1" spans="1:13">
      <c r="A770" s="24">
        <v>27</v>
      </c>
      <c r="B770" s="25" t="s">
        <v>346</v>
      </c>
      <c r="C770" s="25" t="s">
        <v>347</v>
      </c>
      <c r="D770" s="26" t="s">
        <v>71</v>
      </c>
      <c r="E770" s="27">
        <v>1</v>
      </c>
      <c r="F770" s="24">
        <v>30.63</v>
      </c>
      <c r="G770" s="29">
        <v>150</v>
      </c>
      <c r="H770" s="29">
        <v>350</v>
      </c>
      <c r="I770" s="29">
        <f t="shared" si="57"/>
        <v>53.063</v>
      </c>
      <c r="J770" s="29">
        <f t="shared" si="58"/>
        <v>52.53237</v>
      </c>
      <c r="K770" s="29">
        <f t="shared" si="55"/>
        <v>636.22537</v>
      </c>
      <c r="L770" s="23">
        <f t="shared" si="56"/>
        <v>636.22537</v>
      </c>
      <c r="M770" s="39" t="s">
        <v>142</v>
      </c>
    </row>
    <row r="771" s="1" customFormat="1" ht="56.25" outlineLevel="1" spans="1:13">
      <c r="A771" s="24">
        <v>28</v>
      </c>
      <c r="B771" s="25" t="s">
        <v>275</v>
      </c>
      <c r="C771" s="25" t="s">
        <v>304</v>
      </c>
      <c r="D771" s="26" t="s">
        <v>71</v>
      </c>
      <c r="E771" s="26">
        <v>1</v>
      </c>
      <c r="F771" s="20">
        <v>1.38</v>
      </c>
      <c r="G771" s="29">
        <v>2.1</v>
      </c>
      <c r="H771" s="29">
        <v>0.8</v>
      </c>
      <c r="I771" s="29">
        <f t="shared" si="57"/>
        <v>0.428</v>
      </c>
      <c r="J771" s="29">
        <f t="shared" si="58"/>
        <v>0.42372</v>
      </c>
      <c r="K771" s="29">
        <f t="shared" si="55"/>
        <v>5.13172</v>
      </c>
      <c r="L771" s="23">
        <f t="shared" si="56"/>
        <v>5.13172</v>
      </c>
      <c r="M771" s="39" t="s">
        <v>142</v>
      </c>
    </row>
    <row r="772" s="1" customFormat="1" ht="56.25" outlineLevel="1" spans="1:13">
      <c r="A772" s="24">
        <v>29</v>
      </c>
      <c r="B772" s="25" t="s">
        <v>277</v>
      </c>
      <c r="C772" s="25" t="s">
        <v>278</v>
      </c>
      <c r="D772" s="26" t="s">
        <v>71</v>
      </c>
      <c r="E772" s="26">
        <v>1</v>
      </c>
      <c r="F772" s="24">
        <v>6.77</v>
      </c>
      <c r="G772" s="29">
        <v>9.5</v>
      </c>
      <c r="H772" s="29">
        <v>1.2</v>
      </c>
      <c r="I772" s="29">
        <f t="shared" si="57"/>
        <v>1.747</v>
      </c>
      <c r="J772" s="29">
        <f t="shared" si="58"/>
        <v>1.72953</v>
      </c>
      <c r="K772" s="29">
        <f t="shared" si="55"/>
        <v>20.94653</v>
      </c>
      <c r="L772" s="23">
        <f t="shared" si="56"/>
        <v>20.94653</v>
      </c>
      <c r="M772" s="39" t="s">
        <v>142</v>
      </c>
    </row>
    <row r="773" s="1" customFormat="1" ht="56.25" outlineLevel="1" spans="1:13">
      <c r="A773" s="24">
        <v>30</v>
      </c>
      <c r="B773" s="25" t="s">
        <v>279</v>
      </c>
      <c r="C773" s="25" t="s">
        <v>280</v>
      </c>
      <c r="D773" s="26" t="s">
        <v>71</v>
      </c>
      <c r="E773" s="26">
        <v>1</v>
      </c>
      <c r="F773" s="24">
        <v>6.77</v>
      </c>
      <c r="G773" s="29">
        <v>9.5</v>
      </c>
      <c r="H773" s="29">
        <v>1.2</v>
      </c>
      <c r="I773" s="29">
        <f t="shared" si="57"/>
        <v>1.747</v>
      </c>
      <c r="J773" s="29">
        <f t="shared" si="58"/>
        <v>1.72953</v>
      </c>
      <c r="K773" s="29">
        <f t="shared" si="55"/>
        <v>20.94653</v>
      </c>
      <c r="L773" s="23">
        <f t="shared" si="56"/>
        <v>20.94653</v>
      </c>
      <c r="M773" s="39" t="s">
        <v>142</v>
      </c>
    </row>
    <row r="774" s="1" customFormat="1" outlineLevel="1" spans="1:13">
      <c r="A774" s="20" t="s">
        <v>152</v>
      </c>
      <c r="B774" s="21" t="s">
        <v>455</v>
      </c>
      <c r="C774" s="21"/>
      <c r="D774" s="22"/>
      <c r="E774" s="22"/>
      <c r="F774" s="20"/>
      <c r="G774" s="29"/>
      <c r="H774" s="29"/>
      <c r="I774" s="29">
        <f t="shared" si="57"/>
        <v>0</v>
      </c>
      <c r="J774" s="29">
        <f t="shared" si="58"/>
        <v>0</v>
      </c>
      <c r="K774" s="29">
        <f t="shared" ref="K774:K837" si="59">F774+G774+H774+I774+J774</f>
        <v>0</v>
      </c>
      <c r="L774" s="23">
        <f t="shared" ref="L774:L837" si="60">K774*E774</f>
        <v>0</v>
      </c>
      <c r="M774" s="38"/>
    </row>
    <row r="775" s="1" customFormat="1" ht="56.25" outlineLevel="1" spans="1:13">
      <c r="A775" s="24">
        <v>1</v>
      </c>
      <c r="B775" s="25" t="s">
        <v>154</v>
      </c>
      <c r="C775" s="25" t="s">
        <v>349</v>
      </c>
      <c r="D775" s="26" t="s">
        <v>42</v>
      </c>
      <c r="E775" s="27">
        <f>72.32+4.39+23.76+(2.95*18+3)*2</f>
        <v>212.67</v>
      </c>
      <c r="F775" s="28">
        <v>0.92</v>
      </c>
      <c r="G775" s="29">
        <v>2.57</v>
      </c>
      <c r="H775" s="29">
        <v>0.85</v>
      </c>
      <c r="I775" s="29">
        <f t="shared" si="57"/>
        <v>0.434</v>
      </c>
      <c r="J775" s="29">
        <f t="shared" si="58"/>
        <v>0.42966</v>
      </c>
      <c r="K775" s="29">
        <f t="shared" si="59"/>
        <v>5.20366</v>
      </c>
      <c r="L775" s="23">
        <f t="shared" si="60"/>
        <v>1106.6623722</v>
      </c>
      <c r="M775" s="39" t="s">
        <v>142</v>
      </c>
    </row>
    <row r="776" s="1" customFormat="1" ht="56.25" outlineLevel="1" spans="1:13">
      <c r="A776" s="24">
        <v>2</v>
      </c>
      <c r="B776" s="25" t="s">
        <v>154</v>
      </c>
      <c r="C776" s="25" t="s">
        <v>206</v>
      </c>
      <c r="D776" s="26" t="s">
        <v>42</v>
      </c>
      <c r="E776" s="27">
        <f>E775*2</f>
        <v>425.34</v>
      </c>
      <c r="F776" s="28">
        <v>0.92</v>
      </c>
      <c r="G776" s="29">
        <v>1.93</v>
      </c>
      <c r="H776" s="29">
        <v>0.85</v>
      </c>
      <c r="I776" s="29">
        <f t="shared" si="57"/>
        <v>0.37</v>
      </c>
      <c r="J776" s="29">
        <f t="shared" si="58"/>
        <v>0.3663</v>
      </c>
      <c r="K776" s="29">
        <f t="shared" si="59"/>
        <v>4.4363</v>
      </c>
      <c r="L776" s="23">
        <f t="shared" si="60"/>
        <v>1886.935842</v>
      </c>
      <c r="M776" s="39" t="s">
        <v>142</v>
      </c>
    </row>
    <row r="777" s="1" customFormat="1" ht="33.75" outlineLevel="1" spans="1:13">
      <c r="A777" s="24">
        <v>3</v>
      </c>
      <c r="B777" s="25" t="s">
        <v>157</v>
      </c>
      <c r="C777" s="25" t="s">
        <v>306</v>
      </c>
      <c r="D777" s="26" t="s">
        <v>60</v>
      </c>
      <c r="E777" s="27">
        <v>5</v>
      </c>
      <c r="F777" s="24">
        <v>265.43</v>
      </c>
      <c r="G777" s="29">
        <v>116</v>
      </c>
      <c r="H777" s="29">
        <v>16.5</v>
      </c>
      <c r="I777" s="29">
        <f t="shared" si="57"/>
        <v>39.793</v>
      </c>
      <c r="J777" s="29">
        <f t="shared" si="58"/>
        <v>39.39507</v>
      </c>
      <c r="K777" s="29">
        <f t="shared" si="59"/>
        <v>477.11807</v>
      </c>
      <c r="L777" s="23">
        <f t="shared" si="60"/>
        <v>2385.59035</v>
      </c>
      <c r="M777" s="39" t="s">
        <v>159</v>
      </c>
    </row>
    <row r="778" s="1" customFormat="1" outlineLevel="1" spans="1:13">
      <c r="A778" s="20" t="s">
        <v>160</v>
      </c>
      <c r="B778" s="21" t="s">
        <v>456</v>
      </c>
      <c r="C778" s="21"/>
      <c r="D778" s="26"/>
      <c r="E778" s="27"/>
      <c r="F778" s="24"/>
      <c r="G778" s="29"/>
      <c r="H778" s="29"/>
      <c r="I778" s="29">
        <f t="shared" si="57"/>
        <v>0</v>
      </c>
      <c r="J778" s="29">
        <f t="shared" si="58"/>
        <v>0</v>
      </c>
      <c r="K778" s="29">
        <f t="shared" si="59"/>
        <v>0</v>
      </c>
      <c r="L778" s="23">
        <f t="shared" si="60"/>
        <v>0</v>
      </c>
      <c r="M778" s="39"/>
    </row>
    <row r="779" s="1" customFormat="1" ht="56.25" outlineLevel="1" spans="1:13">
      <c r="A779" s="24">
        <v>1</v>
      </c>
      <c r="B779" s="25" t="s">
        <v>154</v>
      </c>
      <c r="C779" s="25" t="s">
        <v>351</v>
      </c>
      <c r="D779" s="26" t="s">
        <v>42</v>
      </c>
      <c r="E779" s="27">
        <f>72.32+4.39+23.76+(2.95+3)*2</f>
        <v>112.37</v>
      </c>
      <c r="F779" s="28">
        <v>0.92</v>
      </c>
      <c r="G779" s="29">
        <v>2.04</v>
      </c>
      <c r="H779" s="29">
        <v>0.85</v>
      </c>
      <c r="I779" s="29">
        <f t="shared" si="57"/>
        <v>0.381</v>
      </c>
      <c r="J779" s="29">
        <f t="shared" si="58"/>
        <v>0.37719</v>
      </c>
      <c r="K779" s="29">
        <f t="shared" si="59"/>
        <v>4.56819</v>
      </c>
      <c r="L779" s="23">
        <f t="shared" si="60"/>
        <v>513.3275103</v>
      </c>
      <c r="M779" s="39" t="s">
        <v>142</v>
      </c>
    </row>
    <row r="780" s="1" customFormat="1" ht="33.75" outlineLevel="1" spans="1:13">
      <c r="A780" s="24">
        <v>2</v>
      </c>
      <c r="B780" s="25" t="s">
        <v>157</v>
      </c>
      <c r="C780" s="25" t="s">
        <v>163</v>
      </c>
      <c r="D780" s="26" t="s">
        <v>60</v>
      </c>
      <c r="E780" s="27">
        <v>2</v>
      </c>
      <c r="F780" s="24">
        <v>285.43</v>
      </c>
      <c r="G780" s="29">
        <v>78.4</v>
      </c>
      <c r="H780" s="29">
        <v>66.5</v>
      </c>
      <c r="I780" s="29">
        <f t="shared" si="57"/>
        <v>43.033</v>
      </c>
      <c r="J780" s="29">
        <f t="shared" si="58"/>
        <v>42.60267</v>
      </c>
      <c r="K780" s="29">
        <f t="shared" si="59"/>
        <v>515.96567</v>
      </c>
      <c r="L780" s="23">
        <f t="shared" si="60"/>
        <v>1031.93134</v>
      </c>
      <c r="M780" s="39" t="s">
        <v>159</v>
      </c>
    </row>
    <row r="781" s="1" customFormat="1" ht="22.5" outlineLevel="1" spans="1:13">
      <c r="A781" s="20" t="s">
        <v>164</v>
      </c>
      <c r="B781" s="21" t="s">
        <v>457</v>
      </c>
      <c r="C781" s="21"/>
      <c r="D781" s="22"/>
      <c r="E781" s="22"/>
      <c r="F781" s="20"/>
      <c r="G781" s="29"/>
      <c r="H781" s="29"/>
      <c r="I781" s="29">
        <f t="shared" si="57"/>
        <v>0</v>
      </c>
      <c r="J781" s="29">
        <f t="shared" si="58"/>
        <v>0</v>
      </c>
      <c r="K781" s="29">
        <f t="shared" si="59"/>
        <v>0</v>
      </c>
      <c r="L781" s="23">
        <f t="shared" si="60"/>
        <v>0</v>
      </c>
      <c r="M781" s="38"/>
    </row>
    <row r="782" s="1" customFormat="1" ht="67.5" outlineLevel="1" spans="1:13">
      <c r="A782" s="24">
        <v>1</v>
      </c>
      <c r="B782" s="25" t="s">
        <v>154</v>
      </c>
      <c r="C782" s="25" t="s">
        <v>353</v>
      </c>
      <c r="D782" s="26" t="s">
        <v>42</v>
      </c>
      <c r="E782" s="27">
        <f>(72.32+4.39+23.76+(2.95+3)*2)*2</f>
        <v>224.74</v>
      </c>
      <c r="F782" s="28">
        <v>0.92</v>
      </c>
      <c r="G782" s="29">
        <v>2.14</v>
      </c>
      <c r="H782" s="29">
        <v>0.85</v>
      </c>
      <c r="I782" s="29">
        <f t="shared" si="57"/>
        <v>0.391</v>
      </c>
      <c r="J782" s="29">
        <f t="shared" si="58"/>
        <v>0.38709</v>
      </c>
      <c r="K782" s="29">
        <f t="shared" si="59"/>
        <v>4.68809</v>
      </c>
      <c r="L782" s="23">
        <f t="shared" si="60"/>
        <v>1053.6013466</v>
      </c>
      <c r="M782" s="39" t="s">
        <v>142</v>
      </c>
    </row>
    <row r="783" s="1" customFormat="1" ht="67.5" outlineLevel="1" spans="1:13">
      <c r="A783" s="24">
        <v>2</v>
      </c>
      <c r="B783" s="25" t="s">
        <v>154</v>
      </c>
      <c r="C783" s="25" t="s">
        <v>167</v>
      </c>
      <c r="D783" s="26" t="s">
        <v>42</v>
      </c>
      <c r="E783" s="27">
        <f>E782</f>
        <v>224.74</v>
      </c>
      <c r="F783" s="28">
        <v>0.92</v>
      </c>
      <c r="G783" s="29">
        <v>2.82</v>
      </c>
      <c r="H783" s="29">
        <v>0.85</v>
      </c>
      <c r="I783" s="29">
        <f t="shared" si="57"/>
        <v>0.459</v>
      </c>
      <c r="J783" s="29">
        <f t="shared" si="58"/>
        <v>0.45441</v>
      </c>
      <c r="K783" s="29">
        <f t="shared" si="59"/>
        <v>5.50341</v>
      </c>
      <c r="L783" s="23">
        <f t="shared" si="60"/>
        <v>1236.8363634</v>
      </c>
      <c r="M783" s="39" t="s">
        <v>142</v>
      </c>
    </row>
    <row r="784" s="1" customFormat="1" ht="67.5" outlineLevel="1" spans="1:13">
      <c r="A784" s="24">
        <v>3</v>
      </c>
      <c r="B784" s="25" t="s">
        <v>154</v>
      </c>
      <c r="C784" s="25" t="s">
        <v>354</v>
      </c>
      <c r="D784" s="26" t="s">
        <v>42</v>
      </c>
      <c r="E784" s="27">
        <f>(72.32+4.39+23.76+(2.95+3)*2)</f>
        <v>112.37</v>
      </c>
      <c r="F784" s="28">
        <v>0.92</v>
      </c>
      <c r="G784" s="29">
        <v>2.57</v>
      </c>
      <c r="H784" s="29">
        <v>0.85</v>
      </c>
      <c r="I784" s="29">
        <f t="shared" si="57"/>
        <v>0.434</v>
      </c>
      <c r="J784" s="29">
        <f t="shared" si="58"/>
        <v>0.42966</v>
      </c>
      <c r="K784" s="29">
        <f t="shared" si="59"/>
        <v>5.20366</v>
      </c>
      <c r="L784" s="23">
        <f t="shared" si="60"/>
        <v>584.7352742</v>
      </c>
      <c r="M784" s="39" t="s">
        <v>142</v>
      </c>
    </row>
    <row r="785" s="1" customFormat="1" ht="67.5" outlineLevel="1" spans="1:13">
      <c r="A785" s="24">
        <v>4</v>
      </c>
      <c r="B785" s="25" t="s">
        <v>154</v>
      </c>
      <c r="C785" s="25" t="s">
        <v>355</v>
      </c>
      <c r="D785" s="26" t="s">
        <v>42</v>
      </c>
      <c r="E785" s="27">
        <f>E784</f>
        <v>112.37</v>
      </c>
      <c r="F785" s="28">
        <v>0.92</v>
      </c>
      <c r="G785" s="29">
        <v>2.57</v>
      </c>
      <c r="H785" s="29">
        <v>0.85</v>
      </c>
      <c r="I785" s="29">
        <f t="shared" si="57"/>
        <v>0.434</v>
      </c>
      <c r="J785" s="29">
        <f t="shared" si="58"/>
        <v>0.42966</v>
      </c>
      <c r="K785" s="29">
        <f t="shared" si="59"/>
        <v>5.20366</v>
      </c>
      <c r="L785" s="23">
        <f t="shared" si="60"/>
        <v>584.7352742</v>
      </c>
      <c r="M785" s="39" t="s">
        <v>142</v>
      </c>
    </row>
    <row r="786" s="1" customFormat="1" ht="67.5" outlineLevel="1" spans="1:13">
      <c r="A786" s="24">
        <v>5</v>
      </c>
      <c r="B786" s="25" t="s">
        <v>154</v>
      </c>
      <c r="C786" s="25" t="s">
        <v>170</v>
      </c>
      <c r="D786" s="26" t="s">
        <v>42</v>
      </c>
      <c r="E786" s="27">
        <v>956.65</v>
      </c>
      <c r="F786" s="28">
        <v>0.92</v>
      </c>
      <c r="G786" s="29">
        <v>2.04</v>
      </c>
      <c r="H786" s="29">
        <v>0.85</v>
      </c>
      <c r="I786" s="29">
        <f t="shared" si="57"/>
        <v>0.381</v>
      </c>
      <c r="J786" s="29">
        <f t="shared" si="58"/>
        <v>0.37719</v>
      </c>
      <c r="K786" s="29">
        <f t="shared" si="59"/>
        <v>4.56819</v>
      </c>
      <c r="L786" s="23">
        <f t="shared" si="60"/>
        <v>4370.1589635</v>
      </c>
      <c r="M786" s="39" t="s">
        <v>142</v>
      </c>
    </row>
    <row r="787" s="1" customFormat="1" ht="67.5" outlineLevel="1" spans="1:13">
      <c r="A787" s="24">
        <v>6</v>
      </c>
      <c r="B787" s="25" t="s">
        <v>154</v>
      </c>
      <c r="C787" s="25" t="s">
        <v>310</v>
      </c>
      <c r="D787" s="26" t="s">
        <v>42</v>
      </c>
      <c r="E787" s="27">
        <v>1458.11</v>
      </c>
      <c r="F787" s="28">
        <v>0.92</v>
      </c>
      <c r="G787" s="29">
        <v>1.93</v>
      </c>
      <c r="H787" s="29">
        <v>0.85</v>
      </c>
      <c r="I787" s="29">
        <f t="shared" si="57"/>
        <v>0.37</v>
      </c>
      <c r="J787" s="29">
        <f t="shared" si="58"/>
        <v>0.3663</v>
      </c>
      <c r="K787" s="29">
        <f t="shared" si="59"/>
        <v>4.4363</v>
      </c>
      <c r="L787" s="23">
        <f t="shared" si="60"/>
        <v>6468.613393</v>
      </c>
      <c r="M787" s="39" t="s">
        <v>142</v>
      </c>
    </row>
    <row r="788" s="1" customFormat="1" ht="67.5" outlineLevel="1" spans="1:13">
      <c r="A788" s="24">
        <v>7</v>
      </c>
      <c r="B788" s="25" t="s">
        <v>154</v>
      </c>
      <c r="C788" s="25" t="s">
        <v>356</v>
      </c>
      <c r="D788" s="26" t="s">
        <v>42</v>
      </c>
      <c r="E788" s="27">
        <v>224.78</v>
      </c>
      <c r="F788" s="28">
        <v>0.92</v>
      </c>
      <c r="G788" s="29">
        <v>2.57</v>
      </c>
      <c r="H788" s="29">
        <v>0.85</v>
      </c>
      <c r="I788" s="29">
        <f t="shared" si="57"/>
        <v>0.434</v>
      </c>
      <c r="J788" s="29">
        <f t="shared" si="58"/>
        <v>0.42966</v>
      </c>
      <c r="K788" s="29">
        <f t="shared" si="59"/>
        <v>5.20366</v>
      </c>
      <c r="L788" s="23">
        <f t="shared" si="60"/>
        <v>1169.6786948</v>
      </c>
      <c r="M788" s="39" t="s">
        <v>142</v>
      </c>
    </row>
    <row r="789" s="1" customFormat="1" ht="67.5" outlineLevel="1" spans="1:13">
      <c r="A789" s="24">
        <v>8</v>
      </c>
      <c r="B789" s="25" t="s">
        <v>154</v>
      </c>
      <c r="C789" s="25" t="s">
        <v>357</v>
      </c>
      <c r="D789" s="26" t="s">
        <v>42</v>
      </c>
      <c r="E789" s="27">
        <v>267.12</v>
      </c>
      <c r="F789" s="28">
        <v>0.92</v>
      </c>
      <c r="G789" s="29">
        <v>2.57</v>
      </c>
      <c r="H789" s="29">
        <v>0.85</v>
      </c>
      <c r="I789" s="29">
        <f t="shared" si="57"/>
        <v>0.434</v>
      </c>
      <c r="J789" s="29">
        <f t="shared" si="58"/>
        <v>0.42966</v>
      </c>
      <c r="K789" s="29">
        <f t="shared" si="59"/>
        <v>5.20366</v>
      </c>
      <c r="L789" s="23">
        <f t="shared" si="60"/>
        <v>1390.0016592</v>
      </c>
      <c r="M789" s="39" t="s">
        <v>142</v>
      </c>
    </row>
    <row r="790" s="1" customFormat="1" ht="56.25" outlineLevel="1" spans="1:13">
      <c r="A790" s="24">
        <v>9</v>
      </c>
      <c r="B790" s="25" t="s">
        <v>458</v>
      </c>
      <c r="C790" s="25" t="s">
        <v>278</v>
      </c>
      <c r="D790" s="26" t="s">
        <v>42</v>
      </c>
      <c r="E790" s="27">
        <f>(72.32+23.76+(2.95*18+3))*2</f>
        <v>304.36</v>
      </c>
      <c r="F790" s="28">
        <v>2.16</v>
      </c>
      <c r="G790" s="29">
        <v>5.1</v>
      </c>
      <c r="H790" s="29">
        <v>2.39</v>
      </c>
      <c r="I790" s="29">
        <f t="shared" si="57"/>
        <v>0.965</v>
      </c>
      <c r="J790" s="29">
        <f t="shared" si="58"/>
        <v>0.95535</v>
      </c>
      <c r="K790" s="29">
        <f t="shared" si="59"/>
        <v>11.57035</v>
      </c>
      <c r="L790" s="23">
        <f t="shared" si="60"/>
        <v>3521.551726</v>
      </c>
      <c r="M790" s="39" t="s">
        <v>142</v>
      </c>
    </row>
    <row r="791" s="1" customFormat="1" ht="56.25" outlineLevel="1" spans="1:13">
      <c r="A791" s="24">
        <v>10</v>
      </c>
      <c r="B791" s="25" t="s">
        <v>459</v>
      </c>
      <c r="C791" s="25" t="s">
        <v>280</v>
      </c>
      <c r="D791" s="26" t="s">
        <v>42</v>
      </c>
      <c r="E791" s="27">
        <f>(72.32+23.76+(2.95*18+3))</f>
        <v>152.18</v>
      </c>
      <c r="F791" s="28">
        <v>3.16</v>
      </c>
      <c r="G791" s="29">
        <v>6.1</v>
      </c>
      <c r="H791" s="29">
        <v>3.39</v>
      </c>
      <c r="I791" s="29">
        <f t="shared" si="57"/>
        <v>1.265</v>
      </c>
      <c r="J791" s="29">
        <f t="shared" si="58"/>
        <v>1.25235</v>
      </c>
      <c r="K791" s="29">
        <f t="shared" si="59"/>
        <v>15.16735</v>
      </c>
      <c r="L791" s="23">
        <f t="shared" si="60"/>
        <v>2308.167323</v>
      </c>
      <c r="M791" s="39" t="s">
        <v>142</v>
      </c>
    </row>
    <row r="792" s="1" customFormat="1" ht="33.75" outlineLevel="1" spans="1:13">
      <c r="A792" s="24">
        <v>11</v>
      </c>
      <c r="B792" s="25" t="s">
        <v>174</v>
      </c>
      <c r="C792" s="25" t="s">
        <v>175</v>
      </c>
      <c r="D792" s="26" t="s">
        <v>60</v>
      </c>
      <c r="E792" s="27">
        <v>39</v>
      </c>
      <c r="F792" s="28">
        <v>192.41</v>
      </c>
      <c r="G792" s="28">
        <v>26.6</v>
      </c>
      <c r="H792" s="29">
        <v>10.12</v>
      </c>
      <c r="I792" s="29">
        <f t="shared" si="57"/>
        <v>22.913</v>
      </c>
      <c r="J792" s="29">
        <f t="shared" si="58"/>
        <v>22.68387</v>
      </c>
      <c r="K792" s="29">
        <f t="shared" si="59"/>
        <v>274.72687</v>
      </c>
      <c r="L792" s="23">
        <f t="shared" si="60"/>
        <v>10714.34793</v>
      </c>
      <c r="M792" s="39" t="s">
        <v>159</v>
      </c>
    </row>
    <row r="793" s="1" customFormat="1" ht="33.75" outlineLevel="1" spans="1:13">
      <c r="A793" s="24">
        <v>12</v>
      </c>
      <c r="B793" s="25" t="s">
        <v>176</v>
      </c>
      <c r="C793" s="25" t="s">
        <v>177</v>
      </c>
      <c r="D793" s="26" t="s">
        <v>60</v>
      </c>
      <c r="E793" s="27">
        <v>123</v>
      </c>
      <c r="F793" s="28">
        <v>37.21</v>
      </c>
      <c r="G793" s="28">
        <v>19.2</v>
      </c>
      <c r="H793" s="29">
        <v>2.21</v>
      </c>
      <c r="I793" s="29">
        <f t="shared" si="57"/>
        <v>5.862</v>
      </c>
      <c r="J793" s="29">
        <f t="shared" si="58"/>
        <v>5.80338</v>
      </c>
      <c r="K793" s="29">
        <f t="shared" si="59"/>
        <v>70.28538</v>
      </c>
      <c r="L793" s="23">
        <f t="shared" si="60"/>
        <v>8645.10174</v>
      </c>
      <c r="M793" s="39" t="s">
        <v>159</v>
      </c>
    </row>
    <row r="794" s="1" customFormat="1" ht="33.75" outlineLevel="1" spans="1:13">
      <c r="A794" s="24">
        <v>13</v>
      </c>
      <c r="B794" s="25" t="s">
        <v>178</v>
      </c>
      <c r="C794" s="25" t="s">
        <v>179</v>
      </c>
      <c r="D794" s="26" t="s">
        <v>60</v>
      </c>
      <c r="E794" s="27">
        <v>3</v>
      </c>
      <c r="F794" s="28">
        <v>37.21</v>
      </c>
      <c r="G794" s="28">
        <v>19.2</v>
      </c>
      <c r="H794" s="29">
        <v>2.85</v>
      </c>
      <c r="I794" s="29">
        <f t="shared" si="57"/>
        <v>5.926</v>
      </c>
      <c r="J794" s="29">
        <f t="shared" si="58"/>
        <v>5.86674</v>
      </c>
      <c r="K794" s="29">
        <f t="shared" si="59"/>
        <v>71.05274</v>
      </c>
      <c r="L794" s="23">
        <f t="shared" si="60"/>
        <v>213.15822</v>
      </c>
      <c r="M794" s="39" t="s">
        <v>159</v>
      </c>
    </row>
    <row r="795" s="1" customFormat="1" ht="45" outlineLevel="1" spans="1:13">
      <c r="A795" s="24">
        <v>14</v>
      </c>
      <c r="B795" s="25" t="s">
        <v>180</v>
      </c>
      <c r="C795" s="25" t="s">
        <v>181</v>
      </c>
      <c r="D795" s="26" t="s">
        <v>60</v>
      </c>
      <c r="E795" s="27">
        <v>38</v>
      </c>
      <c r="F795" s="28">
        <v>65.22</v>
      </c>
      <c r="G795" s="28">
        <v>26.92</v>
      </c>
      <c r="H795" s="29">
        <v>4.5</v>
      </c>
      <c r="I795" s="29">
        <f t="shared" si="57"/>
        <v>9.664</v>
      </c>
      <c r="J795" s="29">
        <f t="shared" si="58"/>
        <v>9.56736</v>
      </c>
      <c r="K795" s="29">
        <f t="shared" si="59"/>
        <v>115.87136</v>
      </c>
      <c r="L795" s="23">
        <f t="shared" si="60"/>
        <v>4403.11168</v>
      </c>
      <c r="M795" s="39" t="s">
        <v>159</v>
      </c>
    </row>
    <row r="796" s="1" customFormat="1" ht="33.75" outlineLevel="1" spans="1:13">
      <c r="A796" s="24">
        <v>15</v>
      </c>
      <c r="B796" s="25" t="s">
        <v>182</v>
      </c>
      <c r="C796" s="25" t="s">
        <v>183</v>
      </c>
      <c r="D796" s="26" t="s">
        <v>60</v>
      </c>
      <c r="E796" s="27">
        <v>38</v>
      </c>
      <c r="F796" s="5">
        <v>78.12</v>
      </c>
      <c r="G796" s="28">
        <v>30.08</v>
      </c>
      <c r="H796" s="29">
        <v>3.62</v>
      </c>
      <c r="I796" s="29">
        <f t="shared" si="57"/>
        <v>11.182</v>
      </c>
      <c r="J796" s="29">
        <f t="shared" si="58"/>
        <v>11.07018</v>
      </c>
      <c r="K796" s="29">
        <f t="shared" si="59"/>
        <v>134.07218</v>
      </c>
      <c r="L796" s="23">
        <f t="shared" si="60"/>
        <v>5094.74284</v>
      </c>
      <c r="M796" s="39" t="s">
        <v>159</v>
      </c>
    </row>
    <row r="797" s="1" customFormat="1" ht="33.75" outlineLevel="1" spans="1:13">
      <c r="A797" s="24">
        <v>16</v>
      </c>
      <c r="B797" s="25" t="s">
        <v>184</v>
      </c>
      <c r="C797" s="25" t="s">
        <v>185</v>
      </c>
      <c r="D797" s="26" t="s">
        <v>60</v>
      </c>
      <c r="E797" s="27">
        <v>38</v>
      </c>
      <c r="F797" s="28">
        <v>195.64</v>
      </c>
      <c r="G797" s="28">
        <v>22.56</v>
      </c>
      <c r="H797" s="29">
        <v>7.17</v>
      </c>
      <c r="I797" s="29">
        <f t="shared" si="57"/>
        <v>22.537</v>
      </c>
      <c r="J797" s="29">
        <f t="shared" si="58"/>
        <v>22.31163</v>
      </c>
      <c r="K797" s="29">
        <f t="shared" si="59"/>
        <v>270.21863</v>
      </c>
      <c r="L797" s="23">
        <f t="shared" si="60"/>
        <v>10268.30794</v>
      </c>
      <c r="M797" s="39" t="s">
        <v>159</v>
      </c>
    </row>
    <row r="798" s="1" customFormat="1" ht="33.75" outlineLevel="1" spans="1:13">
      <c r="A798" s="24">
        <v>17</v>
      </c>
      <c r="B798" s="25" t="s">
        <v>186</v>
      </c>
      <c r="C798" s="25" t="s">
        <v>187</v>
      </c>
      <c r="D798" s="26" t="s">
        <v>60</v>
      </c>
      <c r="E798" s="27">
        <v>72</v>
      </c>
      <c r="F798" s="28">
        <v>48.37</v>
      </c>
      <c r="G798" s="28">
        <v>19.4</v>
      </c>
      <c r="H798" s="29">
        <v>3.2</v>
      </c>
      <c r="I798" s="29">
        <f t="shared" si="57"/>
        <v>7.097</v>
      </c>
      <c r="J798" s="29">
        <f t="shared" si="58"/>
        <v>7.02603</v>
      </c>
      <c r="K798" s="29">
        <f t="shared" si="59"/>
        <v>85.09303</v>
      </c>
      <c r="L798" s="23">
        <f t="shared" si="60"/>
        <v>6126.69816</v>
      </c>
      <c r="M798" s="39" t="s">
        <v>159</v>
      </c>
    </row>
    <row r="799" s="1" customFormat="1" ht="33.75" outlineLevel="1" spans="1:13">
      <c r="A799" s="24">
        <v>18</v>
      </c>
      <c r="B799" s="25" t="s">
        <v>188</v>
      </c>
      <c r="C799" s="25" t="s">
        <v>189</v>
      </c>
      <c r="D799" s="26" t="s">
        <v>60</v>
      </c>
      <c r="E799" s="27">
        <v>2</v>
      </c>
      <c r="F799" s="28">
        <v>50.98</v>
      </c>
      <c r="G799" s="28">
        <v>46.66</v>
      </c>
      <c r="H799" s="29">
        <v>30.84</v>
      </c>
      <c r="I799" s="29">
        <f t="shared" si="57"/>
        <v>12.848</v>
      </c>
      <c r="J799" s="29">
        <f t="shared" si="58"/>
        <v>12.71952</v>
      </c>
      <c r="K799" s="29">
        <f t="shared" si="59"/>
        <v>154.04752</v>
      </c>
      <c r="L799" s="23">
        <f t="shared" si="60"/>
        <v>308.09504</v>
      </c>
      <c r="M799" s="39" t="s">
        <v>159</v>
      </c>
    </row>
    <row r="800" s="1" customFormat="1" ht="33.75" outlineLevel="1" spans="1:13">
      <c r="A800" s="24">
        <v>19</v>
      </c>
      <c r="B800" s="25" t="s">
        <v>286</v>
      </c>
      <c r="C800" s="25" t="s">
        <v>287</v>
      </c>
      <c r="D800" s="26" t="s">
        <v>60</v>
      </c>
      <c r="E800" s="27">
        <v>1</v>
      </c>
      <c r="F800" s="28">
        <v>45.9</v>
      </c>
      <c r="G800" s="28">
        <v>72.9</v>
      </c>
      <c r="H800" s="29">
        <v>33</v>
      </c>
      <c r="I800" s="29">
        <f t="shared" si="57"/>
        <v>15.18</v>
      </c>
      <c r="J800" s="29">
        <f t="shared" si="58"/>
        <v>15.0282</v>
      </c>
      <c r="K800" s="29">
        <f t="shared" si="59"/>
        <v>182.0082</v>
      </c>
      <c r="L800" s="23">
        <f t="shared" si="60"/>
        <v>182.0082</v>
      </c>
      <c r="M800" s="39" t="s">
        <v>159</v>
      </c>
    </row>
    <row r="801" s="1" customFormat="1" ht="33.75" outlineLevel="1" spans="1:13">
      <c r="A801" s="24">
        <v>20</v>
      </c>
      <c r="B801" s="25" t="s">
        <v>192</v>
      </c>
      <c r="C801" s="25" t="s">
        <v>193</v>
      </c>
      <c r="D801" s="26" t="s">
        <v>60</v>
      </c>
      <c r="E801" s="27">
        <v>86</v>
      </c>
      <c r="F801" s="28">
        <v>254.48</v>
      </c>
      <c r="G801" s="28">
        <v>21.15</v>
      </c>
      <c r="H801" s="29">
        <v>10.26</v>
      </c>
      <c r="I801" s="29">
        <f t="shared" si="57"/>
        <v>28.589</v>
      </c>
      <c r="J801" s="29">
        <f t="shared" si="58"/>
        <v>28.30311</v>
      </c>
      <c r="K801" s="29">
        <f t="shared" si="59"/>
        <v>342.78211</v>
      </c>
      <c r="L801" s="23">
        <f t="shared" si="60"/>
        <v>29479.26146</v>
      </c>
      <c r="M801" s="39" t="s">
        <v>159</v>
      </c>
    </row>
    <row r="802" s="1" customFormat="1" ht="33.75" outlineLevel="1" spans="1:13">
      <c r="A802" s="24">
        <v>21</v>
      </c>
      <c r="B802" s="25" t="s">
        <v>190</v>
      </c>
      <c r="C802" s="25" t="s">
        <v>191</v>
      </c>
      <c r="D802" s="26" t="s">
        <v>60</v>
      </c>
      <c r="E802" s="27">
        <v>3</v>
      </c>
      <c r="F802" s="28">
        <v>212.47</v>
      </c>
      <c r="G802" s="28">
        <v>15.04</v>
      </c>
      <c r="H802" s="29">
        <v>7.1</v>
      </c>
      <c r="I802" s="29">
        <f t="shared" si="57"/>
        <v>23.461</v>
      </c>
      <c r="J802" s="29">
        <f t="shared" si="58"/>
        <v>23.22639</v>
      </c>
      <c r="K802" s="29">
        <f t="shared" si="59"/>
        <v>281.29739</v>
      </c>
      <c r="L802" s="23">
        <f t="shared" si="60"/>
        <v>843.89217</v>
      </c>
      <c r="M802" s="39" t="s">
        <v>159</v>
      </c>
    </row>
    <row r="803" s="1" customFormat="1" ht="33.75" outlineLevel="1" spans="1:13">
      <c r="A803" s="24">
        <v>22</v>
      </c>
      <c r="B803" s="25" t="s">
        <v>194</v>
      </c>
      <c r="C803" s="25" t="s">
        <v>195</v>
      </c>
      <c r="D803" s="26" t="s">
        <v>60</v>
      </c>
      <c r="E803" s="27">
        <v>2</v>
      </c>
      <c r="F803" s="28">
        <v>1425.47</v>
      </c>
      <c r="G803" s="28">
        <v>234.06</v>
      </c>
      <c r="H803" s="29">
        <v>58.4</v>
      </c>
      <c r="I803" s="29">
        <f t="shared" si="57"/>
        <v>171.793</v>
      </c>
      <c r="J803" s="29">
        <f t="shared" si="58"/>
        <v>170.07507</v>
      </c>
      <c r="K803" s="29">
        <f t="shared" si="59"/>
        <v>2059.79807</v>
      </c>
      <c r="L803" s="23">
        <f t="shared" si="60"/>
        <v>4119.59614</v>
      </c>
      <c r="M803" s="39" t="s">
        <v>159</v>
      </c>
    </row>
    <row r="804" s="1" customFormat="1" ht="33.75" outlineLevel="1" spans="1:13">
      <c r="A804" s="24">
        <v>23</v>
      </c>
      <c r="B804" s="25" t="s">
        <v>238</v>
      </c>
      <c r="C804" s="25" t="s">
        <v>239</v>
      </c>
      <c r="D804" s="26" t="s">
        <v>60</v>
      </c>
      <c r="E804" s="27">
        <v>3</v>
      </c>
      <c r="F804" s="28">
        <v>47.27</v>
      </c>
      <c r="G804" s="28">
        <v>43.24</v>
      </c>
      <c r="H804" s="29">
        <v>2.7</v>
      </c>
      <c r="I804" s="29">
        <f t="shared" si="57"/>
        <v>9.321</v>
      </c>
      <c r="J804" s="29">
        <f t="shared" si="58"/>
        <v>9.22779</v>
      </c>
      <c r="K804" s="29">
        <f t="shared" si="59"/>
        <v>111.75879</v>
      </c>
      <c r="L804" s="23">
        <f t="shared" si="60"/>
        <v>335.27637</v>
      </c>
      <c r="M804" s="39" t="s">
        <v>159</v>
      </c>
    </row>
    <row r="805" s="1" customFormat="1" ht="33.75" outlineLevel="1" spans="1:13">
      <c r="A805" s="24">
        <v>24</v>
      </c>
      <c r="B805" s="25" t="s">
        <v>460</v>
      </c>
      <c r="C805" s="25" t="s">
        <v>461</v>
      </c>
      <c r="D805" s="26" t="s">
        <v>60</v>
      </c>
      <c r="E805" s="27">
        <v>1</v>
      </c>
      <c r="F805" s="46">
        <v>0.485</v>
      </c>
      <c r="G805" s="29">
        <v>200</v>
      </c>
      <c r="H805" s="29">
        <v>23.5</v>
      </c>
      <c r="I805" s="29">
        <f t="shared" ref="I805:I868" si="61">(F805+G805+H805)*$I$4</f>
        <v>22.3985</v>
      </c>
      <c r="J805" s="29">
        <f t="shared" ref="J805:J868" si="62">(F805+G805+H805+I805)*$J$4</f>
        <v>22.174515</v>
      </c>
      <c r="K805" s="29">
        <f t="shared" si="59"/>
        <v>268.558015</v>
      </c>
      <c r="L805" s="23">
        <f t="shared" si="60"/>
        <v>268.558015</v>
      </c>
      <c r="M805" s="39" t="s">
        <v>159</v>
      </c>
    </row>
    <row r="806" s="1" customFormat="1" outlineLevel="1" spans="1:13">
      <c r="A806" s="20" t="s">
        <v>196</v>
      </c>
      <c r="B806" s="21" t="s">
        <v>462</v>
      </c>
      <c r="C806" s="21"/>
      <c r="D806" s="22"/>
      <c r="E806" s="22"/>
      <c r="F806" s="20"/>
      <c r="G806" s="29"/>
      <c r="H806" s="29"/>
      <c r="I806" s="29">
        <f t="shared" si="61"/>
        <v>0</v>
      </c>
      <c r="J806" s="29">
        <f t="shared" si="62"/>
        <v>0</v>
      </c>
      <c r="K806" s="29">
        <f t="shared" si="59"/>
        <v>0</v>
      </c>
      <c r="L806" s="23">
        <f t="shared" si="60"/>
        <v>0</v>
      </c>
      <c r="M806" s="38"/>
    </row>
    <row r="807" s="1" customFormat="1" ht="56.25" outlineLevel="1" spans="1:13">
      <c r="A807" s="24">
        <v>1</v>
      </c>
      <c r="B807" s="25" t="s">
        <v>154</v>
      </c>
      <c r="C807" s="25" t="s">
        <v>359</v>
      </c>
      <c r="D807" s="26" t="s">
        <v>42</v>
      </c>
      <c r="E807" s="27">
        <f>72.32+4.39+23.76+158.26</f>
        <v>258.73</v>
      </c>
      <c r="F807" s="28">
        <v>0.92</v>
      </c>
      <c r="G807" s="29">
        <v>3.64</v>
      </c>
      <c r="H807" s="29">
        <v>0.85</v>
      </c>
      <c r="I807" s="29">
        <f t="shared" si="61"/>
        <v>0.541</v>
      </c>
      <c r="J807" s="29">
        <f t="shared" si="62"/>
        <v>0.53559</v>
      </c>
      <c r="K807" s="29">
        <f t="shared" si="59"/>
        <v>6.48659</v>
      </c>
      <c r="L807" s="23">
        <f t="shared" si="60"/>
        <v>1678.2754307</v>
      </c>
      <c r="M807" s="39" t="s">
        <v>142</v>
      </c>
    </row>
    <row r="808" s="1" customFormat="1" ht="56.25" outlineLevel="1" spans="1:13">
      <c r="A808" s="24">
        <v>2</v>
      </c>
      <c r="B808" s="25" t="s">
        <v>154</v>
      </c>
      <c r="C808" s="25" t="s">
        <v>360</v>
      </c>
      <c r="D808" s="26" t="s">
        <v>42</v>
      </c>
      <c r="E808" s="27">
        <f>E807</f>
        <v>258.73</v>
      </c>
      <c r="F808" s="28">
        <v>0.92</v>
      </c>
      <c r="G808" s="29">
        <v>3.46</v>
      </c>
      <c r="H808" s="29">
        <v>0.85</v>
      </c>
      <c r="I808" s="29">
        <f t="shared" si="61"/>
        <v>0.523</v>
      </c>
      <c r="J808" s="29">
        <f t="shared" si="62"/>
        <v>0.51777</v>
      </c>
      <c r="K808" s="29">
        <f t="shared" si="59"/>
        <v>6.27077</v>
      </c>
      <c r="L808" s="23">
        <f t="shared" si="60"/>
        <v>1622.4363221</v>
      </c>
      <c r="M808" s="39" t="s">
        <v>142</v>
      </c>
    </row>
    <row r="809" s="1" customFormat="1" ht="33.75" outlineLevel="1" spans="1:13">
      <c r="A809" s="24">
        <v>3</v>
      </c>
      <c r="B809" s="25" t="s">
        <v>157</v>
      </c>
      <c r="C809" s="25" t="s">
        <v>313</v>
      </c>
      <c r="D809" s="26" t="s">
        <v>60</v>
      </c>
      <c r="E809" s="27">
        <v>42</v>
      </c>
      <c r="F809" s="24">
        <v>285.43</v>
      </c>
      <c r="G809" s="29">
        <v>43.6</v>
      </c>
      <c r="H809" s="29">
        <v>16.5</v>
      </c>
      <c r="I809" s="29">
        <f t="shared" si="61"/>
        <v>34.553</v>
      </c>
      <c r="J809" s="29">
        <f t="shared" si="62"/>
        <v>34.20747</v>
      </c>
      <c r="K809" s="29">
        <f t="shared" si="59"/>
        <v>414.29047</v>
      </c>
      <c r="L809" s="23">
        <f t="shared" si="60"/>
        <v>17400.19974</v>
      </c>
      <c r="M809" s="39" t="s">
        <v>159</v>
      </c>
    </row>
    <row r="810" s="1" customFormat="1" outlineLevel="1" spans="1:13">
      <c r="A810" s="20" t="s">
        <v>207</v>
      </c>
      <c r="B810" s="21" t="s">
        <v>463</v>
      </c>
      <c r="C810" s="21"/>
      <c r="D810" s="22"/>
      <c r="E810" s="22"/>
      <c r="F810" s="20"/>
      <c r="G810" s="29"/>
      <c r="H810" s="29"/>
      <c r="I810" s="29">
        <f t="shared" si="61"/>
        <v>0</v>
      </c>
      <c r="J810" s="29">
        <f t="shared" si="62"/>
        <v>0</v>
      </c>
      <c r="K810" s="29">
        <f t="shared" si="59"/>
        <v>0</v>
      </c>
      <c r="L810" s="23">
        <f t="shared" si="60"/>
        <v>0</v>
      </c>
      <c r="M810" s="38"/>
    </row>
    <row r="811" s="1" customFormat="1" ht="33.75" outlineLevel="1" spans="1:13">
      <c r="A811" s="24">
        <v>1</v>
      </c>
      <c r="B811" s="25" t="s">
        <v>198</v>
      </c>
      <c r="C811" s="25" t="s">
        <v>245</v>
      </c>
      <c r="D811" s="26" t="s">
        <v>103</v>
      </c>
      <c r="E811" s="27">
        <v>4</v>
      </c>
      <c r="F811" s="24">
        <v>90.73</v>
      </c>
      <c r="G811" s="29">
        <v>360</v>
      </c>
      <c r="H811" s="29">
        <v>19.3</v>
      </c>
      <c r="I811" s="29">
        <f t="shared" si="61"/>
        <v>47.003</v>
      </c>
      <c r="J811" s="29">
        <f t="shared" si="62"/>
        <v>46.53297</v>
      </c>
      <c r="K811" s="29">
        <f t="shared" si="59"/>
        <v>563.56597</v>
      </c>
      <c r="L811" s="23">
        <f t="shared" si="60"/>
        <v>2254.26388</v>
      </c>
      <c r="M811" s="39" t="s">
        <v>202</v>
      </c>
    </row>
    <row r="812" s="1" customFormat="1" ht="56.25" outlineLevel="1" spans="1:13">
      <c r="A812" s="24">
        <v>2</v>
      </c>
      <c r="B812" s="25" t="s">
        <v>200</v>
      </c>
      <c r="C812" s="25" t="s">
        <v>362</v>
      </c>
      <c r="D812" s="26" t="s">
        <v>51</v>
      </c>
      <c r="E812" s="27">
        <v>6</v>
      </c>
      <c r="F812" s="28">
        <v>26.59</v>
      </c>
      <c r="G812" s="29">
        <v>33</v>
      </c>
      <c r="H812" s="29">
        <v>22.37</v>
      </c>
      <c r="I812" s="29">
        <f t="shared" si="61"/>
        <v>8.196</v>
      </c>
      <c r="J812" s="29">
        <f t="shared" si="62"/>
        <v>8.11404</v>
      </c>
      <c r="K812" s="29">
        <f t="shared" si="59"/>
        <v>98.27004</v>
      </c>
      <c r="L812" s="23">
        <f t="shared" si="60"/>
        <v>589.62024</v>
      </c>
      <c r="M812" s="39" t="s">
        <v>202</v>
      </c>
    </row>
    <row r="813" s="1" customFormat="1" ht="67.5" outlineLevel="1" spans="1:13">
      <c r="A813" s="24">
        <v>3</v>
      </c>
      <c r="B813" s="25" t="s">
        <v>200</v>
      </c>
      <c r="C813" s="25" t="s">
        <v>363</v>
      </c>
      <c r="D813" s="26" t="s">
        <v>51</v>
      </c>
      <c r="E813" s="27">
        <v>160</v>
      </c>
      <c r="F813" s="28">
        <v>26.59</v>
      </c>
      <c r="G813" s="29">
        <v>34</v>
      </c>
      <c r="H813" s="29">
        <v>22.37</v>
      </c>
      <c r="I813" s="29">
        <f t="shared" si="61"/>
        <v>8.296</v>
      </c>
      <c r="J813" s="29">
        <f t="shared" si="62"/>
        <v>8.21304</v>
      </c>
      <c r="K813" s="29">
        <f t="shared" si="59"/>
        <v>99.46904</v>
      </c>
      <c r="L813" s="23">
        <f t="shared" si="60"/>
        <v>15915.0464</v>
      </c>
      <c r="M813" s="39" t="s">
        <v>202</v>
      </c>
    </row>
    <row r="814" s="1" customFormat="1" ht="56.25" outlineLevel="1" spans="1:13">
      <c r="A814" s="24">
        <v>4</v>
      </c>
      <c r="B814" s="25" t="s">
        <v>200</v>
      </c>
      <c r="C814" s="25" t="s">
        <v>364</v>
      </c>
      <c r="D814" s="26" t="s">
        <v>51</v>
      </c>
      <c r="E814" s="27">
        <v>40</v>
      </c>
      <c r="F814" s="28">
        <v>26.59</v>
      </c>
      <c r="G814" s="29">
        <v>33</v>
      </c>
      <c r="H814" s="29">
        <v>22.37</v>
      </c>
      <c r="I814" s="29">
        <f t="shared" si="61"/>
        <v>8.196</v>
      </c>
      <c r="J814" s="29">
        <f t="shared" si="62"/>
        <v>8.11404</v>
      </c>
      <c r="K814" s="29">
        <f t="shared" si="59"/>
        <v>98.27004</v>
      </c>
      <c r="L814" s="23">
        <f t="shared" si="60"/>
        <v>3930.8016</v>
      </c>
      <c r="M814" s="39" t="s">
        <v>202</v>
      </c>
    </row>
    <row r="815" s="1" customFormat="1" ht="56.25" outlineLevel="1" spans="1:13">
      <c r="A815" s="24">
        <v>5</v>
      </c>
      <c r="B815" s="25" t="s">
        <v>200</v>
      </c>
      <c r="C815" s="25" t="s">
        <v>365</v>
      </c>
      <c r="D815" s="26" t="s">
        <v>51</v>
      </c>
      <c r="E815" s="27">
        <v>42</v>
      </c>
      <c r="F815" s="28">
        <v>26.59</v>
      </c>
      <c r="G815" s="29">
        <v>33</v>
      </c>
      <c r="H815" s="29">
        <v>22.37</v>
      </c>
      <c r="I815" s="29">
        <f t="shared" si="61"/>
        <v>8.196</v>
      </c>
      <c r="J815" s="29">
        <f t="shared" si="62"/>
        <v>8.11404</v>
      </c>
      <c r="K815" s="29">
        <f t="shared" si="59"/>
        <v>98.27004</v>
      </c>
      <c r="L815" s="23">
        <f t="shared" si="60"/>
        <v>4127.34168</v>
      </c>
      <c r="M815" s="39" t="s">
        <v>202</v>
      </c>
    </row>
    <row r="816" s="1" customFormat="1" ht="67.5" outlineLevel="1" spans="1:13">
      <c r="A816" s="24">
        <v>6</v>
      </c>
      <c r="B816" s="25" t="s">
        <v>200</v>
      </c>
      <c r="C816" s="25" t="s">
        <v>366</v>
      </c>
      <c r="D816" s="26" t="s">
        <v>51</v>
      </c>
      <c r="E816" s="27">
        <v>38</v>
      </c>
      <c r="F816" s="28">
        <v>26.59</v>
      </c>
      <c r="G816" s="29">
        <v>33</v>
      </c>
      <c r="H816" s="29">
        <v>22.37</v>
      </c>
      <c r="I816" s="29">
        <f t="shared" si="61"/>
        <v>8.196</v>
      </c>
      <c r="J816" s="29">
        <f t="shared" si="62"/>
        <v>8.11404</v>
      </c>
      <c r="K816" s="29">
        <f t="shared" si="59"/>
        <v>98.27004</v>
      </c>
      <c r="L816" s="23">
        <f t="shared" si="60"/>
        <v>3734.26152</v>
      </c>
      <c r="M816" s="39" t="s">
        <v>202</v>
      </c>
    </row>
    <row r="817" s="1" customFormat="1" ht="67.5" outlineLevel="1" spans="1:13">
      <c r="A817" s="24">
        <v>7</v>
      </c>
      <c r="B817" s="25" t="s">
        <v>200</v>
      </c>
      <c r="C817" s="25" t="s">
        <v>464</v>
      </c>
      <c r="D817" s="26" t="s">
        <v>51</v>
      </c>
      <c r="E817" s="27">
        <v>8</v>
      </c>
      <c r="F817" s="28">
        <v>26.59</v>
      </c>
      <c r="G817" s="29">
        <v>34</v>
      </c>
      <c r="H817" s="29">
        <v>22.37</v>
      </c>
      <c r="I817" s="29">
        <f t="shared" si="61"/>
        <v>8.296</v>
      </c>
      <c r="J817" s="29">
        <f t="shared" si="62"/>
        <v>8.21304</v>
      </c>
      <c r="K817" s="29">
        <f t="shared" si="59"/>
        <v>99.46904</v>
      </c>
      <c r="L817" s="23">
        <f t="shared" si="60"/>
        <v>795.75232</v>
      </c>
      <c r="M817" s="39" t="s">
        <v>202</v>
      </c>
    </row>
    <row r="818" s="1" customFormat="1" ht="56.25" outlineLevel="1" spans="1:13">
      <c r="A818" s="24">
        <v>8</v>
      </c>
      <c r="B818" s="25" t="s">
        <v>154</v>
      </c>
      <c r="C818" s="25" t="s">
        <v>206</v>
      </c>
      <c r="D818" s="26" t="s">
        <v>42</v>
      </c>
      <c r="E818" s="27">
        <v>2579.57</v>
      </c>
      <c r="F818" s="28">
        <v>0.92</v>
      </c>
      <c r="G818" s="29">
        <v>1.93</v>
      </c>
      <c r="H818" s="29">
        <v>0.85</v>
      </c>
      <c r="I818" s="29">
        <f t="shared" si="61"/>
        <v>0.37</v>
      </c>
      <c r="J818" s="29">
        <f t="shared" si="62"/>
        <v>0.3663</v>
      </c>
      <c r="K818" s="29">
        <f t="shared" si="59"/>
        <v>4.4363</v>
      </c>
      <c r="L818" s="23">
        <f t="shared" si="60"/>
        <v>11443.746391</v>
      </c>
      <c r="M818" s="39" t="s">
        <v>142</v>
      </c>
    </row>
    <row r="819" s="4" customFormat="1" spans="1:13">
      <c r="A819" s="40" t="s">
        <v>465</v>
      </c>
      <c r="B819" s="41" t="s">
        <v>466</v>
      </c>
      <c r="C819" s="41"/>
      <c r="D819" s="40"/>
      <c r="E819" s="40"/>
      <c r="F819" s="40"/>
      <c r="G819" s="23"/>
      <c r="H819" s="42"/>
      <c r="I819" s="42"/>
      <c r="J819" s="42"/>
      <c r="K819" s="42"/>
      <c r="L819" s="44">
        <f>SUM(L709:L818)</f>
        <v>488381.3684497</v>
      </c>
      <c r="M819" s="45"/>
    </row>
    <row r="820" s="1" customFormat="1" outlineLevel="1" spans="1:13">
      <c r="A820" s="20" t="s">
        <v>38</v>
      </c>
      <c r="B820" s="21" t="s">
        <v>467</v>
      </c>
      <c r="C820" s="21"/>
      <c r="D820" s="22"/>
      <c r="E820" s="22"/>
      <c r="F820" s="20"/>
      <c r="G820" s="23"/>
      <c r="H820" s="23"/>
      <c r="I820" s="29">
        <f t="shared" si="61"/>
        <v>0</v>
      </c>
      <c r="J820" s="29">
        <f t="shared" si="62"/>
        <v>0</v>
      </c>
      <c r="K820" s="29"/>
      <c r="L820" s="23"/>
      <c r="M820" s="38"/>
    </row>
    <row r="821" s="1" customFormat="1" ht="78.75" outlineLevel="1" spans="1:13">
      <c r="A821" s="24">
        <v>1</v>
      </c>
      <c r="B821" s="25" t="s">
        <v>40</v>
      </c>
      <c r="C821" s="25" t="s">
        <v>41</v>
      </c>
      <c r="D821" s="26" t="s">
        <v>42</v>
      </c>
      <c r="E821" s="27">
        <v>222.8</v>
      </c>
      <c r="F821" s="28">
        <v>29.46</v>
      </c>
      <c r="G821" s="29">
        <f>46.5+10</f>
        <v>56.5</v>
      </c>
      <c r="H821" s="29">
        <v>1.31</v>
      </c>
      <c r="I821" s="29">
        <f t="shared" si="61"/>
        <v>8.727</v>
      </c>
      <c r="J821" s="29">
        <f t="shared" si="62"/>
        <v>8.63973</v>
      </c>
      <c r="K821" s="29">
        <f t="shared" si="59"/>
        <v>104.63673</v>
      </c>
      <c r="L821" s="23">
        <f t="shared" si="60"/>
        <v>23313.063444</v>
      </c>
      <c r="M821" s="39" t="s">
        <v>43</v>
      </c>
    </row>
    <row r="822" s="1" customFormat="1" ht="78.75" outlineLevel="1" spans="1:13">
      <c r="A822" s="24">
        <v>2</v>
      </c>
      <c r="B822" s="25" t="s">
        <v>40</v>
      </c>
      <c r="C822" s="25" t="s">
        <v>44</v>
      </c>
      <c r="D822" s="26" t="s">
        <v>42</v>
      </c>
      <c r="E822" s="27">
        <v>39.25</v>
      </c>
      <c r="F822" s="28">
        <v>24.65</v>
      </c>
      <c r="G822" s="29">
        <f>30.67+10</f>
        <v>40.67</v>
      </c>
      <c r="H822" s="29">
        <v>1.31</v>
      </c>
      <c r="I822" s="29">
        <f t="shared" si="61"/>
        <v>6.663</v>
      </c>
      <c r="J822" s="29">
        <f t="shared" si="62"/>
        <v>6.59637</v>
      </c>
      <c r="K822" s="29">
        <f t="shared" si="59"/>
        <v>79.88937</v>
      </c>
      <c r="L822" s="23">
        <f t="shared" si="60"/>
        <v>3135.6577725</v>
      </c>
      <c r="M822" s="39" t="s">
        <v>43</v>
      </c>
    </row>
    <row r="823" s="1" customFormat="1" ht="56.25" outlineLevel="1" spans="1:13">
      <c r="A823" s="24">
        <v>3</v>
      </c>
      <c r="B823" s="25" t="s">
        <v>45</v>
      </c>
      <c r="C823" s="25" t="s">
        <v>210</v>
      </c>
      <c r="D823" s="26" t="s">
        <v>47</v>
      </c>
      <c r="E823" s="27">
        <v>136.4</v>
      </c>
      <c r="F823" s="28">
        <v>12.5</v>
      </c>
      <c r="G823" s="29">
        <v>3.92</v>
      </c>
      <c r="H823" s="29">
        <v>4.5</v>
      </c>
      <c r="I823" s="29">
        <f t="shared" si="61"/>
        <v>2.092</v>
      </c>
      <c r="J823" s="29">
        <f t="shared" si="62"/>
        <v>2.07108</v>
      </c>
      <c r="K823" s="29">
        <f t="shared" si="59"/>
        <v>25.08308</v>
      </c>
      <c r="L823" s="23">
        <f t="shared" si="60"/>
        <v>3421.332112</v>
      </c>
      <c r="M823" s="39" t="s">
        <v>48</v>
      </c>
    </row>
    <row r="824" s="1" customFormat="1" ht="78.75" outlineLevel="1" spans="1:13">
      <c r="A824" s="24">
        <v>4</v>
      </c>
      <c r="B824" s="25" t="s">
        <v>49</v>
      </c>
      <c r="C824" s="25" t="s">
        <v>214</v>
      </c>
      <c r="D824" s="26" t="s">
        <v>51</v>
      </c>
      <c r="E824" s="27">
        <v>36</v>
      </c>
      <c r="F824" s="24">
        <v>75.07</v>
      </c>
      <c r="G824" s="29">
        <v>510</v>
      </c>
      <c r="H824" s="29">
        <v>3.63</v>
      </c>
      <c r="I824" s="29">
        <f t="shared" si="61"/>
        <v>58.87</v>
      </c>
      <c r="J824" s="29">
        <f t="shared" si="62"/>
        <v>58.2813</v>
      </c>
      <c r="K824" s="29">
        <f t="shared" si="59"/>
        <v>705.8513</v>
      </c>
      <c r="L824" s="23">
        <f t="shared" si="60"/>
        <v>25410.6468</v>
      </c>
      <c r="M824" s="39" t="s">
        <v>52</v>
      </c>
    </row>
    <row r="825" s="1" customFormat="1" ht="67.5" outlineLevel="1" spans="1:13">
      <c r="A825" s="24">
        <v>5</v>
      </c>
      <c r="B825" s="25" t="s">
        <v>49</v>
      </c>
      <c r="C825" s="25" t="s">
        <v>216</v>
      </c>
      <c r="D825" s="26" t="s">
        <v>51</v>
      </c>
      <c r="E825" s="27">
        <v>1</v>
      </c>
      <c r="F825" s="24">
        <v>75.07</v>
      </c>
      <c r="G825" s="29">
        <v>375</v>
      </c>
      <c r="H825" s="29">
        <v>3.63</v>
      </c>
      <c r="I825" s="29">
        <f t="shared" si="61"/>
        <v>45.37</v>
      </c>
      <c r="J825" s="29">
        <f t="shared" si="62"/>
        <v>44.9163</v>
      </c>
      <c r="K825" s="29">
        <f t="shared" si="59"/>
        <v>543.9863</v>
      </c>
      <c r="L825" s="23">
        <f t="shared" si="60"/>
        <v>543.9863</v>
      </c>
      <c r="M825" s="39" t="s">
        <v>52</v>
      </c>
    </row>
    <row r="826" s="1" customFormat="1" ht="45" outlineLevel="1" spans="1:13">
      <c r="A826" s="24">
        <v>6</v>
      </c>
      <c r="B826" s="25" t="s">
        <v>54</v>
      </c>
      <c r="C826" s="25" t="s">
        <v>217</v>
      </c>
      <c r="D826" s="26" t="s">
        <v>56</v>
      </c>
      <c r="E826" s="27">
        <v>72</v>
      </c>
      <c r="F826" s="24">
        <v>1.96</v>
      </c>
      <c r="G826" s="29">
        <v>21</v>
      </c>
      <c r="H826" s="29">
        <v>0.5</v>
      </c>
      <c r="I826" s="29">
        <f t="shared" si="61"/>
        <v>2.346</v>
      </c>
      <c r="J826" s="29">
        <f t="shared" si="62"/>
        <v>2.32254</v>
      </c>
      <c r="K826" s="29">
        <f t="shared" si="59"/>
        <v>28.12854</v>
      </c>
      <c r="L826" s="23">
        <f t="shared" si="60"/>
        <v>2025.25488</v>
      </c>
      <c r="M826" s="39" t="s">
        <v>57</v>
      </c>
    </row>
    <row r="827" s="1" customFormat="1" ht="45" outlineLevel="1" spans="1:13">
      <c r="A827" s="24">
        <v>7</v>
      </c>
      <c r="B827" s="25" t="s">
        <v>54</v>
      </c>
      <c r="C827" s="25" t="s">
        <v>218</v>
      </c>
      <c r="D827" s="26" t="s">
        <v>56</v>
      </c>
      <c r="E827" s="27">
        <v>8</v>
      </c>
      <c r="F827" s="24">
        <v>1.96</v>
      </c>
      <c r="G827" s="29">
        <v>35</v>
      </c>
      <c r="H827" s="29">
        <v>0.5</v>
      </c>
      <c r="I827" s="29">
        <f t="shared" si="61"/>
        <v>3.746</v>
      </c>
      <c r="J827" s="29">
        <f t="shared" si="62"/>
        <v>3.70854</v>
      </c>
      <c r="K827" s="29">
        <f t="shared" si="59"/>
        <v>44.91454</v>
      </c>
      <c r="L827" s="23">
        <f t="shared" si="60"/>
        <v>359.31632</v>
      </c>
      <c r="M827" s="39" t="s">
        <v>57</v>
      </c>
    </row>
    <row r="828" s="1" customFormat="1" ht="33.75" outlineLevel="1" spans="1:13">
      <c r="A828" s="24">
        <v>8</v>
      </c>
      <c r="B828" s="25" t="s">
        <v>219</v>
      </c>
      <c r="C828" s="25" t="s">
        <v>220</v>
      </c>
      <c r="D828" s="26" t="s">
        <v>60</v>
      </c>
      <c r="E828" s="27">
        <v>4</v>
      </c>
      <c r="F828" s="24">
        <v>1.96</v>
      </c>
      <c r="G828" s="29">
        <v>38</v>
      </c>
      <c r="H828" s="29">
        <v>0.5</v>
      </c>
      <c r="I828" s="29">
        <f t="shared" si="61"/>
        <v>4.046</v>
      </c>
      <c r="J828" s="29">
        <f t="shared" si="62"/>
        <v>4.00554</v>
      </c>
      <c r="K828" s="29">
        <f t="shared" si="59"/>
        <v>48.51154</v>
      </c>
      <c r="L828" s="23">
        <f t="shared" si="60"/>
        <v>194.04616</v>
      </c>
      <c r="M828" s="39" t="s">
        <v>57</v>
      </c>
    </row>
    <row r="829" s="1" customFormat="1" ht="33.75" outlineLevel="1" spans="1:13">
      <c r="A829" s="24">
        <v>9</v>
      </c>
      <c r="B829" s="25" t="s">
        <v>58</v>
      </c>
      <c r="C829" s="25" t="s">
        <v>59</v>
      </c>
      <c r="D829" s="26" t="s">
        <v>60</v>
      </c>
      <c r="E829" s="27">
        <v>2</v>
      </c>
      <c r="F829" s="24">
        <v>79.59</v>
      </c>
      <c r="G829" s="24">
        <v>60</v>
      </c>
      <c r="H829" s="29">
        <v>18.2</v>
      </c>
      <c r="I829" s="29">
        <f t="shared" si="61"/>
        <v>15.779</v>
      </c>
      <c r="J829" s="29">
        <f t="shared" si="62"/>
        <v>15.62121</v>
      </c>
      <c r="K829" s="29">
        <f t="shared" si="59"/>
        <v>189.19021</v>
      </c>
      <c r="L829" s="29">
        <f t="shared" si="60"/>
        <v>378.38042</v>
      </c>
      <c r="M829" s="39" t="s">
        <v>61</v>
      </c>
    </row>
    <row r="830" s="1" customFormat="1" ht="33.75" outlineLevel="1" spans="1:13">
      <c r="A830" s="24">
        <v>10</v>
      </c>
      <c r="B830" s="25" t="s">
        <v>58</v>
      </c>
      <c r="C830" s="25" t="s">
        <v>254</v>
      </c>
      <c r="D830" s="26" t="s">
        <v>60</v>
      </c>
      <c r="E830" s="27">
        <v>1</v>
      </c>
      <c r="F830" s="28">
        <v>24.65</v>
      </c>
      <c r="G830" s="24">
        <v>45</v>
      </c>
      <c r="H830" s="29">
        <v>21.86</v>
      </c>
      <c r="I830" s="29">
        <f t="shared" si="61"/>
        <v>9.151</v>
      </c>
      <c r="J830" s="29">
        <f t="shared" si="62"/>
        <v>9.05949</v>
      </c>
      <c r="K830" s="29">
        <f t="shared" si="59"/>
        <v>109.72049</v>
      </c>
      <c r="L830" s="29">
        <f t="shared" si="60"/>
        <v>109.72049</v>
      </c>
      <c r="M830" s="39" t="s">
        <v>61</v>
      </c>
    </row>
    <row r="831" s="1" customFormat="1" ht="33.75" outlineLevel="1" spans="1:13">
      <c r="A831" s="24">
        <v>11</v>
      </c>
      <c r="B831" s="25" t="s">
        <v>62</v>
      </c>
      <c r="C831" s="25" t="s">
        <v>63</v>
      </c>
      <c r="D831" s="26" t="s">
        <v>64</v>
      </c>
      <c r="E831" s="27">
        <f>E829</f>
        <v>2</v>
      </c>
      <c r="F831" s="24">
        <v>65.22</v>
      </c>
      <c r="G831" s="24">
        <v>15</v>
      </c>
      <c r="H831" s="29">
        <v>36.25</v>
      </c>
      <c r="I831" s="29">
        <f t="shared" si="61"/>
        <v>11.647</v>
      </c>
      <c r="J831" s="29">
        <f t="shared" si="62"/>
        <v>11.53053</v>
      </c>
      <c r="K831" s="29">
        <f t="shared" si="59"/>
        <v>139.64753</v>
      </c>
      <c r="L831" s="23">
        <f t="shared" si="60"/>
        <v>279.29506</v>
      </c>
      <c r="M831" s="39" t="s">
        <v>61</v>
      </c>
    </row>
    <row r="832" s="1" customFormat="1" ht="33.75" outlineLevel="1" spans="1:13">
      <c r="A832" s="24">
        <v>12</v>
      </c>
      <c r="B832" s="25" t="s">
        <v>62</v>
      </c>
      <c r="C832" s="25" t="s">
        <v>255</v>
      </c>
      <c r="D832" s="26" t="s">
        <v>64</v>
      </c>
      <c r="E832" s="27">
        <v>1</v>
      </c>
      <c r="F832" s="24">
        <v>32.63</v>
      </c>
      <c r="G832" s="24">
        <v>12</v>
      </c>
      <c r="H832" s="29">
        <v>13.65</v>
      </c>
      <c r="I832" s="29">
        <f t="shared" si="61"/>
        <v>5.828</v>
      </c>
      <c r="J832" s="29">
        <f t="shared" si="62"/>
        <v>5.76972</v>
      </c>
      <c r="K832" s="29">
        <f t="shared" si="59"/>
        <v>69.87772</v>
      </c>
      <c r="L832" s="23">
        <f t="shared" si="60"/>
        <v>69.87772</v>
      </c>
      <c r="M832" s="39" t="s">
        <v>61</v>
      </c>
    </row>
    <row r="833" s="1" customFormat="1" ht="45" outlineLevel="1" spans="1:13">
      <c r="A833" s="24">
        <v>13</v>
      </c>
      <c r="B833" s="25" t="s">
        <v>65</v>
      </c>
      <c r="C833" s="25" t="s">
        <v>66</v>
      </c>
      <c r="D833" s="26" t="s">
        <v>60</v>
      </c>
      <c r="E833" s="27">
        <v>2</v>
      </c>
      <c r="F833" s="24">
        <v>19.59</v>
      </c>
      <c r="G833" s="24">
        <v>15</v>
      </c>
      <c r="H833" s="29">
        <v>5.54</v>
      </c>
      <c r="I833" s="29">
        <f t="shared" si="61"/>
        <v>4.013</v>
      </c>
      <c r="J833" s="29">
        <f t="shared" si="62"/>
        <v>3.97287</v>
      </c>
      <c r="K833" s="29">
        <f t="shared" si="59"/>
        <v>48.11587</v>
      </c>
      <c r="L833" s="23">
        <f t="shared" si="60"/>
        <v>96.23174</v>
      </c>
      <c r="M833" s="39" t="s">
        <v>61</v>
      </c>
    </row>
    <row r="834" s="1" customFormat="1" ht="45" outlineLevel="1" spans="1:13">
      <c r="A834" s="24">
        <v>14</v>
      </c>
      <c r="B834" s="25" t="s">
        <v>67</v>
      </c>
      <c r="C834" s="25" t="s">
        <v>68</v>
      </c>
      <c r="D834" s="26" t="s">
        <v>60</v>
      </c>
      <c r="E834" s="27">
        <v>2</v>
      </c>
      <c r="F834" s="28">
        <v>14.37</v>
      </c>
      <c r="G834" s="28">
        <v>25</v>
      </c>
      <c r="H834" s="29">
        <v>6.4</v>
      </c>
      <c r="I834" s="29">
        <f t="shared" si="61"/>
        <v>4.577</v>
      </c>
      <c r="J834" s="29">
        <f t="shared" si="62"/>
        <v>4.53123</v>
      </c>
      <c r="K834" s="29">
        <f t="shared" si="59"/>
        <v>54.87823</v>
      </c>
      <c r="L834" s="23">
        <f t="shared" si="60"/>
        <v>109.75646</v>
      </c>
      <c r="M834" s="39" t="s">
        <v>61</v>
      </c>
    </row>
    <row r="835" s="1" customFormat="1" ht="45" outlineLevel="1" spans="1:13">
      <c r="A835" s="24">
        <v>15</v>
      </c>
      <c r="B835" s="25" t="s">
        <v>69</v>
      </c>
      <c r="C835" s="25" t="s">
        <v>70</v>
      </c>
      <c r="D835" s="26" t="s">
        <v>71</v>
      </c>
      <c r="E835" s="27">
        <v>1</v>
      </c>
      <c r="F835" s="28">
        <v>285</v>
      </c>
      <c r="G835" s="29">
        <v>125</v>
      </c>
      <c r="H835" s="29">
        <v>68.5</v>
      </c>
      <c r="I835" s="29">
        <f t="shared" si="61"/>
        <v>47.85</v>
      </c>
      <c r="J835" s="29">
        <f t="shared" si="62"/>
        <v>47.3715</v>
      </c>
      <c r="K835" s="29">
        <f t="shared" si="59"/>
        <v>573.7215</v>
      </c>
      <c r="L835" s="23">
        <f t="shared" si="60"/>
        <v>573.7215</v>
      </c>
      <c r="M835" s="39"/>
    </row>
    <row r="836" s="1" customFormat="1" outlineLevel="1" spans="1:13">
      <c r="A836" s="24">
        <v>16</v>
      </c>
      <c r="B836" s="25" t="s">
        <v>72</v>
      </c>
      <c r="C836" s="25" t="s">
        <v>73</v>
      </c>
      <c r="D836" s="26" t="s">
        <v>71</v>
      </c>
      <c r="E836" s="27">
        <v>1</v>
      </c>
      <c r="F836" s="24">
        <v>366.15</v>
      </c>
      <c r="G836" s="29">
        <v>0</v>
      </c>
      <c r="H836" s="29">
        <v>185</v>
      </c>
      <c r="I836" s="29">
        <f t="shared" si="61"/>
        <v>55.115</v>
      </c>
      <c r="J836" s="29">
        <f t="shared" si="62"/>
        <v>54.56385</v>
      </c>
      <c r="K836" s="29">
        <f t="shared" si="59"/>
        <v>660.82885</v>
      </c>
      <c r="L836" s="23">
        <f t="shared" si="60"/>
        <v>660.82885</v>
      </c>
      <c r="M836" s="39"/>
    </row>
    <row r="837" s="1" customFormat="1" outlineLevel="1" spans="1:13">
      <c r="A837" s="20" t="s">
        <v>74</v>
      </c>
      <c r="B837" s="21" t="s">
        <v>468</v>
      </c>
      <c r="C837" s="21"/>
      <c r="D837" s="22"/>
      <c r="E837" s="22"/>
      <c r="F837" s="20"/>
      <c r="G837" s="23"/>
      <c r="H837" s="29"/>
      <c r="I837" s="29">
        <f t="shared" si="61"/>
        <v>0</v>
      </c>
      <c r="J837" s="29">
        <f t="shared" si="62"/>
        <v>0</v>
      </c>
      <c r="K837" s="29">
        <f t="shared" si="59"/>
        <v>0</v>
      </c>
      <c r="L837" s="23">
        <f t="shared" si="60"/>
        <v>0</v>
      </c>
      <c r="M837" s="38"/>
    </row>
    <row r="838" s="1" customFormat="1" ht="101.25" outlineLevel="1" spans="1:13">
      <c r="A838" s="24">
        <v>1</v>
      </c>
      <c r="B838" s="25" t="s">
        <v>320</v>
      </c>
      <c r="C838" s="25" t="s">
        <v>321</v>
      </c>
      <c r="D838" s="26" t="s">
        <v>103</v>
      </c>
      <c r="E838" s="26">
        <v>2</v>
      </c>
      <c r="F838" s="24">
        <v>928.1</v>
      </c>
      <c r="G838" s="24">
        <v>4853</v>
      </c>
      <c r="H838" s="29">
        <v>193.9</v>
      </c>
      <c r="I838" s="29">
        <f t="shared" si="61"/>
        <v>597.5</v>
      </c>
      <c r="J838" s="29">
        <f t="shared" si="62"/>
        <v>591.525</v>
      </c>
      <c r="K838" s="29">
        <f t="shared" ref="K838:K901" si="63">F838+G838+H838+I838+J838</f>
        <v>7164.025</v>
      </c>
      <c r="L838" s="23">
        <f t="shared" ref="L838:L901" si="64">K838*E838</f>
        <v>14328.05</v>
      </c>
      <c r="M838" s="39" t="s">
        <v>104</v>
      </c>
    </row>
    <row r="839" s="1" customFormat="1" ht="101.25" outlineLevel="1" spans="1:13">
      <c r="A839" s="24">
        <v>2</v>
      </c>
      <c r="B839" s="25" t="s">
        <v>320</v>
      </c>
      <c r="C839" s="25" t="s">
        <v>322</v>
      </c>
      <c r="D839" s="26" t="s">
        <v>103</v>
      </c>
      <c r="E839" s="26">
        <v>2</v>
      </c>
      <c r="F839" s="24">
        <v>928.1</v>
      </c>
      <c r="G839" s="24">
        <v>5217</v>
      </c>
      <c r="H839" s="29">
        <v>193.9</v>
      </c>
      <c r="I839" s="29">
        <f t="shared" si="61"/>
        <v>633.9</v>
      </c>
      <c r="J839" s="29">
        <f t="shared" si="62"/>
        <v>627.561</v>
      </c>
      <c r="K839" s="29">
        <f t="shared" si="63"/>
        <v>7600.461</v>
      </c>
      <c r="L839" s="23">
        <f t="shared" si="64"/>
        <v>15200.922</v>
      </c>
      <c r="M839" s="39" t="s">
        <v>104</v>
      </c>
    </row>
    <row r="840" s="1" customFormat="1" ht="90" outlineLevel="1" spans="1:13">
      <c r="A840" s="24">
        <v>3</v>
      </c>
      <c r="B840" s="25" t="s">
        <v>323</v>
      </c>
      <c r="C840" s="25" t="s">
        <v>324</v>
      </c>
      <c r="D840" s="26" t="s">
        <v>103</v>
      </c>
      <c r="E840" s="26">
        <v>3</v>
      </c>
      <c r="F840" s="20">
        <v>14.75</v>
      </c>
      <c r="G840" s="20">
        <v>110</v>
      </c>
      <c r="H840" s="29">
        <v>1.2</v>
      </c>
      <c r="I840" s="29">
        <f t="shared" si="61"/>
        <v>12.595</v>
      </c>
      <c r="J840" s="29">
        <f t="shared" si="62"/>
        <v>12.46905</v>
      </c>
      <c r="K840" s="29">
        <f t="shared" si="63"/>
        <v>151.01405</v>
      </c>
      <c r="L840" s="23">
        <f t="shared" si="64"/>
        <v>453.04215</v>
      </c>
      <c r="M840" s="39" t="s">
        <v>325</v>
      </c>
    </row>
    <row r="841" s="1" customFormat="1" ht="90" outlineLevel="1" spans="1:13">
      <c r="A841" s="24">
        <v>4</v>
      </c>
      <c r="B841" s="25" t="s">
        <v>326</v>
      </c>
      <c r="C841" s="25" t="s">
        <v>327</v>
      </c>
      <c r="D841" s="26" t="s">
        <v>103</v>
      </c>
      <c r="E841" s="26">
        <v>4</v>
      </c>
      <c r="F841" s="24">
        <v>14.75</v>
      </c>
      <c r="G841" s="24">
        <v>509</v>
      </c>
      <c r="H841" s="29">
        <v>1.2</v>
      </c>
      <c r="I841" s="29">
        <f t="shared" si="61"/>
        <v>52.495</v>
      </c>
      <c r="J841" s="29">
        <f t="shared" si="62"/>
        <v>51.97005</v>
      </c>
      <c r="K841" s="29">
        <f t="shared" si="63"/>
        <v>629.41505</v>
      </c>
      <c r="L841" s="23">
        <f t="shared" si="64"/>
        <v>2517.6602</v>
      </c>
      <c r="M841" s="39" t="s">
        <v>104</v>
      </c>
    </row>
    <row r="842" s="1" customFormat="1" ht="45" outlineLevel="1" spans="1:13">
      <c r="A842" s="24">
        <v>5</v>
      </c>
      <c r="B842" s="30" t="s">
        <v>114</v>
      </c>
      <c r="C842" s="30" t="s">
        <v>115</v>
      </c>
      <c r="D842" s="31" t="s">
        <v>116</v>
      </c>
      <c r="E842" s="26">
        <v>4.27</v>
      </c>
      <c r="F842" s="24">
        <v>53.22</v>
      </c>
      <c r="G842" s="24">
        <v>132</v>
      </c>
      <c r="H842" s="29">
        <v>24.2</v>
      </c>
      <c r="I842" s="29">
        <f t="shared" si="61"/>
        <v>20.942</v>
      </c>
      <c r="J842" s="29">
        <f t="shared" si="62"/>
        <v>20.73258</v>
      </c>
      <c r="K842" s="29">
        <f t="shared" si="63"/>
        <v>251.09458</v>
      </c>
      <c r="L842" s="23">
        <f t="shared" si="64"/>
        <v>1072.1738566</v>
      </c>
      <c r="M842" s="39"/>
    </row>
    <row r="843" s="1" customFormat="1" ht="112.5" outlineLevel="1" spans="1:13">
      <c r="A843" s="24">
        <v>6</v>
      </c>
      <c r="B843" s="30" t="s">
        <v>117</v>
      </c>
      <c r="C843" s="30" t="s">
        <v>118</v>
      </c>
      <c r="D843" s="31" t="s">
        <v>116</v>
      </c>
      <c r="E843" s="26">
        <v>4.13</v>
      </c>
      <c r="F843" s="24">
        <v>69.69</v>
      </c>
      <c r="G843" s="24">
        <v>36.9</v>
      </c>
      <c r="H843" s="29">
        <v>16.68</v>
      </c>
      <c r="I843" s="29">
        <f t="shared" si="61"/>
        <v>12.327</v>
      </c>
      <c r="J843" s="29">
        <f t="shared" si="62"/>
        <v>12.20373</v>
      </c>
      <c r="K843" s="29">
        <f t="shared" si="63"/>
        <v>147.80073</v>
      </c>
      <c r="L843" s="23">
        <f t="shared" si="64"/>
        <v>610.4170149</v>
      </c>
      <c r="M843" s="39" t="s">
        <v>119</v>
      </c>
    </row>
    <row r="844" s="1" customFormat="1" ht="112.5" outlineLevel="1" spans="1:13">
      <c r="A844" s="24">
        <v>7</v>
      </c>
      <c r="B844" s="30" t="s">
        <v>117</v>
      </c>
      <c r="C844" s="30" t="s">
        <v>260</v>
      </c>
      <c r="D844" s="31" t="s">
        <v>116</v>
      </c>
      <c r="E844" s="26">
        <v>28.69</v>
      </c>
      <c r="F844" s="24">
        <v>69.69</v>
      </c>
      <c r="G844" s="24">
        <v>42.15</v>
      </c>
      <c r="H844" s="29">
        <v>16.68</v>
      </c>
      <c r="I844" s="29">
        <f t="shared" si="61"/>
        <v>12.852</v>
      </c>
      <c r="J844" s="29">
        <f t="shared" si="62"/>
        <v>12.72348</v>
      </c>
      <c r="K844" s="29">
        <f t="shared" si="63"/>
        <v>154.09548</v>
      </c>
      <c r="L844" s="23">
        <f t="shared" si="64"/>
        <v>4420.9993212</v>
      </c>
      <c r="M844" s="39" t="s">
        <v>119</v>
      </c>
    </row>
    <row r="845" s="1" customFormat="1" ht="112.5" outlineLevel="1" spans="1:13">
      <c r="A845" s="24">
        <v>8</v>
      </c>
      <c r="B845" s="30" t="s">
        <v>117</v>
      </c>
      <c r="C845" s="30" t="s">
        <v>120</v>
      </c>
      <c r="D845" s="31" t="s">
        <v>116</v>
      </c>
      <c r="E845" s="26">
        <v>156.58</v>
      </c>
      <c r="F845" s="24">
        <v>44.05</v>
      </c>
      <c r="G845" s="24">
        <v>42.15</v>
      </c>
      <c r="H845" s="29">
        <v>17.18</v>
      </c>
      <c r="I845" s="29">
        <f t="shared" si="61"/>
        <v>10.338</v>
      </c>
      <c r="J845" s="29">
        <f t="shared" si="62"/>
        <v>10.23462</v>
      </c>
      <c r="K845" s="29">
        <f t="shared" si="63"/>
        <v>123.95262</v>
      </c>
      <c r="L845" s="23">
        <f t="shared" si="64"/>
        <v>19408.5012396</v>
      </c>
      <c r="M845" s="39" t="s">
        <v>119</v>
      </c>
    </row>
    <row r="846" s="1" customFormat="1" ht="112.5" outlineLevel="1" spans="1:13">
      <c r="A846" s="24">
        <v>9</v>
      </c>
      <c r="B846" s="30" t="s">
        <v>117</v>
      </c>
      <c r="C846" s="30" t="s">
        <v>261</v>
      </c>
      <c r="D846" s="31" t="s">
        <v>116</v>
      </c>
      <c r="E846" s="26">
        <v>6.91</v>
      </c>
      <c r="F846" s="24">
        <v>46.43</v>
      </c>
      <c r="G846" s="24">
        <v>44</v>
      </c>
      <c r="H846" s="29">
        <v>18.9</v>
      </c>
      <c r="I846" s="29">
        <f t="shared" si="61"/>
        <v>10.933</v>
      </c>
      <c r="J846" s="29">
        <f t="shared" si="62"/>
        <v>10.82367</v>
      </c>
      <c r="K846" s="29">
        <f t="shared" si="63"/>
        <v>131.08667</v>
      </c>
      <c r="L846" s="23">
        <f t="shared" si="64"/>
        <v>905.8088897</v>
      </c>
      <c r="M846" s="39" t="s">
        <v>119</v>
      </c>
    </row>
    <row r="847" s="1" customFormat="1" ht="112.5" outlineLevel="1" spans="1:13">
      <c r="A847" s="24">
        <v>10</v>
      </c>
      <c r="B847" s="30" t="s">
        <v>117</v>
      </c>
      <c r="C847" s="30" t="s">
        <v>262</v>
      </c>
      <c r="D847" s="31" t="s">
        <v>116</v>
      </c>
      <c r="E847" s="26">
        <v>287.23</v>
      </c>
      <c r="F847" s="24">
        <v>44.05</v>
      </c>
      <c r="G847" s="24">
        <v>42.15</v>
      </c>
      <c r="H847" s="29">
        <v>17.18</v>
      </c>
      <c r="I847" s="29">
        <f t="shared" si="61"/>
        <v>10.338</v>
      </c>
      <c r="J847" s="29">
        <f t="shared" si="62"/>
        <v>10.23462</v>
      </c>
      <c r="K847" s="29">
        <f t="shared" si="63"/>
        <v>123.95262</v>
      </c>
      <c r="L847" s="23">
        <f t="shared" si="64"/>
        <v>35602.9110426</v>
      </c>
      <c r="M847" s="39" t="s">
        <v>119</v>
      </c>
    </row>
    <row r="848" s="1" customFormat="1" ht="112.5" outlineLevel="1" spans="1:13">
      <c r="A848" s="24">
        <v>11</v>
      </c>
      <c r="B848" s="30" t="s">
        <v>117</v>
      </c>
      <c r="C848" s="30" t="s">
        <v>328</v>
      </c>
      <c r="D848" s="31" t="s">
        <v>116</v>
      </c>
      <c r="E848" s="26">
        <v>336.6</v>
      </c>
      <c r="F848" s="24">
        <v>45.63</v>
      </c>
      <c r="G848" s="24">
        <v>44</v>
      </c>
      <c r="H848" s="29">
        <v>18.9</v>
      </c>
      <c r="I848" s="29">
        <f t="shared" si="61"/>
        <v>10.853</v>
      </c>
      <c r="J848" s="29">
        <f t="shared" si="62"/>
        <v>10.74447</v>
      </c>
      <c r="K848" s="29">
        <f t="shared" si="63"/>
        <v>130.12747</v>
      </c>
      <c r="L848" s="23">
        <f t="shared" si="64"/>
        <v>43800.906402</v>
      </c>
      <c r="M848" s="39" t="s">
        <v>119</v>
      </c>
    </row>
    <row r="849" s="1" customFormat="1" ht="45" outlineLevel="1" spans="1:13">
      <c r="A849" s="24">
        <v>12</v>
      </c>
      <c r="B849" s="25" t="s">
        <v>329</v>
      </c>
      <c r="C849" s="25" t="s">
        <v>404</v>
      </c>
      <c r="D849" s="26" t="s">
        <v>60</v>
      </c>
      <c r="E849" s="26">
        <v>1</v>
      </c>
      <c r="F849" s="20">
        <v>327.64</v>
      </c>
      <c r="G849" s="20">
        <v>529</v>
      </c>
      <c r="H849" s="29">
        <v>165.2</v>
      </c>
      <c r="I849" s="29">
        <f t="shared" si="61"/>
        <v>102.184</v>
      </c>
      <c r="J849" s="29">
        <f t="shared" si="62"/>
        <v>101.16216</v>
      </c>
      <c r="K849" s="29">
        <f t="shared" si="63"/>
        <v>1225.18616</v>
      </c>
      <c r="L849" s="23">
        <f t="shared" si="64"/>
        <v>1225.18616</v>
      </c>
      <c r="M849" s="38"/>
    </row>
    <row r="850" s="1" customFormat="1" ht="45" outlineLevel="1" spans="1:13">
      <c r="A850" s="24">
        <v>13</v>
      </c>
      <c r="B850" s="25" t="s">
        <v>329</v>
      </c>
      <c r="C850" s="25" t="s">
        <v>405</v>
      </c>
      <c r="D850" s="26" t="s">
        <v>60</v>
      </c>
      <c r="E850" s="26">
        <v>1</v>
      </c>
      <c r="F850" s="20">
        <v>327.64</v>
      </c>
      <c r="G850" s="20">
        <v>807</v>
      </c>
      <c r="H850" s="29">
        <v>165.2</v>
      </c>
      <c r="I850" s="29">
        <f t="shared" si="61"/>
        <v>129.984</v>
      </c>
      <c r="J850" s="29">
        <f t="shared" si="62"/>
        <v>128.68416</v>
      </c>
      <c r="K850" s="29">
        <f t="shared" si="63"/>
        <v>1558.50816</v>
      </c>
      <c r="L850" s="23">
        <f t="shared" si="64"/>
        <v>1558.50816</v>
      </c>
      <c r="M850" s="38"/>
    </row>
    <row r="851" s="1" customFormat="1" ht="56.25" outlineLevel="1" spans="1:13">
      <c r="A851" s="24">
        <v>14</v>
      </c>
      <c r="B851" s="25" t="s">
        <v>123</v>
      </c>
      <c r="C851" s="25" t="s">
        <v>377</v>
      </c>
      <c r="D851" s="26" t="s">
        <v>60</v>
      </c>
      <c r="E851" s="26">
        <v>2</v>
      </c>
      <c r="F851" s="24">
        <v>51.2</v>
      </c>
      <c r="G851" s="24">
        <v>400</v>
      </c>
      <c r="H851" s="29">
        <v>7.42</v>
      </c>
      <c r="I851" s="29">
        <f t="shared" si="61"/>
        <v>45.862</v>
      </c>
      <c r="J851" s="29">
        <f t="shared" si="62"/>
        <v>45.40338</v>
      </c>
      <c r="K851" s="29">
        <f t="shared" si="63"/>
        <v>549.88538</v>
      </c>
      <c r="L851" s="23">
        <f t="shared" si="64"/>
        <v>1099.77076</v>
      </c>
      <c r="M851" s="39" t="s">
        <v>104</v>
      </c>
    </row>
    <row r="852" s="1" customFormat="1" ht="45" outlineLevel="1" spans="1:13">
      <c r="A852" s="24">
        <v>15</v>
      </c>
      <c r="B852" s="25" t="s">
        <v>123</v>
      </c>
      <c r="C852" s="25" t="s">
        <v>378</v>
      </c>
      <c r="D852" s="26" t="s">
        <v>60</v>
      </c>
      <c r="E852" s="26">
        <v>36</v>
      </c>
      <c r="F852" s="24">
        <v>51.2</v>
      </c>
      <c r="G852" s="24">
        <v>325</v>
      </c>
      <c r="H852" s="29">
        <v>7.42</v>
      </c>
      <c r="I852" s="29">
        <f t="shared" si="61"/>
        <v>38.362</v>
      </c>
      <c r="J852" s="29">
        <f t="shared" si="62"/>
        <v>37.97838</v>
      </c>
      <c r="K852" s="29">
        <f t="shared" si="63"/>
        <v>459.96038</v>
      </c>
      <c r="L852" s="23">
        <f t="shared" si="64"/>
        <v>16558.57368</v>
      </c>
      <c r="M852" s="39" t="s">
        <v>104</v>
      </c>
    </row>
    <row r="853" s="1" customFormat="1" ht="56.25" outlineLevel="1" spans="1:13">
      <c r="A853" s="24">
        <v>16</v>
      </c>
      <c r="B853" s="25" t="s">
        <v>123</v>
      </c>
      <c r="C853" s="25" t="s">
        <v>406</v>
      </c>
      <c r="D853" s="26" t="s">
        <v>60</v>
      </c>
      <c r="E853" s="26">
        <v>18</v>
      </c>
      <c r="F853" s="24">
        <v>51.2</v>
      </c>
      <c r="G853" s="24">
        <v>119</v>
      </c>
      <c r="H853" s="29">
        <v>7.42</v>
      </c>
      <c r="I853" s="29">
        <f t="shared" si="61"/>
        <v>17.762</v>
      </c>
      <c r="J853" s="29">
        <f t="shared" si="62"/>
        <v>17.58438</v>
      </c>
      <c r="K853" s="29">
        <f t="shared" si="63"/>
        <v>212.96638</v>
      </c>
      <c r="L853" s="23">
        <f t="shared" si="64"/>
        <v>3833.39484</v>
      </c>
      <c r="M853" s="39" t="s">
        <v>104</v>
      </c>
    </row>
    <row r="854" s="1" customFormat="1" ht="45" outlineLevel="1" spans="1:13">
      <c r="A854" s="24">
        <v>17</v>
      </c>
      <c r="B854" s="25" t="s">
        <v>123</v>
      </c>
      <c r="C854" s="25" t="s">
        <v>335</v>
      </c>
      <c r="D854" s="26" t="s">
        <v>60</v>
      </c>
      <c r="E854" s="26">
        <v>4</v>
      </c>
      <c r="F854" s="24">
        <v>51.2</v>
      </c>
      <c r="G854" s="24">
        <v>103</v>
      </c>
      <c r="H854" s="29">
        <v>7.42</v>
      </c>
      <c r="I854" s="29">
        <f t="shared" si="61"/>
        <v>16.162</v>
      </c>
      <c r="J854" s="29">
        <f t="shared" si="62"/>
        <v>16.00038</v>
      </c>
      <c r="K854" s="29">
        <f t="shared" si="63"/>
        <v>193.78238</v>
      </c>
      <c r="L854" s="23">
        <f t="shared" si="64"/>
        <v>775.12952</v>
      </c>
      <c r="M854" s="39" t="s">
        <v>104</v>
      </c>
    </row>
    <row r="855" s="1" customFormat="1" ht="45" outlineLevel="1" spans="1:13">
      <c r="A855" s="24">
        <v>18</v>
      </c>
      <c r="B855" s="25" t="s">
        <v>127</v>
      </c>
      <c r="C855" s="25" t="s">
        <v>381</v>
      </c>
      <c r="D855" s="26" t="s">
        <v>60</v>
      </c>
      <c r="E855" s="26">
        <v>2</v>
      </c>
      <c r="F855" s="24">
        <v>127.67</v>
      </c>
      <c r="G855" s="24">
        <v>107</v>
      </c>
      <c r="H855" s="29">
        <v>19.82</v>
      </c>
      <c r="I855" s="29">
        <f t="shared" si="61"/>
        <v>25.449</v>
      </c>
      <c r="J855" s="29">
        <f t="shared" si="62"/>
        <v>25.19451</v>
      </c>
      <c r="K855" s="29">
        <f t="shared" si="63"/>
        <v>305.13351</v>
      </c>
      <c r="L855" s="23">
        <f t="shared" si="64"/>
        <v>610.26702</v>
      </c>
      <c r="M855" s="39" t="s">
        <v>104</v>
      </c>
    </row>
    <row r="856" s="1" customFormat="1" ht="45" outlineLevel="1" spans="1:13">
      <c r="A856" s="24">
        <v>19</v>
      </c>
      <c r="B856" s="25" t="s">
        <v>127</v>
      </c>
      <c r="C856" s="25" t="s">
        <v>269</v>
      </c>
      <c r="D856" s="26" t="s">
        <v>60</v>
      </c>
      <c r="E856" s="26">
        <v>2</v>
      </c>
      <c r="F856" s="24">
        <v>127.67</v>
      </c>
      <c r="G856" s="24">
        <v>247</v>
      </c>
      <c r="H856" s="29">
        <v>19.82</v>
      </c>
      <c r="I856" s="29">
        <f t="shared" si="61"/>
        <v>39.449</v>
      </c>
      <c r="J856" s="29">
        <f t="shared" si="62"/>
        <v>39.05451</v>
      </c>
      <c r="K856" s="29">
        <f t="shared" si="63"/>
        <v>472.99351</v>
      </c>
      <c r="L856" s="23">
        <f t="shared" si="64"/>
        <v>945.98702</v>
      </c>
      <c r="M856" s="39" t="s">
        <v>104</v>
      </c>
    </row>
    <row r="857" s="1" customFormat="1" ht="45" outlineLevel="1" spans="1:13">
      <c r="A857" s="24">
        <v>20</v>
      </c>
      <c r="B857" s="25" t="s">
        <v>127</v>
      </c>
      <c r="C857" s="25" t="s">
        <v>336</v>
      </c>
      <c r="D857" s="26" t="s">
        <v>60</v>
      </c>
      <c r="E857" s="26">
        <v>2</v>
      </c>
      <c r="F857" s="24">
        <v>127.67</v>
      </c>
      <c r="G857" s="24">
        <v>266</v>
      </c>
      <c r="H857" s="29">
        <v>19.82</v>
      </c>
      <c r="I857" s="29">
        <f t="shared" si="61"/>
        <v>41.349</v>
      </c>
      <c r="J857" s="29">
        <f t="shared" si="62"/>
        <v>40.93551</v>
      </c>
      <c r="K857" s="29">
        <f t="shared" si="63"/>
        <v>495.77451</v>
      </c>
      <c r="L857" s="23">
        <f t="shared" si="64"/>
        <v>991.54902</v>
      </c>
      <c r="M857" s="39" t="s">
        <v>104</v>
      </c>
    </row>
    <row r="858" s="1" customFormat="1" ht="45" outlineLevel="1" spans="1:13">
      <c r="A858" s="24">
        <v>21</v>
      </c>
      <c r="B858" s="25" t="s">
        <v>127</v>
      </c>
      <c r="C858" s="25" t="s">
        <v>383</v>
      </c>
      <c r="D858" s="26" t="s">
        <v>60</v>
      </c>
      <c r="E858" s="26">
        <v>1</v>
      </c>
      <c r="F858" s="24">
        <v>127.67</v>
      </c>
      <c r="G858" s="24">
        <v>283</v>
      </c>
      <c r="H858" s="29">
        <v>19.82</v>
      </c>
      <c r="I858" s="29">
        <f t="shared" si="61"/>
        <v>43.049</v>
      </c>
      <c r="J858" s="29">
        <f t="shared" si="62"/>
        <v>42.61851</v>
      </c>
      <c r="K858" s="29">
        <f t="shared" si="63"/>
        <v>516.15751</v>
      </c>
      <c r="L858" s="23">
        <f t="shared" si="64"/>
        <v>516.15751</v>
      </c>
      <c r="M858" s="39" t="s">
        <v>104</v>
      </c>
    </row>
    <row r="859" s="1" customFormat="1" ht="45" outlineLevel="1" spans="1:13">
      <c r="A859" s="24">
        <v>22</v>
      </c>
      <c r="B859" s="25" t="s">
        <v>127</v>
      </c>
      <c r="C859" s="25" t="s">
        <v>386</v>
      </c>
      <c r="D859" s="26" t="s">
        <v>60</v>
      </c>
      <c r="E859" s="26">
        <v>2</v>
      </c>
      <c r="F859" s="24">
        <v>127.67</v>
      </c>
      <c r="G859" s="24">
        <v>194</v>
      </c>
      <c r="H859" s="29">
        <v>19.82</v>
      </c>
      <c r="I859" s="29">
        <f t="shared" si="61"/>
        <v>34.149</v>
      </c>
      <c r="J859" s="29">
        <f t="shared" si="62"/>
        <v>33.80751</v>
      </c>
      <c r="K859" s="29">
        <f t="shared" si="63"/>
        <v>409.44651</v>
      </c>
      <c r="L859" s="23">
        <f t="shared" si="64"/>
        <v>818.89302</v>
      </c>
      <c r="M859" s="39" t="s">
        <v>104</v>
      </c>
    </row>
    <row r="860" s="1" customFormat="1" ht="45" outlineLevel="1" spans="1:13">
      <c r="A860" s="24">
        <v>23</v>
      </c>
      <c r="B860" s="25" t="s">
        <v>127</v>
      </c>
      <c r="C860" s="25" t="s">
        <v>388</v>
      </c>
      <c r="D860" s="26" t="s">
        <v>60</v>
      </c>
      <c r="E860" s="26">
        <v>5</v>
      </c>
      <c r="F860" s="24">
        <v>127.67</v>
      </c>
      <c r="G860" s="24">
        <v>238</v>
      </c>
      <c r="H860" s="29">
        <v>19.82</v>
      </c>
      <c r="I860" s="29">
        <f t="shared" si="61"/>
        <v>38.549</v>
      </c>
      <c r="J860" s="29">
        <f t="shared" si="62"/>
        <v>38.16351</v>
      </c>
      <c r="K860" s="29">
        <f t="shared" si="63"/>
        <v>462.20251</v>
      </c>
      <c r="L860" s="23">
        <f t="shared" si="64"/>
        <v>2311.01255</v>
      </c>
      <c r="M860" s="39" t="s">
        <v>104</v>
      </c>
    </row>
    <row r="861" s="1" customFormat="1" ht="45" outlineLevel="1" spans="1:13">
      <c r="A861" s="24">
        <v>24</v>
      </c>
      <c r="B861" s="25" t="s">
        <v>127</v>
      </c>
      <c r="C861" s="25" t="s">
        <v>270</v>
      </c>
      <c r="D861" s="26" t="s">
        <v>60</v>
      </c>
      <c r="E861" s="26">
        <v>2</v>
      </c>
      <c r="F861" s="24">
        <v>30.63</v>
      </c>
      <c r="G861" s="24">
        <v>168</v>
      </c>
      <c r="H861" s="29">
        <v>9.1</v>
      </c>
      <c r="I861" s="29">
        <f t="shared" si="61"/>
        <v>20.773</v>
      </c>
      <c r="J861" s="29">
        <f t="shared" si="62"/>
        <v>20.56527</v>
      </c>
      <c r="K861" s="29">
        <f t="shared" si="63"/>
        <v>249.06827</v>
      </c>
      <c r="L861" s="23">
        <f t="shared" si="64"/>
        <v>498.13654</v>
      </c>
      <c r="M861" s="39" t="s">
        <v>104</v>
      </c>
    </row>
    <row r="862" s="1" customFormat="1" ht="45" outlineLevel="1" spans="1:13">
      <c r="A862" s="24">
        <v>25</v>
      </c>
      <c r="B862" s="25" t="s">
        <v>127</v>
      </c>
      <c r="C862" s="25" t="s">
        <v>389</v>
      </c>
      <c r="D862" s="26" t="s">
        <v>60</v>
      </c>
      <c r="E862" s="26">
        <v>2</v>
      </c>
      <c r="F862" s="24">
        <v>30.63</v>
      </c>
      <c r="G862" s="24">
        <v>185</v>
      </c>
      <c r="H862" s="29">
        <v>9.1</v>
      </c>
      <c r="I862" s="29">
        <f t="shared" si="61"/>
        <v>22.473</v>
      </c>
      <c r="J862" s="29">
        <f t="shared" si="62"/>
        <v>22.24827</v>
      </c>
      <c r="K862" s="29">
        <f t="shared" si="63"/>
        <v>269.45127</v>
      </c>
      <c r="L862" s="23">
        <f t="shared" si="64"/>
        <v>538.90254</v>
      </c>
      <c r="M862" s="39" t="s">
        <v>104</v>
      </c>
    </row>
    <row r="863" s="1" customFormat="1" ht="45" outlineLevel="1" spans="1:13">
      <c r="A863" s="24">
        <v>26</v>
      </c>
      <c r="B863" s="25" t="s">
        <v>127</v>
      </c>
      <c r="C863" s="25" t="s">
        <v>408</v>
      </c>
      <c r="D863" s="26" t="s">
        <v>60</v>
      </c>
      <c r="E863" s="26">
        <v>1</v>
      </c>
      <c r="F863" s="24">
        <v>30.63</v>
      </c>
      <c r="G863" s="24">
        <v>163</v>
      </c>
      <c r="H863" s="29">
        <v>9.1</v>
      </c>
      <c r="I863" s="29">
        <f t="shared" si="61"/>
        <v>20.273</v>
      </c>
      <c r="J863" s="29">
        <f t="shared" si="62"/>
        <v>20.07027</v>
      </c>
      <c r="K863" s="29">
        <f t="shared" si="63"/>
        <v>243.07327</v>
      </c>
      <c r="L863" s="23">
        <f t="shared" si="64"/>
        <v>243.07327</v>
      </c>
      <c r="M863" s="39" t="s">
        <v>104</v>
      </c>
    </row>
    <row r="864" s="1" customFormat="1" ht="45" outlineLevel="1" spans="1:13">
      <c r="A864" s="24">
        <v>27</v>
      </c>
      <c r="B864" s="25" t="s">
        <v>127</v>
      </c>
      <c r="C864" s="25" t="s">
        <v>391</v>
      </c>
      <c r="D864" s="26" t="s">
        <v>60</v>
      </c>
      <c r="E864" s="26">
        <v>2</v>
      </c>
      <c r="F864" s="24">
        <v>31.63</v>
      </c>
      <c r="G864" s="24">
        <v>120</v>
      </c>
      <c r="H864" s="29">
        <v>10.1</v>
      </c>
      <c r="I864" s="29">
        <f t="shared" si="61"/>
        <v>16.173</v>
      </c>
      <c r="J864" s="29">
        <f t="shared" si="62"/>
        <v>16.01127</v>
      </c>
      <c r="K864" s="29">
        <f t="shared" si="63"/>
        <v>193.91427</v>
      </c>
      <c r="L864" s="23">
        <f t="shared" si="64"/>
        <v>387.82854</v>
      </c>
      <c r="M864" s="39" t="s">
        <v>104</v>
      </c>
    </row>
    <row r="865" s="1" customFormat="1" ht="33.75" outlineLevel="1" spans="1:13">
      <c r="A865" s="24">
        <v>28</v>
      </c>
      <c r="B865" s="25" t="s">
        <v>342</v>
      </c>
      <c r="C865" s="25" t="s">
        <v>343</v>
      </c>
      <c r="D865" s="26" t="s">
        <v>60</v>
      </c>
      <c r="E865" s="26">
        <v>4</v>
      </c>
      <c r="F865" s="24">
        <v>32.63</v>
      </c>
      <c r="G865" s="24">
        <v>132</v>
      </c>
      <c r="H865" s="29">
        <v>11.1</v>
      </c>
      <c r="I865" s="29">
        <f t="shared" si="61"/>
        <v>17.573</v>
      </c>
      <c r="J865" s="29">
        <f t="shared" si="62"/>
        <v>17.39727</v>
      </c>
      <c r="K865" s="29">
        <f t="shared" si="63"/>
        <v>210.70027</v>
      </c>
      <c r="L865" s="23">
        <f t="shared" si="64"/>
        <v>842.80108</v>
      </c>
      <c r="M865" s="39" t="s">
        <v>159</v>
      </c>
    </row>
    <row r="866" s="1" customFormat="1" ht="33.75" outlineLevel="1" spans="1:13">
      <c r="A866" s="24">
        <v>29</v>
      </c>
      <c r="B866" s="25" t="s">
        <v>344</v>
      </c>
      <c r="C866" s="25" t="s">
        <v>345</v>
      </c>
      <c r="D866" s="26" t="s">
        <v>60</v>
      </c>
      <c r="E866" s="26">
        <v>42</v>
      </c>
      <c r="F866" s="24">
        <v>33.63</v>
      </c>
      <c r="G866" s="24">
        <v>28</v>
      </c>
      <c r="H866" s="29">
        <v>12.1</v>
      </c>
      <c r="I866" s="29">
        <f t="shared" si="61"/>
        <v>7.373</v>
      </c>
      <c r="J866" s="29">
        <f t="shared" si="62"/>
        <v>7.29927</v>
      </c>
      <c r="K866" s="29">
        <f t="shared" si="63"/>
        <v>88.40227</v>
      </c>
      <c r="L866" s="23">
        <f t="shared" si="64"/>
        <v>3712.89534</v>
      </c>
      <c r="M866" s="39" t="s">
        <v>159</v>
      </c>
    </row>
    <row r="867" s="1" customFormat="1" ht="56.25" outlineLevel="1" spans="1:13">
      <c r="A867" s="24">
        <v>30</v>
      </c>
      <c r="B867" s="25" t="s">
        <v>346</v>
      </c>
      <c r="C867" s="25" t="s">
        <v>347</v>
      </c>
      <c r="D867" s="26" t="s">
        <v>71</v>
      </c>
      <c r="E867" s="27">
        <v>1</v>
      </c>
      <c r="F867" s="24">
        <v>5000</v>
      </c>
      <c r="G867" s="29">
        <v>150</v>
      </c>
      <c r="H867" s="29">
        <v>350</v>
      </c>
      <c r="I867" s="29">
        <f t="shared" si="61"/>
        <v>550</v>
      </c>
      <c r="J867" s="29">
        <f t="shared" si="62"/>
        <v>544.5</v>
      </c>
      <c r="K867" s="29">
        <f t="shared" si="63"/>
        <v>6594.5</v>
      </c>
      <c r="L867" s="23">
        <f t="shared" si="64"/>
        <v>6594.5</v>
      </c>
      <c r="M867" s="39" t="s">
        <v>142</v>
      </c>
    </row>
    <row r="868" s="1" customFormat="1" ht="56.25" outlineLevel="1" spans="1:13">
      <c r="A868" s="24">
        <v>31</v>
      </c>
      <c r="B868" s="25" t="s">
        <v>275</v>
      </c>
      <c r="C868" s="25" t="s">
        <v>304</v>
      </c>
      <c r="D868" s="26" t="s">
        <v>71</v>
      </c>
      <c r="E868" s="26">
        <v>1</v>
      </c>
      <c r="F868" s="24">
        <v>1.38</v>
      </c>
      <c r="G868" s="29">
        <v>2.1</v>
      </c>
      <c r="H868" s="29">
        <v>0.8</v>
      </c>
      <c r="I868" s="29">
        <f t="shared" si="61"/>
        <v>0.428</v>
      </c>
      <c r="J868" s="29">
        <f t="shared" si="62"/>
        <v>0.42372</v>
      </c>
      <c r="K868" s="29">
        <f t="shared" si="63"/>
        <v>5.13172</v>
      </c>
      <c r="L868" s="23">
        <f t="shared" si="64"/>
        <v>5.13172</v>
      </c>
      <c r="M868" s="39" t="s">
        <v>142</v>
      </c>
    </row>
    <row r="869" s="1" customFormat="1" ht="56.25" outlineLevel="1" spans="1:13">
      <c r="A869" s="24">
        <v>32</v>
      </c>
      <c r="B869" s="25" t="s">
        <v>277</v>
      </c>
      <c r="C869" s="25" t="s">
        <v>278</v>
      </c>
      <c r="D869" s="26" t="s">
        <v>71</v>
      </c>
      <c r="E869" s="26">
        <v>1</v>
      </c>
      <c r="F869" s="24">
        <v>6.77</v>
      </c>
      <c r="G869" s="29">
        <v>9.5</v>
      </c>
      <c r="H869" s="29">
        <v>1.2</v>
      </c>
      <c r="I869" s="29">
        <f t="shared" ref="I869:I932" si="65">(F869+G869+H869)*$I$4</f>
        <v>1.747</v>
      </c>
      <c r="J869" s="29">
        <f t="shared" ref="J869:J932" si="66">(F869+G869+H869+I869)*$J$4</f>
        <v>1.72953</v>
      </c>
      <c r="K869" s="29">
        <f t="shared" si="63"/>
        <v>20.94653</v>
      </c>
      <c r="L869" s="23">
        <f t="shared" si="64"/>
        <v>20.94653</v>
      </c>
      <c r="M869" s="39" t="s">
        <v>142</v>
      </c>
    </row>
    <row r="870" s="1" customFormat="1" ht="56.25" outlineLevel="1" spans="1:13">
      <c r="A870" s="24">
        <v>33</v>
      </c>
      <c r="B870" s="25" t="s">
        <v>279</v>
      </c>
      <c r="C870" s="25" t="s">
        <v>280</v>
      </c>
      <c r="D870" s="26" t="s">
        <v>71</v>
      </c>
      <c r="E870" s="26">
        <v>1</v>
      </c>
      <c r="F870" s="24">
        <v>6.77</v>
      </c>
      <c r="G870" s="29">
        <v>9.5</v>
      </c>
      <c r="H870" s="29">
        <v>1.2</v>
      </c>
      <c r="I870" s="29">
        <f t="shared" si="65"/>
        <v>1.747</v>
      </c>
      <c r="J870" s="29">
        <f t="shared" si="66"/>
        <v>1.72953</v>
      </c>
      <c r="K870" s="29">
        <f t="shared" si="63"/>
        <v>20.94653</v>
      </c>
      <c r="L870" s="23">
        <f t="shared" si="64"/>
        <v>20.94653</v>
      </c>
      <c r="M870" s="39" t="s">
        <v>142</v>
      </c>
    </row>
    <row r="871" s="1" customFormat="1" outlineLevel="1" spans="1:13">
      <c r="A871" s="20" t="s">
        <v>99</v>
      </c>
      <c r="B871" s="21" t="s">
        <v>469</v>
      </c>
      <c r="C871" s="21"/>
      <c r="D871" s="22"/>
      <c r="E871" s="22"/>
      <c r="F871" s="20"/>
      <c r="G871" s="29"/>
      <c r="H871" s="29"/>
      <c r="I871" s="29">
        <f t="shared" si="65"/>
        <v>0</v>
      </c>
      <c r="J871" s="29">
        <f t="shared" si="66"/>
        <v>0</v>
      </c>
      <c r="K871" s="29">
        <f t="shared" si="63"/>
        <v>0</v>
      </c>
      <c r="L871" s="23">
        <f t="shared" si="64"/>
        <v>0</v>
      </c>
      <c r="M871" s="38"/>
    </row>
    <row r="872" s="1" customFormat="1" ht="56.25" outlineLevel="1" spans="1:13">
      <c r="A872" s="24">
        <v>1</v>
      </c>
      <c r="B872" s="25" t="s">
        <v>154</v>
      </c>
      <c r="C872" s="25" t="s">
        <v>349</v>
      </c>
      <c r="D872" s="26" t="s">
        <v>42</v>
      </c>
      <c r="E872" s="27">
        <f>12.29+24.78+(2.95*18+3)*2</f>
        <v>149.27</v>
      </c>
      <c r="F872" s="28">
        <v>0.92</v>
      </c>
      <c r="G872" s="29">
        <v>2.57</v>
      </c>
      <c r="H872" s="29">
        <v>0.85</v>
      </c>
      <c r="I872" s="29">
        <f t="shared" si="65"/>
        <v>0.434</v>
      </c>
      <c r="J872" s="29">
        <f t="shared" si="66"/>
        <v>0.42966</v>
      </c>
      <c r="K872" s="29">
        <f t="shared" si="63"/>
        <v>5.20366</v>
      </c>
      <c r="L872" s="23">
        <f t="shared" si="64"/>
        <v>776.7503282</v>
      </c>
      <c r="M872" s="39" t="s">
        <v>142</v>
      </c>
    </row>
    <row r="873" s="1" customFormat="1" ht="56.25" outlineLevel="1" spans="1:13">
      <c r="A873" s="24">
        <v>2</v>
      </c>
      <c r="B873" s="25" t="s">
        <v>154</v>
      </c>
      <c r="C873" s="25" t="s">
        <v>206</v>
      </c>
      <c r="D873" s="26" t="s">
        <v>42</v>
      </c>
      <c r="E873" s="27">
        <f>E872*2</f>
        <v>298.54</v>
      </c>
      <c r="F873" s="28">
        <v>0.92</v>
      </c>
      <c r="G873" s="29">
        <v>1.93</v>
      </c>
      <c r="H873" s="29">
        <v>0.85</v>
      </c>
      <c r="I873" s="29">
        <f t="shared" si="65"/>
        <v>0.37</v>
      </c>
      <c r="J873" s="29">
        <f t="shared" si="66"/>
        <v>0.3663</v>
      </c>
      <c r="K873" s="29">
        <f t="shared" si="63"/>
        <v>4.4363</v>
      </c>
      <c r="L873" s="23">
        <f t="shared" si="64"/>
        <v>1324.413002</v>
      </c>
      <c r="M873" s="39" t="s">
        <v>142</v>
      </c>
    </row>
    <row r="874" s="1" customFormat="1" ht="33.75" outlineLevel="1" spans="1:13">
      <c r="A874" s="24">
        <v>3</v>
      </c>
      <c r="B874" s="25" t="s">
        <v>157</v>
      </c>
      <c r="C874" s="25" t="s">
        <v>306</v>
      </c>
      <c r="D874" s="26" t="s">
        <v>60</v>
      </c>
      <c r="E874" s="27">
        <v>4</v>
      </c>
      <c r="F874" s="24">
        <v>265.43</v>
      </c>
      <c r="G874" s="29">
        <v>116</v>
      </c>
      <c r="H874" s="29">
        <v>16.5</v>
      </c>
      <c r="I874" s="29">
        <f t="shared" si="65"/>
        <v>39.793</v>
      </c>
      <c r="J874" s="29">
        <f t="shared" si="66"/>
        <v>39.39507</v>
      </c>
      <c r="K874" s="29">
        <f t="shared" si="63"/>
        <v>477.11807</v>
      </c>
      <c r="L874" s="23">
        <f t="shared" si="64"/>
        <v>1908.47228</v>
      </c>
      <c r="M874" s="39" t="s">
        <v>159</v>
      </c>
    </row>
    <row r="875" s="1" customFormat="1" outlineLevel="1" spans="1:13">
      <c r="A875" s="20" t="s">
        <v>152</v>
      </c>
      <c r="B875" s="21" t="s">
        <v>470</v>
      </c>
      <c r="C875" s="21"/>
      <c r="D875" s="26"/>
      <c r="E875" s="27"/>
      <c r="F875" s="24"/>
      <c r="G875" s="29"/>
      <c r="H875" s="29"/>
      <c r="I875" s="29">
        <f t="shared" si="65"/>
        <v>0</v>
      </c>
      <c r="J875" s="29">
        <f t="shared" si="66"/>
        <v>0</v>
      </c>
      <c r="K875" s="29">
        <f t="shared" si="63"/>
        <v>0</v>
      </c>
      <c r="L875" s="23">
        <f t="shared" si="64"/>
        <v>0</v>
      </c>
      <c r="M875" s="39"/>
    </row>
    <row r="876" s="1" customFormat="1" ht="56.25" outlineLevel="1" spans="1:13">
      <c r="A876" s="24">
        <v>1</v>
      </c>
      <c r="B876" s="25" t="s">
        <v>154</v>
      </c>
      <c r="C876" s="25" t="s">
        <v>351</v>
      </c>
      <c r="D876" s="26" t="s">
        <v>42</v>
      </c>
      <c r="E876" s="27">
        <f>12.29+24.78+(2.95*1+3)*2</f>
        <v>48.97</v>
      </c>
      <c r="F876" s="28">
        <v>0.92</v>
      </c>
      <c r="G876" s="29">
        <v>2.04</v>
      </c>
      <c r="H876" s="29">
        <v>0.85</v>
      </c>
      <c r="I876" s="29">
        <f t="shared" si="65"/>
        <v>0.381</v>
      </c>
      <c r="J876" s="29">
        <f t="shared" si="66"/>
        <v>0.37719</v>
      </c>
      <c r="K876" s="29">
        <f t="shared" si="63"/>
        <v>4.56819</v>
      </c>
      <c r="L876" s="23">
        <f t="shared" si="64"/>
        <v>223.7042643</v>
      </c>
      <c r="M876" s="39" t="s">
        <v>142</v>
      </c>
    </row>
    <row r="877" s="1" customFormat="1" ht="33.75" outlineLevel="1" spans="1:13">
      <c r="A877" s="24">
        <v>2</v>
      </c>
      <c r="B877" s="25" t="s">
        <v>157</v>
      </c>
      <c r="C877" s="25" t="s">
        <v>163</v>
      </c>
      <c r="D877" s="26" t="s">
        <v>60</v>
      </c>
      <c r="E877" s="27">
        <v>2</v>
      </c>
      <c r="F877" s="24">
        <v>285.43</v>
      </c>
      <c r="G877" s="29">
        <v>78.4</v>
      </c>
      <c r="H877" s="29">
        <v>66.5</v>
      </c>
      <c r="I877" s="29">
        <f t="shared" si="65"/>
        <v>43.033</v>
      </c>
      <c r="J877" s="29">
        <f t="shared" si="66"/>
        <v>42.60267</v>
      </c>
      <c r="K877" s="29">
        <f t="shared" si="63"/>
        <v>515.96567</v>
      </c>
      <c r="L877" s="23">
        <f t="shared" si="64"/>
        <v>1031.93134</v>
      </c>
      <c r="M877" s="39" t="s">
        <v>159</v>
      </c>
    </row>
    <row r="878" s="1" customFormat="1" ht="22.5" outlineLevel="1" spans="1:13">
      <c r="A878" s="20" t="s">
        <v>160</v>
      </c>
      <c r="B878" s="21" t="s">
        <v>471</v>
      </c>
      <c r="C878" s="21"/>
      <c r="D878" s="22"/>
      <c r="E878" s="22"/>
      <c r="F878" s="20"/>
      <c r="G878" s="29"/>
      <c r="H878" s="29"/>
      <c r="I878" s="29">
        <f t="shared" si="65"/>
        <v>0</v>
      </c>
      <c r="J878" s="29">
        <f t="shared" si="66"/>
        <v>0</v>
      </c>
      <c r="K878" s="29">
        <f t="shared" si="63"/>
        <v>0</v>
      </c>
      <c r="L878" s="23">
        <f t="shared" si="64"/>
        <v>0</v>
      </c>
      <c r="M878" s="38"/>
    </row>
    <row r="879" s="1" customFormat="1" ht="67.5" outlineLevel="1" spans="1:13">
      <c r="A879" s="24">
        <v>1</v>
      </c>
      <c r="B879" s="25" t="s">
        <v>154</v>
      </c>
      <c r="C879" s="25" t="s">
        <v>353</v>
      </c>
      <c r="D879" s="26" t="s">
        <v>42</v>
      </c>
      <c r="E879" s="27">
        <f>(12.29+24.78+(2.95+3)*2)*2</f>
        <v>97.94</v>
      </c>
      <c r="F879" s="28">
        <v>0.92</v>
      </c>
      <c r="G879" s="29">
        <v>2.14</v>
      </c>
      <c r="H879" s="29">
        <v>0.85</v>
      </c>
      <c r="I879" s="29">
        <f t="shared" si="65"/>
        <v>0.391</v>
      </c>
      <c r="J879" s="29">
        <f t="shared" si="66"/>
        <v>0.38709</v>
      </c>
      <c r="K879" s="29">
        <f t="shared" si="63"/>
        <v>4.68809</v>
      </c>
      <c r="L879" s="23">
        <f t="shared" si="64"/>
        <v>459.1515346</v>
      </c>
      <c r="M879" s="39" t="s">
        <v>142</v>
      </c>
    </row>
    <row r="880" s="1" customFormat="1" ht="67.5" outlineLevel="1" spans="1:13">
      <c r="A880" s="24">
        <v>2</v>
      </c>
      <c r="B880" s="25" t="s">
        <v>154</v>
      </c>
      <c r="C880" s="25" t="s">
        <v>167</v>
      </c>
      <c r="D880" s="26" t="s">
        <v>42</v>
      </c>
      <c r="E880" s="27">
        <f>E879</f>
        <v>97.94</v>
      </c>
      <c r="F880" s="28">
        <v>0.92</v>
      </c>
      <c r="G880" s="29">
        <v>2.82</v>
      </c>
      <c r="H880" s="29">
        <v>0.85</v>
      </c>
      <c r="I880" s="29">
        <f t="shared" si="65"/>
        <v>0.459</v>
      </c>
      <c r="J880" s="29">
        <f t="shared" si="66"/>
        <v>0.45441</v>
      </c>
      <c r="K880" s="29">
        <f t="shared" si="63"/>
        <v>5.50341</v>
      </c>
      <c r="L880" s="23">
        <f t="shared" si="64"/>
        <v>539.0039754</v>
      </c>
      <c r="M880" s="39" t="s">
        <v>142</v>
      </c>
    </row>
    <row r="881" s="1" customFormat="1" ht="67.5" outlineLevel="1" spans="1:13">
      <c r="A881" s="24">
        <v>3</v>
      </c>
      <c r="B881" s="25" t="s">
        <v>154</v>
      </c>
      <c r="C881" s="25" t="s">
        <v>354</v>
      </c>
      <c r="D881" s="26" t="s">
        <v>42</v>
      </c>
      <c r="E881" s="27">
        <f>(12.29+24.78+(2.95+3)*2)</f>
        <v>48.97</v>
      </c>
      <c r="F881" s="28">
        <v>0.92</v>
      </c>
      <c r="G881" s="29">
        <v>2.57</v>
      </c>
      <c r="H881" s="29">
        <v>0.85</v>
      </c>
      <c r="I881" s="29">
        <f t="shared" si="65"/>
        <v>0.434</v>
      </c>
      <c r="J881" s="29">
        <f t="shared" si="66"/>
        <v>0.42966</v>
      </c>
      <c r="K881" s="29">
        <f t="shared" si="63"/>
        <v>5.20366</v>
      </c>
      <c r="L881" s="23">
        <f t="shared" si="64"/>
        <v>254.8232302</v>
      </c>
      <c r="M881" s="39" t="s">
        <v>142</v>
      </c>
    </row>
    <row r="882" s="1" customFormat="1" ht="67.5" outlineLevel="1" spans="1:13">
      <c r="A882" s="24">
        <v>4</v>
      </c>
      <c r="B882" s="25" t="s">
        <v>154</v>
      </c>
      <c r="C882" s="25" t="s">
        <v>355</v>
      </c>
      <c r="D882" s="26" t="s">
        <v>42</v>
      </c>
      <c r="E882" s="27">
        <f>E881</f>
        <v>48.97</v>
      </c>
      <c r="F882" s="28">
        <v>0.92</v>
      </c>
      <c r="G882" s="29">
        <v>2.57</v>
      </c>
      <c r="H882" s="29">
        <v>0.85</v>
      </c>
      <c r="I882" s="29">
        <f t="shared" si="65"/>
        <v>0.434</v>
      </c>
      <c r="J882" s="29">
        <f t="shared" si="66"/>
        <v>0.42966</v>
      </c>
      <c r="K882" s="29">
        <f t="shared" si="63"/>
        <v>5.20366</v>
      </c>
      <c r="L882" s="23">
        <f t="shared" si="64"/>
        <v>254.8232302</v>
      </c>
      <c r="M882" s="39" t="s">
        <v>142</v>
      </c>
    </row>
    <row r="883" s="1" customFormat="1" ht="67.5" outlineLevel="1" spans="1:13">
      <c r="A883" s="24">
        <v>5</v>
      </c>
      <c r="B883" s="25" t="s">
        <v>154</v>
      </c>
      <c r="C883" s="25" t="s">
        <v>170</v>
      </c>
      <c r="D883" s="26" t="s">
        <v>42</v>
      </c>
      <c r="E883" s="27">
        <v>1095.68</v>
      </c>
      <c r="F883" s="28">
        <v>0.92</v>
      </c>
      <c r="G883" s="29">
        <v>2.04</v>
      </c>
      <c r="H883" s="29">
        <v>0.85</v>
      </c>
      <c r="I883" s="29">
        <f t="shared" si="65"/>
        <v>0.381</v>
      </c>
      <c r="J883" s="29">
        <f t="shared" si="66"/>
        <v>0.37719</v>
      </c>
      <c r="K883" s="29">
        <f t="shared" si="63"/>
        <v>4.56819</v>
      </c>
      <c r="L883" s="23">
        <f t="shared" si="64"/>
        <v>5005.2744192</v>
      </c>
      <c r="M883" s="39" t="s">
        <v>142</v>
      </c>
    </row>
    <row r="884" s="1" customFormat="1" ht="67.5" outlineLevel="1" spans="1:13">
      <c r="A884" s="24">
        <v>6</v>
      </c>
      <c r="B884" s="25" t="s">
        <v>154</v>
      </c>
      <c r="C884" s="25" t="s">
        <v>310</v>
      </c>
      <c r="D884" s="26" t="s">
        <v>42</v>
      </c>
      <c r="E884" s="27">
        <v>1315.77</v>
      </c>
      <c r="F884" s="28">
        <v>0.92</v>
      </c>
      <c r="G884" s="29">
        <v>1.93</v>
      </c>
      <c r="H884" s="29">
        <v>0.85</v>
      </c>
      <c r="I884" s="29">
        <f t="shared" si="65"/>
        <v>0.37</v>
      </c>
      <c r="J884" s="29">
        <f t="shared" si="66"/>
        <v>0.3663</v>
      </c>
      <c r="K884" s="29">
        <f t="shared" si="63"/>
        <v>4.4363</v>
      </c>
      <c r="L884" s="23">
        <f t="shared" si="64"/>
        <v>5837.150451</v>
      </c>
      <c r="M884" s="39" t="s">
        <v>142</v>
      </c>
    </row>
    <row r="885" s="1" customFormat="1" ht="67.5" outlineLevel="1" spans="1:13">
      <c r="A885" s="24">
        <v>7</v>
      </c>
      <c r="B885" s="25" t="s">
        <v>154</v>
      </c>
      <c r="C885" s="25" t="s">
        <v>356</v>
      </c>
      <c r="D885" s="26" t="s">
        <v>42</v>
      </c>
      <c r="E885" s="27">
        <v>301.57</v>
      </c>
      <c r="F885" s="28">
        <v>0.92</v>
      </c>
      <c r="G885" s="29">
        <v>2.57</v>
      </c>
      <c r="H885" s="29">
        <v>0.85</v>
      </c>
      <c r="I885" s="29">
        <f t="shared" si="65"/>
        <v>0.434</v>
      </c>
      <c r="J885" s="29">
        <f t="shared" si="66"/>
        <v>0.42966</v>
      </c>
      <c r="K885" s="29">
        <f t="shared" si="63"/>
        <v>5.20366</v>
      </c>
      <c r="L885" s="23">
        <f t="shared" si="64"/>
        <v>1569.2677462</v>
      </c>
      <c r="M885" s="39" t="s">
        <v>142</v>
      </c>
    </row>
    <row r="886" s="1" customFormat="1" ht="67.5" outlineLevel="1" spans="1:13">
      <c r="A886" s="24">
        <v>8</v>
      </c>
      <c r="B886" s="25" t="s">
        <v>154</v>
      </c>
      <c r="C886" s="25" t="s">
        <v>357</v>
      </c>
      <c r="D886" s="26" t="s">
        <v>42</v>
      </c>
      <c r="E886" s="27">
        <v>286.33</v>
      </c>
      <c r="F886" s="28">
        <v>0.92</v>
      </c>
      <c r="G886" s="29">
        <v>2.57</v>
      </c>
      <c r="H886" s="29">
        <v>0.85</v>
      </c>
      <c r="I886" s="29">
        <f t="shared" si="65"/>
        <v>0.434</v>
      </c>
      <c r="J886" s="29">
        <f t="shared" si="66"/>
        <v>0.42966</v>
      </c>
      <c r="K886" s="29">
        <f t="shared" si="63"/>
        <v>5.20366</v>
      </c>
      <c r="L886" s="23">
        <f t="shared" si="64"/>
        <v>1489.9639678</v>
      </c>
      <c r="M886" s="39" t="s">
        <v>142</v>
      </c>
    </row>
    <row r="887" s="1" customFormat="1" ht="33.75" outlineLevel="1" spans="1:13">
      <c r="A887" s="24">
        <v>9</v>
      </c>
      <c r="B887" s="25" t="s">
        <v>174</v>
      </c>
      <c r="C887" s="25" t="s">
        <v>175</v>
      </c>
      <c r="D887" s="26" t="s">
        <v>60</v>
      </c>
      <c r="E887" s="27">
        <v>38</v>
      </c>
      <c r="F887" s="28">
        <v>192.41</v>
      </c>
      <c r="G887" s="28">
        <v>26.6</v>
      </c>
      <c r="H887" s="29">
        <v>10.12</v>
      </c>
      <c r="I887" s="29">
        <f t="shared" si="65"/>
        <v>22.913</v>
      </c>
      <c r="J887" s="29">
        <f t="shared" si="66"/>
        <v>22.68387</v>
      </c>
      <c r="K887" s="29">
        <f t="shared" si="63"/>
        <v>274.72687</v>
      </c>
      <c r="L887" s="23">
        <f t="shared" si="64"/>
        <v>10439.62106</v>
      </c>
      <c r="M887" s="39" t="s">
        <v>159</v>
      </c>
    </row>
    <row r="888" s="1" customFormat="1" ht="33.75" outlineLevel="1" spans="1:13">
      <c r="A888" s="24">
        <v>10</v>
      </c>
      <c r="B888" s="25" t="s">
        <v>176</v>
      </c>
      <c r="C888" s="25" t="s">
        <v>177</v>
      </c>
      <c r="D888" s="26" t="s">
        <v>60</v>
      </c>
      <c r="E888" s="27">
        <v>164</v>
      </c>
      <c r="F888" s="28">
        <v>37.21</v>
      </c>
      <c r="G888" s="28">
        <v>19.2</v>
      </c>
      <c r="H888" s="29">
        <v>2.21</v>
      </c>
      <c r="I888" s="29">
        <f t="shared" si="65"/>
        <v>5.862</v>
      </c>
      <c r="J888" s="29">
        <f t="shared" si="66"/>
        <v>5.80338</v>
      </c>
      <c r="K888" s="29">
        <f t="shared" si="63"/>
        <v>70.28538</v>
      </c>
      <c r="L888" s="23">
        <f t="shared" si="64"/>
        <v>11526.80232</v>
      </c>
      <c r="M888" s="39" t="s">
        <v>159</v>
      </c>
    </row>
    <row r="889" s="1" customFormat="1" ht="45" outlineLevel="1" spans="1:13">
      <c r="A889" s="24">
        <v>11</v>
      </c>
      <c r="B889" s="25" t="s">
        <v>180</v>
      </c>
      <c r="C889" s="25" t="s">
        <v>181</v>
      </c>
      <c r="D889" s="26" t="s">
        <v>60</v>
      </c>
      <c r="E889" s="27">
        <v>40</v>
      </c>
      <c r="F889" s="28">
        <v>65.22</v>
      </c>
      <c r="G889" s="28">
        <v>26.92</v>
      </c>
      <c r="H889" s="29">
        <v>4.5</v>
      </c>
      <c r="I889" s="29">
        <f t="shared" si="65"/>
        <v>9.664</v>
      </c>
      <c r="J889" s="29">
        <f t="shared" si="66"/>
        <v>9.56736</v>
      </c>
      <c r="K889" s="29">
        <f t="shared" si="63"/>
        <v>115.87136</v>
      </c>
      <c r="L889" s="23">
        <f t="shared" si="64"/>
        <v>4634.8544</v>
      </c>
      <c r="M889" s="39" t="s">
        <v>159</v>
      </c>
    </row>
    <row r="890" s="1" customFormat="1" ht="33.75" outlineLevel="1" spans="1:13">
      <c r="A890" s="24">
        <v>12</v>
      </c>
      <c r="B890" s="25" t="s">
        <v>182</v>
      </c>
      <c r="C890" s="25" t="s">
        <v>183</v>
      </c>
      <c r="D890" s="26" t="s">
        <v>60</v>
      </c>
      <c r="E890" s="27">
        <v>40</v>
      </c>
      <c r="F890" s="28">
        <v>78.12</v>
      </c>
      <c r="G890" s="28">
        <v>30.08</v>
      </c>
      <c r="H890" s="29">
        <v>3.62</v>
      </c>
      <c r="I890" s="29">
        <f t="shared" si="65"/>
        <v>11.182</v>
      </c>
      <c r="J890" s="29">
        <f t="shared" si="66"/>
        <v>11.07018</v>
      </c>
      <c r="K890" s="29">
        <f t="shared" si="63"/>
        <v>134.07218</v>
      </c>
      <c r="L890" s="23">
        <f t="shared" si="64"/>
        <v>5362.8872</v>
      </c>
      <c r="M890" s="39" t="s">
        <v>159</v>
      </c>
    </row>
    <row r="891" s="1" customFormat="1" ht="33.75" outlineLevel="1" spans="1:13">
      <c r="A891" s="24">
        <v>13</v>
      </c>
      <c r="B891" s="25" t="s">
        <v>184</v>
      </c>
      <c r="C891" s="25" t="s">
        <v>185</v>
      </c>
      <c r="D891" s="26" t="s">
        <v>60</v>
      </c>
      <c r="E891" s="27">
        <v>39</v>
      </c>
      <c r="F891" s="28">
        <v>195.64</v>
      </c>
      <c r="G891" s="28">
        <v>22.56</v>
      </c>
      <c r="H891" s="29">
        <v>7.17</v>
      </c>
      <c r="I891" s="29">
        <f t="shared" si="65"/>
        <v>22.537</v>
      </c>
      <c r="J891" s="29">
        <f t="shared" si="66"/>
        <v>22.31163</v>
      </c>
      <c r="K891" s="29">
        <f t="shared" si="63"/>
        <v>270.21863</v>
      </c>
      <c r="L891" s="23">
        <f t="shared" si="64"/>
        <v>10538.52657</v>
      </c>
      <c r="M891" s="39" t="s">
        <v>159</v>
      </c>
    </row>
    <row r="892" s="1" customFormat="1" ht="33.75" outlineLevel="1" spans="1:13">
      <c r="A892" s="24">
        <v>14</v>
      </c>
      <c r="B892" s="25" t="s">
        <v>186</v>
      </c>
      <c r="C892" s="25" t="s">
        <v>187</v>
      </c>
      <c r="D892" s="26" t="s">
        <v>60</v>
      </c>
      <c r="E892" s="27">
        <v>76</v>
      </c>
      <c r="F892" s="28">
        <v>48.37</v>
      </c>
      <c r="G892" s="28">
        <v>19.4</v>
      </c>
      <c r="H892" s="29">
        <v>3.2</v>
      </c>
      <c r="I892" s="29">
        <f t="shared" si="65"/>
        <v>7.097</v>
      </c>
      <c r="J892" s="29">
        <f t="shared" si="66"/>
        <v>7.02603</v>
      </c>
      <c r="K892" s="29">
        <f t="shared" si="63"/>
        <v>85.09303</v>
      </c>
      <c r="L892" s="23">
        <f t="shared" si="64"/>
        <v>6467.07028</v>
      </c>
      <c r="M892" s="39" t="s">
        <v>159</v>
      </c>
    </row>
    <row r="893" s="1" customFormat="1" ht="33.75" outlineLevel="1" spans="1:13">
      <c r="A893" s="24">
        <v>15</v>
      </c>
      <c r="B893" s="25" t="s">
        <v>188</v>
      </c>
      <c r="C893" s="25" t="s">
        <v>189</v>
      </c>
      <c r="D893" s="26" t="s">
        <v>60</v>
      </c>
      <c r="E893" s="27">
        <v>2</v>
      </c>
      <c r="F893" s="28">
        <v>50.98</v>
      </c>
      <c r="G893" s="28">
        <v>46.66</v>
      </c>
      <c r="H893" s="29">
        <v>30.84</v>
      </c>
      <c r="I893" s="29">
        <f t="shared" si="65"/>
        <v>12.848</v>
      </c>
      <c r="J893" s="29">
        <f t="shared" si="66"/>
        <v>12.71952</v>
      </c>
      <c r="K893" s="29">
        <f t="shared" si="63"/>
        <v>154.04752</v>
      </c>
      <c r="L893" s="23">
        <f t="shared" si="64"/>
        <v>308.09504</v>
      </c>
      <c r="M893" s="39" t="s">
        <v>159</v>
      </c>
    </row>
    <row r="894" s="1" customFormat="1" ht="33.75" outlineLevel="1" spans="1:13">
      <c r="A894" s="24">
        <v>16</v>
      </c>
      <c r="B894" s="25" t="s">
        <v>192</v>
      </c>
      <c r="C894" s="25" t="s">
        <v>193</v>
      </c>
      <c r="D894" s="26" t="s">
        <v>60</v>
      </c>
      <c r="E894" s="27">
        <v>85</v>
      </c>
      <c r="F894" s="28">
        <v>254.48</v>
      </c>
      <c r="G894" s="28">
        <v>21.15</v>
      </c>
      <c r="H894" s="29">
        <v>10.26</v>
      </c>
      <c r="I894" s="29">
        <f t="shared" si="65"/>
        <v>28.589</v>
      </c>
      <c r="J894" s="29">
        <f t="shared" si="66"/>
        <v>28.30311</v>
      </c>
      <c r="K894" s="29">
        <f t="shared" si="63"/>
        <v>342.78211</v>
      </c>
      <c r="L894" s="23">
        <f t="shared" si="64"/>
        <v>29136.47935</v>
      </c>
      <c r="M894" s="39" t="s">
        <v>159</v>
      </c>
    </row>
    <row r="895" s="1" customFormat="1" ht="33.75" outlineLevel="1" spans="1:13">
      <c r="A895" s="24">
        <v>17</v>
      </c>
      <c r="B895" s="25" t="s">
        <v>190</v>
      </c>
      <c r="C895" s="25" t="s">
        <v>191</v>
      </c>
      <c r="D895" s="26" t="s">
        <v>60</v>
      </c>
      <c r="E895" s="27">
        <v>2</v>
      </c>
      <c r="F895" s="28">
        <v>212.47</v>
      </c>
      <c r="G895" s="28">
        <v>15.04</v>
      </c>
      <c r="H895" s="29">
        <v>7.1</v>
      </c>
      <c r="I895" s="29">
        <f t="shared" si="65"/>
        <v>23.461</v>
      </c>
      <c r="J895" s="29">
        <f t="shared" si="66"/>
        <v>23.22639</v>
      </c>
      <c r="K895" s="29">
        <f t="shared" si="63"/>
        <v>281.29739</v>
      </c>
      <c r="L895" s="23">
        <f t="shared" si="64"/>
        <v>562.59478</v>
      </c>
      <c r="M895" s="39" t="s">
        <v>159</v>
      </c>
    </row>
    <row r="896" s="1" customFormat="1" ht="33.75" outlineLevel="1" spans="1:13">
      <c r="A896" s="24">
        <v>18</v>
      </c>
      <c r="B896" s="25" t="s">
        <v>194</v>
      </c>
      <c r="C896" s="25" t="s">
        <v>195</v>
      </c>
      <c r="D896" s="26" t="s">
        <v>60</v>
      </c>
      <c r="E896" s="27">
        <v>2</v>
      </c>
      <c r="F896" s="28">
        <v>1425.47</v>
      </c>
      <c r="G896" s="28">
        <v>234.06</v>
      </c>
      <c r="H896" s="29">
        <v>58.4</v>
      </c>
      <c r="I896" s="29">
        <f t="shared" si="65"/>
        <v>171.793</v>
      </c>
      <c r="J896" s="29">
        <f t="shared" si="66"/>
        <v>170.07507</v>
      </c>
      <c r="K896" s="29">
        <f t="shared" si="63"/>
        <v>2059.79807</v>
      </c>
      <c r="L896" s="23">
        <f t="shared" si="64"/>
        <v>4119.59614</v>
      </c>
      <c r="M896" s="39" t="s">
        <v>159</v>
      </c>
    </row>
    <row r="897" s="1" customFormat="1" ht="33.75" outlineLevel="1" spans="1:13">
      <c r="A897" s="24">
        <v>19</v>
      </c>
      <c r="B897" s="25" t="s">
        <v>238</v>
      </c>
      <c r="C897" s="25" t="s">
        <v>239</v>
      </c>
      <c r="D897" s="26" t="s">
        <v>60</v>
      </c>
      <c r="E897" s="27">
        <v>2</v>
      </c>
      <c r="F897" s="28">
        <v>47.27</v>
      </c>
      <c r="G897" s="28">
        <v>43.24</v>
      </c>
      <c r="H897" s="29">
        <v>2.7</v>
      </c>
      <c r="I897" s="29">
        <f t="shared" si="65"/>
        <v>9.321</v>
      </c>
      <c r="J897" s="29">
        <f t="shared" si="66"/>
        <v>9.22779</v>
      </c>
      <c r="K897" s="29">
        <f t="shared" si="63"/>
        <v>111.75879</v>
      </c>
      <c r="L897" s="23">
        <f t="shared" si="64"/>
        <v>223.51758</v>
      </c>
      <c r="M897" s="39" t="s">
        <v>159</v>
      </c>
    </row>
    <row r="898" s="1" customFormat="1" outlineLevel="1" spans="1:13">
      <c r="A898" s="20" t="s">
        <v>164</v>
      </c>
      <c r="B898" s="21" t="s">
        <v>472</v>
      </c>
      <c r="C898" s="21"/>
      <c r="D898" s="22"/>
      <c r="E898" s="22"/>
      <c r="F898" s="20"/>
      <c r="G898" s="29"/>
      <c r="H898" s="29"/>
      <c r="I898" s="29">
        <f t="shared" si="65"/>
        <v>0</v>
      </c>
      <c r="J898" s="29">
        <f t="shared" si="66"/>
        <v>0</v>
      </c>
      <c r="K898" s="29">
        <f t="shared" si="63"/>
        <v>0</v>
      </c>
      <c r="L898" s="23">
        <f t="shared" si="64"/>
        <v>0</v>
      </c>
      <c r="M898" s="38"/>
    </row>
    <row r="899" s="1" customFormat="1" ht="56.25" outlineLevel="1" spans="1:13">
      <c r="A899" s="24">
        <v>1</v>
      </c>
      <c r="B899" s="25" t="s">
        <v>154</v>
      </c>
      <c r="C899" s="25" t="s">
        <v>359</v>
      </c>
      <c r="D899" s="26" t="s">
        <v>42</v>
      </c>
      <c r="E899" s="27">
        <f>12.29+24.78+143.86</f>
        <v>180.93</v>
      </c>
      <c r="F899" s="28">
        <v>0.92</v>
      </c>
      <c r="G899" s="29">
        <v>3.64</v>
      </c>
      <c r="H899" s="29">
        <v>0.85</v>
      </c>
      <c r="I899" s="29">
        <f t="shared" si="65"/>
        <v>0.541</v>
      </c>
      <c r="J899" s="29">
        <f t="shared" si="66"/>
        <v>0.53559</v>
      </c>
      <c r="K899" s="29">
        <f t="shared" si="63"/>
        <v>6.48659</v>
      </c>
      <c r="L899" s="23">
        <f t="shared" si="64"/>
        <v>1173.6187287</v>
      </c>
      <c r="M899" s="39" t="s">
        <v>142</v>
      </c>
    </row>
    <row r="900" s="1" customFormat="1" ht="56.25" outlineLevel="1" spans="1:13">
      <c r="A900" s="24">
        <v>2</v>
      </c>
      <c r="B900" s="25" t="s">
        <v>154</v>
      </c>
      <c r="C900" s="25" t="s">
        <v>360</v>
      </c>
      <c r="D900" s="26" t="s">
        <v>42</v>
      </c>
      <c r="E900" s="27">
        <f>E899</f>
        <v>180.93</v>
      </c>
      <c r="F900" s="28">
        <v>0.92</v>
      </c>
      <c r="G900" s="29">
        <v>3.46</v>
      </c>
      <c r="H900" s="29">
        <v>0.85</v>
      </c>
      <c r="I900" s="29">
        <f t="shared" si="65"/>
        <v>0.523</v>
      </c>
      <c r="J900" s="29">
        <f t="shared" si="66"/>
        <v>0.51777</v>
      </c>
      <c r="K900" s="29">
        <f t="shared" si="63"/>
        <v>6.27077</v>
      </c>
      <c r="L900" s="23">
        <f t="shared" si="64"/>
        <v>1134.5704161</v>
      </c>
      <c r="M900" s="39" t="s">
        <v>142</v>
      </c>
    </row>
    <row r="901" s="1" customFormat="1" ht="33.75" outlineLevel="1" spans="1:13">
      <c r="A901" s="24">
        <v>3</v>
      </c>
      <c r="B901" s="25" t="s">
        <v>157</v>
      </c>
      <c r="C901" s="25" t="s">
        <v>313</v>
      </c>
      <c r="D901" s="26" t="s">
        <v>60</v>
      </c>
      <c r="E901" s="27">
        <v>40</v>
      </c>
      <c r="F901" s="24">
        <v>285.43</v>
      </c>
      <c r="G901" s="29">
        <v>43.6</v>
      </c>
      <c r="H901" s="29">
        <v>16.5</v>
      </c>
      <c r="I901" s="29">
        <f t="shared" si="65"/>
        <v>34.553</v>
      </c>
      <c r="J901" s="29">
        <f t="shared" si="66"/>
        <v>34.20747</v>
      </c>
      <c r="K901" s="29">
        <f t="shared" si="63"/>
        <v>414.29047</v>
      </c>
      <c r="L901" s="23">
        <f t="shared" si="64"/>
        <v>16571.6188</v>
      </c>
      <c r="M901" s="39" t="s">
        <v>159</v>
      </c>
    </row>
    <row r="902" s="1" customFormat="1" outlineLevel="1" spans="1:13">
      <c r="A902" s="20" t="s">
        <v>196</v>
      </c>
      <c r="B902" s="21" t="s">
        <v>473</v>
      </c>
      <c r="C902" s="21"/>
      <c r="D902" s="22"/>
      <c r="E902" s="22"/>
      <c r="F902" s="20"/>
      <c r="G902" s="29"/>
      <c r="H902" s="29"/>
      <c r="I902" s="29">
        <f t="shared" si="65"/>
        <v>0</v>
      </c>
      <c r="J902" s="29">
        <f t="shared" si="66"/>
        <v>0</v>
      </c>
      <c r="K902" s="29">
        <f t="shared" ref="K902:K965" si="67">F902+G902+H902+I902+J902</f>
        <v>0</v>
      </c>
      <c r="L902" s="23">
        <f t="shared" ref="L902:L965" si="68">K902*E902</f>
        <v>0</v>
      </c>
      <c r="M902" s="38"/>
    </row>
    <row r="903" s="1" customFormat="1" ht="33.75" outlineLevel="1" spans="1:13">
      <c r="A903" s="24">
        <v>1</v>
      </c>
      <c r="B903" s="25" t="s">
        <v>198</v>
      </c>
      <c r="C903" s="25" t="s">
        <v>245</v>
      </c>
      <c r="D903" s="26" t="s">
        <v>103</v>
      </c>
      <c r="E903" s="27">
        <v>4</v>
      </c>
      <c r="F903" s="24">
        <v>90.73</v>
      </c>
      <c r="G903" s="29">
        <v>360</v>
      </c>
      <c r="H903" s="29">
        <v>19.3</v>
      </c>
      <c r="I903" s="29">
        <f t="shared" si="65"/>
        <v>47.003</v>
      </c>
      <c r="J903" s="29">
        <f t="shared" si="66"/>
        <v>46.53297</v>
      </c>
      <c r="K903" s="29">
        <f t="shared" si="67"/>
        <v>563.56597</v>
      </c>
      <c r="L903" s="23">
        <f t="shared" si="68"/>
        <v>2254.26388</v>
      </c>
      <c r="M903" s="39" t="s">
        <v>202</v>
      </c>
    </row>
    <row r="904" s="1" customFormat="1" ht="56.25" outlineLevel="1" spans="1:13">
      <c r="A904" s="24">
        <v>2</v>
      </c>
      <c r="B904" s="25" t="s">
        <v>200</v>
      </c>
      <c r="C904" s="25" t="s">
        <v>362</v>
      </c>
      <c r="D904" s="26" t="s">
        <v>51</v>
      </c>
      <c r="E904" s="27">
        <v>8</v>
      </c>
      <c r="F904" s="28">
        <v>26.59</v>
      </c>
      <c r="G904" s="29">
        <v>33</v>
      </c>
      <c r="H904" s="29">
        <v>22.37</v>
      </c>
      <c r="I904" s="29">
        <f t="shared" si="65"/>
        <v>8.196</v>
      </c>
      <c r="J904" s="29">
        <f t="shared" si="66"/>
        <v>8.11404</v>
      </c>
      <c r="K904" s="29">
        <f t="shared" si="67"/>
        <v>98.27004</v>
      </c>
      <c r="L904" s="23">
        <f t="shared" si="68"/>
        <v>786.16032</v>
      </c>
      <c r="M904" s="39" t="s">
        <v>202</v>
      </c>
    </row>
    <row r="905" s="1" customFormat="1" ht="67.5" outlineLevel="1" spans="1:13">
      <c r="A905" s="24">
        <v>3</v>
      </c>
      <c r="B905" s="25" t="s">
        <v>200</v>
      </c>
      <c r="C905" s="25" t="s">
        <v>363</v>
      </c>
      <c r="D905" s="26" t="s">
        <v>51</v>
      </c>
      <c r="E905" s="27">
        <v>158</v>
      </c>
      <c r="F905" s="28">
        <v>26.59</v>
      </c>
      <c r="G905" s="29">
        <v>34</v>
      </c>
      <c r="H905" s="29">
        <v>22.37</v>
      </c>
      <c r="I905" s="29">
        <f t="shared" si="65"/>
        <v>8.296</v>
      </c>
      <c r="J905" s="29">
        <f t="shared" si="66"/>
        <v>8.21304</v>
      </c>
      <c r="K905" s="29">
        <f t="shared" si="67"/>
        <v>99.46904</v>
      </c>
      <c r="L905" s="23">
        <f t="shared" si="68"/>
        <v>15716.10832</v>
      </c>
      <c r="M905" s="39" t="s">
        <v>202</v>
      </c>
    </row>
    <row r="906" s="1" customFormat="1" ht="56.25" outlineLevel="1" spans="1:13">
      <c r="A906" s="24">
        <v>4</v>
      </c>
      <c r="B906" s="25" t="s">
        <v>200</v>
      </c>
      <c r="C906" s="25" t="s">
        <v>364</v>
      </c>
      <c r="D906" s="26" t="s">
        <v>51</v>
      </c>
      <c r="E906" s="27">
        <v>36</v>
      </c>
      <c r="F906" s="28">
        <v>26.59</v>
      </c>
      <c r="G906" s="29">
        <v>33</v>
      </c>
      <c r="H906" s="29">
        <v>22.37</v>
      </c>
      <c r="I906" s="29">
        <f t="shared" si="65"/>
        <v>8.196</v>
      </c>
      <c r="J906" s="29">
        <f t="shared" si="66"/>
        <v>8.11404</v>
      </c>
      <c r="K906" s="29">
        <f t="shared" si="67"/>
        <v>98.27004</v>
      </c>
      <c r="L906" s="23">
        <f t="shared" si="68"/>
        <v>3537.72144</v>
      </c>
      <c r="M906" s="39" t="s">
        <v>202</v>
      </c>
    </row>
    <row r="907" s="1" customFormat="1" ht="56.25" outlineLevel="1" spans="1:13">
      <c r="A907" s="24">
        <v>5</v>
      </c>
      <c r="B907" s="25" t="s">
        <v>200</v>
      </c>
      <c r="C907" s="25" t="s">
        <v>365</v>
      </c>
      <c r="D907" s="26" t="s">
        <v>51</v>
      </c>
      <c r="E907" s="27">
        <v>42</v>
      </c>
      <c r="F907" s="28">
        <v>26.59</v>
      </c>
      <c r="G907" s="29">
        <v>33</v>
      </c>
      <c r="H907" s="29">
        <v>22.37</v>
      </c>
      <c r="I907" s="29">
        <f t="shared" si="65"/>
        <v>8.196</v>
      </c>
      <c r="J907" s="29">
        <f t="shared" si="66"/>
        <v>8.11404</v>
      </c>
      <c r="K907" s="29">
        <f t="shared" si="67"/>
        <v>98.27004</v>
      </c>
      <c r="L907" s="23">
        <f t="shared" si="68"/>
        <v>4127.34168</v>
      </c>
      <c r="M907" s="39" t="s">
        <v>202</v>
      </c>
    </row>
    <row r="908" s="1" customFormat="1" ht="67.5" outlineLevel="1" spans="1:13">
      <c r="A908" s="24">
        <v>6</v>
      </c>
      <c r="B908" s="25" t="s">
        <v>200</v>
      </c>
      <c r="C908" s="25" t="s">
        <v>366</v>
      </c>
      <c r="D908" s="26" t="s">
        <v>51</v>
      </c>
      <c r="E908" s="27">
        <v>39</v>
      </c>
      <c r="F908" s="28">
        <v>26.59</v>
      </c>
      <c r="G908" s="29">
        <v>33</v>
      </c>
      <c r="H908" s="29">
        <v>22.37</v>
      </c>
      <c r="I908" s="29">
        <f t="shared" si="65"/>
        <v>8.196</v>
      </c>
      <c r="J908" s="29">
        <f t="shared" si="66"/>
        <v>8.11404</v>
      </c>
      <c r="K908" s="29">
        <f t="shared" si="67"/>
        <v>98.27004</v>
      </c>
      <c r="L908" s="23">
        <f t="shared" si="68"/>
        <v>3832.53156</v>
      </c>
      <c r="M908" s="39" t="s">
        <v>202</v>
      </c>
    </row>
    <row r="909" s="1" customFormat="1" ht="67.5" outlineLevel="1" spans="1:13">
      <c r="A909" s="24">
        <v>7</v>
      </c>
      <c r="B909" s="25" t="s">
        <v>200</v>
      </c>
      <c r="C909" s="25" t="s">
        <v>367</v>
      </c>
      <c r="D909" s="26" t="s">
        <v>51</v>
      </c>
      <c r="E909" s="27">
        <v>15</v>
      </c>
      <c r="F909" s="28">
        <v>26.59</v>
      </c>
      <c r="G909" s="29">
        <v>34</v>
      </c>
      <c r="H909" s="29">
        <v>22.37</v>
      </c>
      <c r="I909" s="29">
        <f t="shared" si="65"/>
        <v>8.296</v>
      </c>
      <c r="J909" s="29">
        <f t="shared" si="66"/>
        <v>8.21304</v>
      </c>
      <c r="K909" s="29">
        <f t="shared" si="67"/>
        <v>99.46904</v>
      </c>
      <c r="L909" s="23">
        <f t="shared" si="68"/>
        <v>1492.0356</v>
      </c>
      <c r="M909" s="39" t="s">
        <v>202</v>
      </c>
    </row>
    <row r="910" s="1" customFormat="1" ht="56.25" outlineLevel="1" spans="1:13">
      <c r="A910" s="24">
        <v>8</v>
      </c>
      <c r="B910" s="25" t="s">
        <v>154</v>
      </c>
      <c r="C910" s="25" t="s">
        <v>206</v>
      </c>
      <c r="D910" s="26" t="s">
        <v>42</v>
      </c>
      <c r="E910" s="27">
        <v>2653.04</v>
      </c>
      <c r="F910" s="28">
        <v>0.92</v>
      </c>
      <c r="G910" s="29">
        <v>1.93</v>
      </c>
      <c r="H910" s="29">
        <v>0.85</v>
      </c>
      <c r="I910" s="29">
        <f t="shared" si="65"/>
        <v>0.37</v>
      </c>
      <c r="J910" s="29">
        <f t="shared" si="66"/>
        <v>0.3663</v>
      </c>
      <c r="K910" s="29">
        <f t="shared" si="67"/>
        <v>4.4363</v>
      </c>
      <c r="L910" s="23">
        <f t="shared" si="68"/>
        <v>11769.681352</v>
      </c>
      <c r="M910" s="39" t="s">
        <v>142</v>
      </c>
    </row>
    <row r="911" s="4" customFormat="1" spans="1:13">
      <c r="A911" s="40" t="s">
        <v>207</v>
      </c>
      <c r="B911" s="41" t="s">
        <v>474</v>
      </c>
      <c r="C911" s="41"/>
      <c r="D911" s="40"/>
      <c r="E911" s="40"/>
      <c r="F911" s="40"/>
      <c r="G911" s="23"/>
      <c r="H911" s="42"/>
      <c r="I911" s="42"/>
      <c r="J911" s="42"/>
      <c r="K911" s="42"/>
      <c r="L911" s="44">
        <f>SUM(L821:L910)</f>
        <v>409502.526081</v>
      </c>
      <c r="M911" s="45"/>
    </row>
    <row r="912" s="1" customFormat="1" outlineLevel="1" spans="1:13">
      <c r="A912" s="20" t="s">
        <v>38</v>
      </c>
      <c r="B912" s="47" t="s">
        <v>475</v>
      </c>
      <c r="C912" s="47"/>
      <c r="D912" s="48"/>
      <c r="E912" s="48"/>
      <c r="F912" s="20"/>
      <c r="G912" s="20"/>
      <c r="H912" s="20"/>
      <c r="I912" s="29">
        <f t="shared" si="65"/>
        <v>0</v>
      </c>
      <c r="J912" s="29">
        <f t="shared" si="66"/>
        <v>0</v>
      </c>
      <c r="K912" s="29"/>
      <c r="L912" s="23"/>
      <c r="M912" s="38"/>
    </row>
    <row r="913" s="1" customFormat="1" ht="78.75" outlineLevel="1" spans="1:13">
      <c r="A913" s="24">
        <v>1</v>
      </c>
      <c r="B913" s="30" t="s">
        <v>76</v>
      </c>
      <c r="C913" s="30" t="s">
        <v>476</v>
      </c>
      <c r="D913" s="31" t="s">
        <v>42</v>
      </c>
      <c r="E913" s="49">
        <v>1358.92</v>
      </c>
      <c r="F913" s="24">
        <v>36.52</v>
      </c>
      <c r="G913" s="24">
        <f>80.67+10</f>
        <v>90.67</v>
      </c>
      <c r="H913" s="24">
        <v>2.81</v>
      </c>
      <c r="I913" s="29">
        <f t="shared" si="65"/>
        <v>13</v>
      </c>
      <c r="J913" s="29">
        <f t="shared" si="66"/>
        <v>12.87</v>
      </c>
      <c r="K913" s="29">
        <f t="shared" si="67"/>
        <v>155.87</v>
      </c>
      <c r="L913" s="23">
        <f t="shared" si="68"/>
        <v>211814.8604</v>
      </c>
      <c r="M913" s="39" t="s">
        <v>43</v>
      </c>
    </row>
    <row r="914" s="1" customFormat="1" ht="78.75" outlineLevel="1" spans="1:13">
      <c r="A914" s="24">
        <v>2</v>
      </c>
      <c r="B914" s="30" t="s">
        <v>76</v>
      </c>
      <c r="C914" s="30" t="s">
        <v>77</v>
      </c>
      <c r="D914" s="31" t="s">
        <v>42</v>
      </c>
      <c r="E914" s="49">
        <v>621.6</v>
      </c>
      <c r="F914" s="28">
        <v>29.46</v>
      </c>
      <c r="G914" s="29">
        <f>46.5+10</f>
        <v>56.5</v>
      </c>
      <c r="H914" s="24">
        <v>1.31</v>
      </c>
      <c r="I914" s="29">
        <f t="shared" si="65"/>
        <v>8.727</v>
      </c>
      <c r="J914" s="29">
        <f t="shared" si="66"/>
        <v>8.63973</v>
      </c>
      <c r="K914" s="29">
        <f t="shared" si="67"/>
        <v>104.63673</v>
      </c>
      <c r="L914" s="23">
        <f t="shared" si="68"/>
        <v>65042.191368</v>
      </c>
      <c r="M914" s="39" t="s">
        <v>43</v>
      </c>
    </row>
    <row r="915" s="1" customFormat="1" ht="78.75" outlineLevel="1" spans="1:13">
      <c r="A915" s="24">
        <v>3</v>
      </c>
      <c r="B915" s="30" t="s">
        <v>76</v>
      </c>
      <c r="C915" s="30" t="s">
        <v>78</v>
      </c>
      <c r="D915" s="31" t="s">
        <v>42</v>
      </c>
      <c r="E915" s="49">
        <v>831.62</v>
      </c>
      <c r="F915" s="24">
        <v>27.39</v>
      </c>
      <c r="G915" s="29">
        <f>36.17+10</f>
        <v>46.17</v>
      </c>
      <c r="H915" s="24">
        <v>1.24</v>
      </c>
      <c r="I915" s="29">
        <f t="shared" si="65"/>
        <v>7.48</v>
      </c>
      <c r="J915" s="29">
        <f t="shared" si="66"/>
        <v>7.4052</v>
      </c>
      <c r="K915" s="29">
        <f t="shared" si="67"/>
        <v>89.6852</v>
      </c>
      <c r="L915" s="23">
        <f t="shared" si="68"/>
        <v>74584.006024</v>
      </c>
      <c r="M915" s="39" t="s">
        <v>43</v>
      </c>
    </row>
    <row r="916" s="1" customFormat="1" ht="78.75" outlineLevel="1" spans="1:13">
      <c r="A916" s="24">
        <v>4</v>
      </c>
      <c r="B916" s="30" t="s">
        <v>76</v>
      </c>
      <c r="C916" s="30" t="s">
        <v>79</v>
      </c>
      <c r="D916" s="31" t="s">
        <v>42</v>
      </c>
      <c r="E916" s="49">
        <v>8.45</v>
      </c>
      <c r="F916" s="24">
        <v>24.65</v>
      </c>
      <c r="G916" s="29">
        <f>30.67+10</f>
        <v>40.67</v>
      </c>
      <c r="H916" s="24">
        <v>1.31</v>
      </c>
      <c r="I916" s="29">
        <f t="shared" si="65"/>
        <v>6.663</v>
      </c>
      <c r="J916" s="29">
        <f t="shared" si="66"/>
        <v>6.59637</v>
      </c>
      <c r="K916" s="29">
        <f t="shared" si="67"/>
        <v>79.88937</v>
      </c>
      <c r="L916" s="23">
        <f t="shared" si="68"/>
        <v>675.0651765</v>
      </c>
      <c r="M916" s="39" t="s">
        <v>43</v>
      </c>
    </row>
    <row r="917" s="1" customFormat="1" ht="78.75" outlineLevel="1" spans="1:13">
      <c r="A917" s="24">
        <v>5</v>
      </c>
      <c r="B917" s="30" t="s">
        <v>76</v>
      </c>
      <c r="C917" s="30" t="s">
        <v>80</v>
      </c>
      <c r="D917" s="31" t="s">
        <v>42</v>
      </c>
      <c r="E917" s="49">
        <v>497.59</v>
      </c>
      <c r="F917" s="24">
        <v>35.77</v>
      </c>
      <c r="G917" s="29">
        <f>23.33+5</f>
        <v>28.33</v>
      </c>
      <c r="H917" s="29">
        <v>2.15</v>
      </c>
      <c r="I917" s="29">
        <f t="shared" si="65"/>
        <v>6.625</v>
      </c>
      <c r="J917" s="29">
        <f t="shared" si="66"/>
        <v>6.55875</v>
      </c>
      <c r="K917" s="29">
        <f t="shared" si="67"/>
        <v>79.43375</v>
      </c>
      <c r="L917" s="23">
        <f t="shared" si="68"/>
        <v>39525.4396625</v>
      </c>
      <c r="M917" s="39" t="s">
        <v>43</v>
      </c>
    </row>
    <row r="918" s="1" customFormat="1" ht="78.75" outlineLevel="1" spans="1:13">
      <c r="A918" s="24">
        <v>6</v>
      </c>
      <c r="B918" s="30" t="s">
        <v>76</v>
      </c>
      <c r="C918" s="30" t="s">
        <v>81</v>
      </c>
      <c r="D918" s="31" t="s">
        <v>42</v>
      </c>
      <c r="E918" s="49">
        <v>373.5</v>
      </c>
      <c r="F918" s="24">
        <v>31.86</v>
      </c>
      <c r="G918" s="29">
        <f>17.17+5</f>
        <v>22.17</v>
      </c>
      <c r="H918" s="29">
        <v>2.18</v>
      </c>
      <c r="I918" s="29">
        <f t="shared" si="65"/>
        <v>5.621</v>
      </c>
      <c r="J918" s="29">
        <f t="shared" si="66"/>
        <v>5.56479</v>
      </c>
      <c r="K918" s="29">
        <f t="shared" si="67"/>
        <v>67.39579</v>
      </c>
      <c r="L918" s="23">
        <f t="shared" si="68"/>
        <v>25172.327565</v>
      </c>
      <c r="M918" s="39" t="s">
        <v>43</v>
      </c>
    </row>
    <row r="919" s="1" customFormat="1" ht="78.75" outlineLevel="1" spans="1:13">
      <c r="A919" s="24">
        <v>7</v>
      </c>
      <c r="B919" s="30" t="s">
        <v>76</v>
      </c>
      <c r="C919" s="30" t="s">
        <v>82</v>
      </c>
      <c r="D919" s="31" t="s">
        <v>42</v>
      </c>
      <c r="E919" s="49">
        <v>2605.71</v>
      </c>
      <c r="F919" s="24">
        <v>22.4</v>
      </c>
      <c r="G919" s="29">
        <f>15.17+5</f>
        <v>20.17</v>
      </c>
      <c r="H919" s="29">
        <v>1.78</v>
      </c>
      <c r="I919" s="29">
        <f t="shared" si="65"/>
        <v>4.435</v>
      </c>
      <c r="J919" s="29">
        <f t="shared" si="66"/>
        <v>4.39065</v>
      </c>
      <c r="K919" s="29">
        <f t="shared" si="67"/>
        <v>53.17565</v>
      </c>
      <c r="L919" s="23">
        <f t="shared" si="68"/>
        <v>138560.3229615</v>
      </c>
      <c r="M919" s="39" t="s">
        <v>43</v>
      </c>
    </row>
    <row r="920" s="1" customFormat="1" ht="78.75" outlineLevel="1" spans="1:13">
      <c r="A920" s="24">
        <v>8</v>
      </c>
      <c r="B920" s="30" t="s">
        <v>76</v>
      </c>
      <c r="C920" s="30" t="s">
        <v>83</v>
      </c>
      <c r="D920" s="31" t="s">
        <v>42</v>
      </c>
      <c r="E920" s="49">
        <v>4581.96</v>
      </c>
      <c r="F920" s="24">
        <v>18.79</v>
      </c>
      <c r="G920" s="29">
        <f>11.17+5</f>
        <v>16.17</v>
      </c>
      <c r="H920" s="29">
        <v>1.46</v>
      </c>
      <c r="I920" s="29">
        <f t="shared" si="65"/>
        <v>3.642</v>
      </c>
      <c r="J920" s="29">
        <f t="shared" si="66"/>
        <v>3.60558</v>
      </c>
      <c r="K920" s="29">
        <f t="shared" si="67"/>
        <v>43.66758</v>
      </c>
      <c r="L920" s="23">
        <f t="shared" si="68"/>
        <v>200083.1048568</v>
      </c>
      <c r="M920" s="39" t="s">
        <v>43</v>
      </c>
    </row>
    <row r="921" s="1" customFormat="1" ht="78.75" outlineLevel="1" spans="1:13">
      <c r="A921" s="24">
        <v>9</v>
      </c>
      <c r="B921" s="30" t="s">
        <v>477</v>
      </c>
      <c r="C921" s="30" t="s">
        <v>478</v>
      </c>
      <c r="D921" s="31" t="s">
        <v>42</v>
      </c>
      <c r="E921" s="49">
        <v>3.06</v>
      </c>
      <c r="F921" s="24">
        <v>38.77</v>
      </c>
      <c r="G921" s="24">
        <v>23.33</v>
      </c>
      <c r="H921" s="24">
        <v>2.15</v>
      </c>
      <c r="I921" s="29">
        <f t="shared" si="65"/>
        <v>6.425</v>
      </c>
      <c r="J921" s="29">
        <f t="shared" si="66"/>
        <v>6.36075</v>
      </c>
      <c r="K921" s="29">
        <f t="shared" si="67"/>
        <v>77.03575</v>
      </c>
      <c r="L921" s="23">
        <f t="shared" si="68"/>
        <v>235.729395</v>
      </c>
      <c r="M921" s="39" t="s">
        <v>43</v>
      </c>
    </row>
    <row r="922" s="1" customFormat="1" ht="45" outlineLevel="1" spans="1:13">
      <c r="A922" s="24">
        <v>10</v>
      </c>
      <c r="B922" s="25" t="s">
        <v>45</v>
      </c>
      <c r="C922" s="25" t="s">
        <v>46</v>
      </c>
      <c r="D922" s="26" t="s">
        <v>47</v>
      </c>
      <c r="E922" s="49">
        <v>3339.92</v>
      </c>
      <c r="F922" s="28">
        <v>12.5</v>
      </c>
      <c r="G922" s="29">
        <v>3.92</v>
      </c>
      <c r="H922" s="29">
        <v>4.5</v>
      </c>
      <c r="I922" s="29">
        <f t="shared" si="65"/>
        <v>2.092</v>
      </c>
      <c r="J922" s="29">
        <f t="shared" si="66"/>
        <v>2.07108</v>
      </c>
      <c r="K922" s="29">
        <f t="shared" si="67"/>
        <v>25.08308</v>
      </c>
      <c r="L922" s="23">
        <f t="shared" si="68"/>
        <v>83775.4805536</v>
      </c>
      <c r="M922" s="39" t="s">
        <v>48</v>
      </c>
    </row>
    <row r="923" s="1" customFormat="1" ht="56.25" outlineLevel="1" spans="1:13">
      <c r="A923" s="24">
        <v>11</v>
      </c>
      <c r="B923" s="30" t="s">
        <v>84</v>
      </c>
      <c r="C923" s="30" t="s">
        <v>479</v>
      </c>
      <c r="D923" s="31" t="s">
        <v>60</v>
      </c>
      <c r="E923" s="49">
        <f>2903+10</f>
        <v>2913</v>
      </c>
      <c r="F923" s="24">
        <v>10.74</v>
      </c>
      <c r="G923" s="24">
        <v>6.3</v>
      </c>
      <c r="H923" s="29">
        <v>3.26</v>
      </c>
      <c r="I923" s="29">
        <f t="shared" si="65"/>
        <v>2.03</v>
      </c>
      <c r="J923" s="29">
        <f t="shared" si="66"/>
        <v>2.0097</v>
      </c>
      <c r="K923" s="29">
        <f t="shared" si="67"/>
        <v>24.3397</v>
      </c>
      <c r="L923" s="29">
        <f t="shared" si="68"/>
        <v>70901.5461</v>
      </c>
      <c r="M923" s="39" t="s">
        <v>86</v>
      </c>
    </row>
    <row r="924" s="1" customFormat="1" ht="32" customHeight="1" outlineLevel="1" spans="1:13">
      <c r="A924" s="24">
        <v>12</v>
      </c>
      <c r="B924" s="25" t="s">
        <v>480</v>
      </c>
      <c r="C924" s="25" t="s">
        <v>481</v>
      </c>
      <c r="D924" s="26" t="s">
        <v>60</v>
      </c>
      <c r="E924" s="49">
        <v>133</v>
      </c>
      <c r="F924" s="24">
        <v>10.74</v>
      </c>
      <c r="G924" s="24">
        <v>6.3</v>
      </c>
      <c r="H924" s="24">
        <v>3.4</v>
      </c>
      <c r="I924" s="29">
        <f t="shared" si="65"/>
        <v>2.044</v>
      </c>
      <c r="J924" s="29">
        <f t="shared" si="66"/>
        <v>2.02356</v>
      </c>
      <c r="K924" s="29">
        <f t="shared" si="67"/>
        <v>24.50756</v>
      </c>
      <c r="L924" s="29">
        <f t="shared" si="68"/>
        <v>3259.50548</v>
      </c>
      <c r="M924" s="39" t="s">
        <v>86</v>
      </c>
    </row>
    <row r="925" s="1" customFormat="1" ht="56.25" outlineLevel="1" spans="1:13">
      <c r="A925" s="24">
        <v>13</v>
      </c>
      <c r="B925" s="30" t="s">
        <v>88</v>
      </c>
      <c r="C925" s="30" t="s">
        <v>482</v>
      </c>
      <c r="D925" s="31" t="s">
        <v>60</v>
      </c>
      <c r="E925" s="49">
        <v>6</v>
      </c>
      <c r="F925" s="24">
        <v>182.24</v>
      </c>
      <c r="G925" s="24">
        <v>58</v>
      </c>
      <c r="H925" s="24">
        <v>32.39</v>
      </c>
      <c r="I925" s="29">
        <f t="shared" si="65"/>
        <v>27.263</v>
      </c>
      <c r="J925" s="29">
        <f t="shared" si="66"/>
        <v>26.99037</v>
      </c>
      <c r="K925" s="29">
        <f t="shared" si="67"/>
        <v>326.88337</v>
      </c>
      <c r="L925" s="29">
        <f t="shared" si="68"/>
        <v>1961.30022</v>
      </c>
      <c r="M925" s="39" t="s">
        <v>86</v>
      </c>
    </row>
    <row r="926" s="1" customFormat="1" ht="45" outlineLevel="1" spans="1:13">
      <c r="A926" s="24">
        <v>14</v>
      </c>
      <c r="B926" s="30" t="s">
        <v>58</v>
      </c>
      <c r="C926" s="30" t="s">
        <v>483</v>
      </c>
      <c r="D926" s="31" t="s">
        <v>60</v>
      </c>
      <c r="E926" s="49">
        <f>6+8</f>
        <v>14</v>
      </c>
      <c r="F926" s="24">
        <v>121.32</v>
      </c>
      <c r="G926" s="24">
        <v>80</v>
      </c>
      <c r="H926" s="24">
        <v>29.52</v>
      </c>
      <c r="I926" s="29">
        <f t="shared" si="65"/>
        <v>23.084</v>
      </c>
      <c r="J926" s="29">
        <f t="shared" si="66"/>
        <v>22.85316</v>
      </c>
      <c r="K926" s="29">
        <f t="shared" si="67"/>
        <v>276.77716</v>
      </c>
      <c r="L926" s="29">
        <f t="shared" si="68"/>
        <v>3874.88024</v>
      </c>
      <c r="M926" s="39" t="s">
        <v>86</v>
      </c>
    </row>
    <row r="927" s="1" customFormat="1" ht="45" outlineLevel="1" spans="1:13">
      <c r="A927" s="24">
        <v>15</v>
      </c>
      <c r="B927" s="30" t="s">
        <v>58</v>
      </c>
      <c r="C927" s="30" t="s">
        <v>484</v>
      </c>
      <c r="D927" s="31" t="s">
        <v>60</v>
      </c>
      <c r="E927" s="49">
        <v>6</v>
      </c>
      <c r="F927" s="24">
        <v>121.32</v>
      </c>
      <c r="G927" s="24">
        <v>50</v>
      </c>
      <c r="H927" s="24">
        <v>29.52</v>
      </c>
      <c r="I927" s="29">
        <f t="shared" si="65"/>
        <v>20.084</v>
      </c>
      <c r="J927" s="29">
        <f t="shared" si="66"/>
        <v>19.88316</v>
      </c>
      <c r="K927" s="29">
        <f t="shared" si="67"/>
        <v>240.80716</v>
      </c>
      <c r="L927" s="29">
        <f t="shared" si="68"/>
        <v>1444.84296</v>
      </c>
      <c r="M927" s="39" t="s">
        <v>61</v>
      </c>
    </row>
    <row r="928" s="1" customFormat="1" ht="45" outlineLevel="1" spans="1:13">
      <c r="A928" s="24">
        <v>16</v>
      </c>
      <c r="B928" s="30" t="s">
        <v>58</v>
      </c>
      <c r="C928" s="30" t="s">
        <v>485</v>
      </c>
      <c r="D928" s="31" t="s">
        <v>60</v>
      </c>
      <c r="E928" s="49">
        <v>7</v>
      </c>
      <c r="F928" s="24">
        <v>121.32</v>
      </c>
      <c r="G928" s="24">
        <v>75</v>
      </c>
      <c r="H928" s="24">
        <v>29.52</v>
      </c>
      <c r="I928" s="29">
        <f t="shared" si="65"/>
        <v>22.584</v>
      </c>
      <c r="J928" s="29">
        <f t="shared" si="66"/>
        <v>22.35816</v>
      </c>
      <c r="K928" s="29">
        <f t="shared" si="67"/>
        <v>270.78216</v>
      </c>
      <c r="L928" s="29">
        <f t="shared" si="68"/>
        <v>1895.47512</v>
      </c>
      <c r="M928" s="39" t="s">
        <v>61</v>
      </c>
    </row>
    <row r="929" s="1" customFormat="1" ht="45" outlineLevel="1" spans="1:13">
      <c r="A929" s="24">
        <v>17</v>
      </c>
      <c r="B929" s="30" t="s">
        <v>58</v>
      </c>
      <c r="C929" s="30" t="s">
        <v>486</v>
      </c>
      <c r="D929" s="31" t="s">
        <v>60</v>
      </c>
      <c r="E929" s="49">
        <v>4</v>
      </c>
      <c r="F929" s="24">
        <v>79.59</v>
      </c>
      <c r="G929" s="24">
        <v>60</v>
      </c>
      <c r="H929" s="29">
        <v>18.2</v>
      </c>
      <c r="I929" s="29">
        <f t="shared" si="65"/>
        <v>15.779</v>
      </c>
      <c r="J929" s="29">
        <f t="shared" si="66"/>
        <v>15.62121</v>
      </c>
      <c r="K929" s="29">
        <f t="shared" si="67"/>
        <v>189.19021</v>
      </c>
      <c r="L929" s="29">
        <f t="shared" si="68"/>
        <v>756.76084</v>
      </c>
      <c r="M929" s="39" t="s">
        <v>61</v>
      </c>
    </row>
    <row r="930" s="1" customFormat="1" ht="33.75" outlineLevel="1" spans="1:13">
      <c r="A930" s="24">
        <v>18</v>
      </c>
      <c r="B930" s="25" t="s">
        <v>62</v>
      </c>
      <c r="C930" s="25" t="s">
        <v>487</v>
      </c>
      <c r="D930" s="26" t="s">
        <v>64</v>
      </c>
      <c r="E930" s="49">
        <f>E925+E926+E927+E928</f>
        <v>33</v>
      </c>
      <c r="F930" s="24">
        <v>93.91</v>
      </c>
      <c r="G930" s="24">
        <v>23</v>
      </c>
      <c r="H930" s="24">
        <v>63.5</v>
      </c>
      <c r="I930" s="29">
        <f t="shared" si="65"/>
        <v>18.041</v>
      </c>
      <c r="J930" s="29">
        <f t="shared" si="66"/>
        <v>17.86059</v>
      </c>
      <c r="K930" s="29">
        <f t="shared" si="67"/>
        <v>216.31159</v>
      </c>
      <c r="L930" s="23">
        <f t="shared" si="68"/>
        <v>7138.28247</v>
      </c>
      <c r="M930" s="39" t="s">
        <v>61</v>
      </c>
    </row>
    <row r="931" s="1" customFormat="1" ht="33.75" outlineLevel="1" spans="1:13">
      <c r="A931" s="24">
        <v>19</v>
      </c>
      <c r="B931" s="25" t="s">
        <v>62</v>
      </c>
      <c r="C931" s="25" t="s">
        <v>63</v>
      </c>
      <c r="D931" s="26" t="s">
        <v>64</v>
      </c>
      <c r="E931" s="49">
        <v>4</v>
      </c>
      <c r="F931" s="24">
        <v>65.22</v>
      </c>
      <c r="G931" s="24">
        <v>15</v>
      </c>
      <c r="H931" s="29">
        <v>36.25</v>
      </c>
      <c r="I931" s="29">
        <f t="shared" si="65"/>
        <v>11.647</v>
      </c>
      <c r="J931" s="29">
        <f t="shared" si="66"/>
        <v>11.53053</v>
      </c>
      <c r="K931" s="29">
        <f t="shared" si="67"/>
        <v>139.64753</v>
      </c>
      <c r="L931" s="23">
        <f t="shared" si="68"/>
        <v>558.59012</v>
      </c>
      <c r="M931" s="39" t="s">
        <v>61</v>
      </c>
    </row>
    <row r="932" s="1" customFormat="1" ht="45" outlineLevel="1" spans="1:13">
      <c r="A932" s="24">
        <v>20</v>
      </c>
      <c r="B932" s="30" t="s">
        <v>488</v>
      </c>
      <c r="C932" s="30" t="s">
        <v>489</v>
      </c>
      <c r="D932" s="31" t="s">
        <v>60</v>
      </c>
      <c r="E932" s="49">
        <v>6</v>
      </c>
      <c r="F932" s="24">
        <v>35.24</v>
      </c>
      <c r="G932" s="24">
        <v>110</v>
      </c>
      <c r="H932" s="24">
        <v>23.4</v>
      </c>
      <c r="I932" s="29">
        <f t="shared" si="65"/>
        <v>16.864</v>
      </c>
      <c r="J932" s="29">
        <f t="shared" si="66"/>
        <v>16.69536</v>
      </c>
      <c r="K932" s="29">
        <f t="shared" si="67"/>
        <v>202.19936</v>
      </c>
      <c r="L932" s="29">
        <f t="shared" si="68"/>
        <v>1213.19616</v>
      </c>
      <c r="M932" s="39" t="s">
        <v>61</v>
      </c>
    </row>
    <row r="933" s="1" customFormat="1" ht="45" outlineLevel="1" spans="1:13">
      <c r="A933" s="24">
        <v>21</v>
      </c>
      <c r="B933" s="30" t="s">
        <v>65</v>
      </c>
      <c r="C933" s="30" t="s">
        <v>66</v>
      </c>
      <c r="D933" s="31" t="s">
        <v>60</v>
      </c>
      <c r="E933" s="49">
        <v>6</v>
      </c>
      <c r="F933" s="24">
        <v>19.59</v>
      </c>
      <c r="G933" s="24">
        <v>15</v>
      </c>
      <c r="H933" s="29">
        <v>5.54</v>
      </c>
      <c r="I933" s="29">
        <f t="shared" ref="I933:I996" si="69">(F933+G933+H933)*$I$4</f>
        <v>4.013</v>
      </c>
      <c r="J933" s="29">
        <f t="shared" ref="J933:J996" si="70">(F933+G933+H933+I933)*$J$4</f>
        <v>3.97287</v>
      </c>
      <c r="K933" s="29">
        <f t="shared" si="67"/>
        <v>48.11587</v>
      </c>
      <c r="L933" s="23">
        <f t="shared" si="68"/>
        <v>288.69522</v>
      </c>
      <c r="M933" s="39" t="s">
        <v>61</v>
      </c>
    </row>
    <row r="934" s="1" customFormat="1" ht="45" outlineLevel="1" spans="1:13">
      <c r="A934" s="24">
        <v>22</v>
      </c>
      <c r="B934" s="30" t="s">
        <v>67</v>
      </c>
      <c r="C934" s="30" t="s">
        <v>68</v>
      </c>
      <c r="D934" s="31" t="s">
        <v>60</v>
      </c>
      <c r="E934" s="49">
        <v>6</v>
      </c>
      <c r="F934" s="28">
        <v>14.37</v>
      </c>
      <c r="G934" s="24">
        <v>25</v>
      </c>
      <c r="H934" s="29">
        <v>6.4</v>
      </c>
      <c r="I934" s="29">
        <f t="shared" si="69"/>
        <v>4.577</v>
      </c>
      <c r="J934" s="29">
        <f t="shared" si="70"/>
        <v>4.53123</v>
      </c>
      <c r="K934" s="29">
        <f t="shared" si="67"/>
        <v>54.87823</v>
      </c>
      <c r="L934" s="23">
        <f t="shared" si="68"/>
        <v>329.26938</v>
      </c>
      <c r="M934" s="39" t="s">
        <v>61</v>
      </c>
    </row>
    <row r="935" s="1" customFormat="1" ht="56.25" outlineLevel="1" spans="1:13">
      <c r="A935" s="24">
        <v>23</v>
      </c>
      <c r="B935" s="30" t="s">
        <v>92</v>
      </c>
      <c r="C935" s="30" t="s">
        <v>490</v>
      </c>
      <c r="D935" s="31" t="s">
        <v>94</v>
      </c>
      <c r="E935" s="49">
        <v>4</v>
      </c>
      <c r="F935" s="24">
        <v>130.92</v>
      </c>
      <c r="G935" s="24">
        <v>30</v>
      </c>
      <c r="H935" s="29">
        <v>9.2</v>
      </c>
      <c r="I935" s="29">
        <f t="shared" si="69"/>
        <v>17.012</v>
      </c>
      <c r="J935" s="29">
        <f t="shared" si="70"/>
        <v>16.84188</v>
      </c>
      <c r="K935" s="29">
        <f t="shared" si="67"/>
        <v>203.97388</v>
      </c>
      <c r="L935" s="23">
        <f t="shared" si="68"/>
        <v>815.89552</v>
      </c>
      <c r="M935" s="39" t="s">
        <v>61</v>
      </c>
    </row>
    <row r="936" s="1" customFormat="1" ht="45" outlineLevel="1" spans="1:13">
      <c r="A936" s="24">
        <v>24</v>
      </c>
      <c r="B936" s="30" t="s">
        <v>95</v>
      </c>
      <c r="C936" s="30" t="s">
        <v>96</v>
      </c>
      <c r="D936" s="31" t="s">
        <v>60</v>
      </c>
      <c r="E936" s="49">
        <v>2</v>
      </c>
      <c r="F936" s="24">
        <v>130.92</v>
      </c>
      <c r="G936" s="24">
        <v>25</v>
      </c>
      <c r="H936" s="29">
        <v>9.2</v>
      </c>
      <c r="I936" s="29">
        <f t="shared" si="69"/>
        <v>16.512</v>
      </c>
      <c r="J936" s="29">
        <f t="shared" si="70"/>
        <v>16.34688</v>
      </c>
      <c r="K936" s="29">
        <f t="shared" si="67"/>
        <v>197.97888</v>
      </c>
      <c r="L936" s="23">
        <f t="shared" si="68"/>
        <v>395.95776</v>
      </c>
      <c r="M936" s="39" t="s">
        <v>61</v>
      </c>
    </row>
    <row r="937" s="1" customFormat="1" ht="45" outlineLevel="1" spans="1:13">
      <c r="A937" s="24">
        <v>25</v>
      </c>
      <c r="B937" s="30" t="s">
        <v>491</v>
      </c>
      <c r="C937" s="30" t="s">
        <v>492</v>
      </c>
      <c r="D937" s="31" t="s">
        <v>51</v>
      </c>
      <c r="E937" s="49">
        <v>4</v>
      </c>
      <c r="F937" s="24">
        <v>540.5</v>
      </c>
      <c r="G937" s="24">
        <v>800</v>
      </c>
      <c r="H937" s="24">
        <v>53.6</v>
      </c>
      <c r="I937" s="29">
        <f t="shared" si="69"/>
        <v>139.41</v>
      </c>
      <c r="J937" s="29">
        <f t="shared" si="70"/>
        <v>138.0159</v>
      </c>
      <c r="K937" s="29">
        <f t="shared" si="67"/>
        <v>1671.5259</v>
      </c>
      <c r="L937" s="23">
        <f t="shared" si="68"/>
        <v>6686.1036</v>
      </c>
      <c r="M937" s="39" t="s">
        <v>61</v>
      </c>
    </row>
    <row r="938" s="1" customFormat="1" outlineLevel="1" spans="1:13">
      <c r="A938" s="24">
        <v>26</v>
      </c>
      <c r="B938" s="30" t="s">
        <v>97</v>
      </c>
      <c r="C938" s="30" t="s">
        <v>98</v>
      </c>
      <c r="D938" s="31" t="s">
        <v>71</v>
      </c>
      <c r="E938" s="49">
        <v>1</v>
      </c>
      <c r="F938" s="24">
        <v>366.15</v>
      </c>
      <c r="G938" s="24">
        <v>0</v>
      </c>
      <c r="H938" s="29">
        <v>185</v>
      </c>
      <c r="I938" s="29">
        <f t="shared" si="69"/>
        <v>55.115</v>
      </c>
      <c r="J938" s="29">
        <f t="shared" si="70"/>
        <v>54.56385</v>
      </c>
      <c r="K938" s="29">
        <f t="shared" si="67"/>
        <v>660.82885</v>
      </c>
      <c r="L938" s="23">
        <f t="shared" si="68"/>
        <v>660.82885</v>
      </c>
      <c r="M938" s="39"/>
    </row>
    <row r="939" s="1" customFormat="1" outlineLevel="1" spans="1:13">
      <c r="A939" s="20" t="s">
        <v>74</v>
      </c>
      <c r="B939" s="47" t="s">
        <v>493</v>
      </c>
      <c r="C939" s="47"/>
      <c r="D939" s="48"/>
      <c r="E939" s="48"/>
      <c r="F939" s="20"/>
      <c r="G939" s="20"/>
      <c r="H939" s="20"/>
      <c r="I939" s="29">
        <f t="shared" si="69"/>
        <v>0</v>
      </c>
      <c r="J939" s="29">
        <f t="shared" si="70"/>
        <v>0</v>
      </c>
      <c r="K939" s="29">
        <f t="shared" si="67"/>
        <v>0</v>
      </c>
      <c r="L939" s="23">
        <f t="shared" si="68"/>
        <v>0</v>
      </c>
      <c r="M939" s="38"/>
    </row>
    <row r="940" s="1" customFormat="1" ht="78.75" outlineLevel="1" spans="1:13">
      <c r="A940" s="50">
        <v>1</v>
      </c>
      <c r="B940" s="30" t="s">
        <v>40</v>
      </c>
      <c r="C940" s="30" t="s">
        <v>476</v>
      </c>
      <c r="D940" s="31" t="s">
        <v>42</v>
      </c>
      <c r="E940" s="49">
        <v>870.61</v>
      </c>
      <c r="F940" s="50">
        <v>36.52</v>
      </c>
      <c r="G940" s="24">
        <f>80.67+10</f>
        <v>90.67</v>
      </c>
      <c r="H940" s="50">
        <v>2.81</v>
      </c>
      <c r="I940" s="29">
        <f t="shared" si="69"/>
        <v>13</v>
      </c>
      <c r="J940" s="29">
        <f t="shared" si="70"/>
        <v>12.87</v>
      </c>
      <c r="K940" s="29">
        <f t="shared" si="67"/>
        <v>155.87</v>
      </c>
      <c r="L940" s="23">
        <f t="shared" si="68"/>
        <v>135701.9807</v>
      </c>
      <c r="M940" s="39" t="s">
        <v>43</v>
      </c>
    </row>
    <row r="941" s="1" customFormat="1" ht="78.75" outlineLevel="1" spans="1:13">
      <c r="A941" s="50">
        <v>2</v>
      </c>
      <c r="B941" s="30" t="s">
        <v>40</v>
      </c>
      <c r="C941" s="30" t="s">
        <v>77</v>
      </c>
      <c r="D941" s="31" t="s">
        <v>42</v>
      </c>
      <c r="E941" s="49">
        <v>870.87</v>
      </c>
      <c r="F941" s="28">
        <v>29.46</v>
      </c>
      <c r="G941" s="29">
        <f>46.5+10</f>
        <v>56.5</v>
      </c>
      <c r="H941" s="29">
        <v>1.31</v>
      </c>
      <c r="I941" s="29">
        <f t="shared" si="69"/>
        <v>8.727</v>
      </c>
      <c r="J941" s="29">
        <f t="shared" si="70"/>
        <v>8.63973</v>
      </c>
      <c r="K941" s="29">
        <f t="shared" si="67"/>
        <v>104.63673</v>
      </c>
      <c r="L941" s="23">
        <f t="shared" si="68"/>
        <v>91124.9890551</v>
      </c>
      <c r="M941" s="39" t="s">
        <v>43</v>
      </c>
    </row>
    <row r="942" s="1" customFormat="1" ht="78.75" outlineLevel="1" spans="1:13">
      <c r="A942" s="50">
        <v>3</v>
      </c>
      <c r="B942" s="30" t="s">
        <v>40</v>
      </c>
      <c r="C942" s="30" t="s">
        <v>79</v>
      </c>
      <c r="D942" s="31" t="s">
        <v>42</v>
      </c>
      <c r="E942" s="49">
        <v>586.49</v>
      </c>
      <c r="F942" s="28">
        <v>24.65</v>
      </c>
      <c r="G942" s="29">
        <f>30.67+10</f>
        <v>40.67</v>
      </c>
      <c r="H942" s="29">
        <v>1.31</v>
      </c>
      <c r="I942" s="29">
        <f t="shared" si="69"/>
        <v>6.663</v>
      </c>
      <c r="J942" s="29">
        <f t="shared" si="70"/>
        <v>6.59637</v>
      </c>
      <c r="K942" s="29">
        <f t="shared" si="67"/>
        <v>79.88937</v>
      </c>
      <c r="L942" s="23">
        <f t="shared" si="68"/>
        <v>46854.3166113</v>
      </c>
      <c r="M942" s="39" t="s">
        <v>43</v>
      </c>
    </row>
    <row r="943" s="1" customFormat="1" ht="45" outlineLevel="1" spans="1:13">
      <c r="A943" s="50">
        <v>4</v>
      </c>
      <c r="B943" s="25" t="s">
        <v>45</v>
      </c>
      <c r="C943" s="25" t="s">
        <v>46</v>
      </c>
      <c r="D943" s="26" t="s">
        <v>47</v>
      </c>
      <c r="E943" s="49">
        <v>1273.78</v>
      </c>
      <c r="F943" s="28">
        <v>12.5</v>
      </c>
      <c r="G943" s="29">
        <v>3.92</v>
      </c>
      <c r="H943" s="29">
        <v>4.5</v>
      </c>
      <c r="I943" s="29">
        <f t="shared" si="69"/>
        <v>2.092</v>
      </c>
      <c r="J943" s="29">
        <f t="shared" si="70"/>
        <v>2.07108</v>
      </c>
      <c r="K943" s="29">
        <f t="shared" si="67"/>
        <v>25.08308</v>
      </c>
      <c r="L943" s="23">
        <f t="shared" si="68"/>
        <v>31950.3256424</v>
      </c>
      <c r="M943" s="39" t="s">
        <v>48</v>
      </c>
    </row>
    <row r="944" s="1" customFormat="1" ht="78.75" outlineLevel="1" spans="1:13">
      <c r="A944" s="50">
        <v>5</v>
      </c>
      <c r="B944" s="30" t="s">
        <v>494</v>
      </c>
      <c r="C944" s="30" t="s">
        <v>495</v>
      </c>
      <c r="D944" s="31" t="s">
        <v>51</v>
      </c>
      <c r="E944" s="49">
        <v>58</v>
      </c>
      <c r="F944" s="24">
        <v>75.07</v>
      </c>
      <c r="G944" s="29">
        <v>375</v>
      </c>
      <c r="H944" s="29">
        <v>3.63</v>
      </c>
      <c r="I944" s="29">
        <f t="shared" si="69"/>
        <v>45.37</v>
      </c>
      <c r="J944" s="29">
        <f t="shared" si="70"/>
        <v>44.9163</v>
      </c>
      <c r="K944" s="29">
        <f t="shared" si="67"/>
        <v>543.9863</v>
      </c>
      <c r="L944" s="23">
        <f t="shared" si="68"/>
        <v>31551.2054</v>
      </c>
      <c r="M944" s="39" t="s">
        <v>52</v>
      </c>
    </row>
    <row r="945" s="1" customFormat="1" ht="45" outlineLevel="1" spans="1:13">
      <c r="A945" s="50">
        <v>6</v>
      </c>
      <c r="B945" s="30" t="s">
        <v>54</v>
      </c>
      <c r="C945" s="30" t="s">
        <v>496</v>
      </c>
      <c r="D945" s="31" t="s">
        <v>56</v>
      </c>
      <c r="E945" s="49">
        <v>212</v>
      </c>
      <c r="F945" s="24">
        <v>1.96</v>
      </c>
      <c r="G945" s="24">
        <v>38</v>
      </c>
      <c r="H945" s="29">
        <v>0.5</v>
      </c>
      <c r="I945" s="29">
        <f t="shared" si="69"/>
        <v>4.046</v>
      </c>
      <c r="J945" s="29">
        <f t="shared" si="70"/>
        <v>4.00554</v>
      </c>
      <c r="K945" s="29">
        <f t="shared" si="67"/>
        <v>48.51154</v>
      </c>
      <c r="L945" s="23">
        <f t="shared" si="68"/>
        <v>10284.44648</v>
      </c>
      <c r="M945" s="39" t="s">
        <v>57</v>
      </c>
    </row>
    <row r="946" s="1" customFormat="1" ht="45" outlineLevel="1" spans="1:13">
      <c r="A946" s="24">
        <v>7</v>
      </c>
      <c r="B946" s="25" t="s">
        <v>219</v>
      </c>
      <c r="C946" s="25" t="s">
        <v>497</v>
      </c>
      <c r="D946" s="26" t="s">
        <v>60</v>
      </c>
      <c r="E946" s="49">
        <f>E945/2</f>
        <v>106</v>
      </c>
      <c r="F946" s="24">
        <v>1.96</v>
      </c>
      <c r="G946" s="29">
        <v>38</v>
      </c>
      <c r="H946" s="29">
        <v>0.5</v>
      </c>
      <c r="I946" s="29">
        <f t="shared" si="69"/>
        <v>4.046</v>
      </c>
      <c r="J946" s="29">
        <f t="shared" si="70"/>
        <v>4.00554</v>
      </c>
      <c r="K946" s="29">
        <f t="shared" si="67"/>
        <v>48.51154</v>
      </c>
      <c r="L946" s="23">
        <f t="shared" si="68"/>
        <v>5142.22324</v>
      </c>
      <c r="M946" s="39" t="s">
        <v>57</v>
      </c>
    </row>
    <row r="947" s="1" customFormat="1" ht="33.75" outlineLevel="1" spans="1:13">
      <c r="A947" s="50">
        <v>8</v>
      </c>
      <c r="B947" s="30" t="s">
        <v>58</v>
      </c>
      <c r="C947" s="30" t="s">
        <v>498</v>
      </c>
      <c r="D947" s="31" t="s">
        <v>60</v>
      </c>
      <c r="E947" s="49">
        <v>22</v>
      </c>
      <c r="F947" s="24">
        <v>121.32</v>
      </c>
      <c r="G947" s="24">
        <v>85</v>
      </c>
      <c r="H947" s="24">
        <v>29.52</v>
      </c>
      <c r="I947" s="29">
        <f t="shared" si="69"/>
        <v>23.584</v>
      </c>
      <c r="J947" s="29">
        <f t="shared" si="70"/>
        <v>23.34816</v>
      </c>
      <c r="K947" s="29">
        <f t="shared" si="67"/>
        <v>282.77216</v>
      </c>
      <c r="L947" s="29">
        <f t="shared" si="68"/>
        <v>6220.98752</v>
      </c>
      <c r="M947" s="39" t="s">
        <v>61</v>
      </c>
    </row>
    <row r="948" s="1" customFormat="1" ht="33.75" outlineLevel="1" spans="1:13">
      <c r="A948" s="50">
        <v>9</v>
      </c>
      <c r="B948" s="30" t="s">
        <v>58</v>
      </c>
      <c r="C948" s="30" t="s">
        <v>59</v>
      </c>
      <c r="D948" s="31" t="s">
        <v>60</v>
      </c>
      <c r="E948" s="49">
        <v>50</v>
      </c>
      <c r="F948" s="24">
        <v>79.59</v>
      </c>
      <c r="G948" s="24">
        <v>60</v>
      </c>
      <c r="H948" s="29">
        <v>18.2</v>
      </c>
      <c r="I948" s="29">
        <f t="shared" si="69"/>
        <v>15.779</v>
      </c>
      <c r="J948" s="29">
        <f t="shared" si="70"/>
        <v>15.62121</v>
      </c>
      <c r="K948" s="29">
        <f t="shared" si="67"/>
        <v>189.19021</v>
      </c>
      <c r="L948" s="29">
        <f t="shared" si="68"/>
        <v>9459.5105</v>
      </c>
      <c r="M948" s="39" t="s">
        <v>61</v>
      </c>
    </row>
    <row r="949" s="1" customFormat="1" ht="33.75" outlineLevel="1" spans="1:13">
      <c r="A949" s="50">
        <v>10</v>
      </c>
      <c r="B949" s="25" t="s">
        <v>62</v>
      </c>
      <c r="C949" s="25" t="s">
        <v>487</v>
      </c>
      <c r="D949" s="26" t="s">
        <v>64</v>
      </c>
      <c r="E949" s="49">
        <f>E947</f>
        <v>22</v>
      </c>
      <c r="F949" s="24">
        <v>93.91</v>
      </c>
      <c r="G949" s="24">
        <v>23</v>
      </c>
      <c r="H949" s="24">
        <v>63.5</v>
      </c>
      <c r="I949" s="29">
        <f t="shared" si="69"/>
        <v>18.041</v>
      </c>
      <c r="J949" s="29">
        <f t="shared" si="70"/>
        <v>17.86059</v>
      </c>
      <c r="K949" s="29">
        <f t="shared" si="67"/>
        <v>216.31159</v>
      </c>
      <c r="L949" s="23">
        <f t="shared" si="68"/>
        <v>4758.85498</v>
      </c>
      <c r="M949" s="39" t="s">
        <v>61</v>
      </c>
    </row>
    <row r="950" s="1" customFormat="1" ht="33.75" outlineLevel="1" spans="1:13">
      <c r="A950" s="50">
        <v>11</v>
      </c>
      <c r="B950" s="25" t="s">
        <v>62</v>
      </c>
      <c r="C950" s="25" t="s">
        <v>63</v>
      </c>
      <c r="D950" s="26" t="s">
        <v>64</v>
      </c>
      <c r="E950" s="49">
        <f>E948</f>
        <v>50</v>
      </c>
      <c r="F950" s="24">
        <v>65.22</v>
      </c>
      <c r="G950" s="24">
        <v>15</v>
      </c>
      <c r="H950" s="29">
        <v>36.25</v>
      </c>
      <c r="I950" s="29">
        <f t="shared" si="69"/>
        <v>11.647</v>
      </c>
      <c r="J950" s="29">
        <f t="shared" si="70"/>
        <v>11.53053</v>
      </c>
      <c r="K950" s="29">
        <f t="shared" si="67"/>
        <v>139.64753</v>
      </c>
      <c r="L950" s="23">
        <f t="shared" si="68"/>
        <v>6982.3765</v>
      </c>
      <c r="M950" s="39" t="s">
        <v>61</v>
      </c>
    </row>
    <row r="951" s="1" customFormat="1" ht="45" outlineLevel="1" spans="1:13">
      <c r="A951" s="50">
        <v>12</v>
      </c>
      <c r="B951" s="25" t="s">
        <v>69</v>
      </c>
      <c r="C951" s="25" t="s">
        <v>70</v>
      </c>
      <c r="D951" s="26" t="s">
        <v>71</v>
      </c>
      <c r="E951" s="27">
        <v>1</v>
      </c>
      <c r="F951" s="28">
        <v>285</v>
      </c>
      <c r="G951" s="29">
        <v>125</v>
      </c>
      <c r="H951" s="29">
        <v>68.5</v>
      </c>
      <c r="I951" s="29">
        <f t="shared" si="69"/>
        <v>47.85</v>
      </c>
      <c r="J951" s="29">
        <f t="shared" si="70"/>
        <v>47.3715</v>
      </c>
      <c r="K951" s="29">
        <f t="shared" si="67"/>
        <v>573.7215</v>
      </c>
      <c r="L951" s="23">
        <f t="shared" si="68"/>
        <v>573.7215</v>
      </c>
      <c r="M951" s="39"/>
    </row>
    <row r="952" s="1" customFormat="1" outlineLevel="1" spans="1:13">
      <c r="A952" s="50">
        <v>13</v>
      </c>
      <c r="B952" s="30" t="s">
        <v>97</v>
      </c>
      <c r="C952" s="30" t="s">
        <v>98</v>
      </c>
      <c r="D952" s="31" t="s">
        <v>71</v>
      </c>
      <c r="E952" s="49">
        <v>1</v>
      </c>
      <c r="F952" s="24">
        <v>366.15</v>
      </c>
      <c r="G952" s="24">
        <v>0</v>
      </c>
      <c r="H952" s="29">
        <v>185</v>
      </c>
      <c r="I952" s="29">
        <f t="shared" si="69"/>
        <v>55.115</v>
      </c>
      <c r="J952" s="29">
        <f t="shared" si="70"/>
        <v>54.56385</v>
      </c>
      <c r="K952" s="29">
        <f t="shared" si="67"/>
        <v>660.82885</v>
      </c>
      <c r="L952" s="23">
        <f t="shared" si="68"/>
        <v>660.82885</v>
      </c>
      <c r="M952" s="39"/>
    </row>
    <row r="953" s="1" customFormat="1" outlineLevel="1" spans="1:13">
      <c r="A953" s="20" t="s">
        <v>99</v>
      </c>
      <c r="B953" s="47" t="s">
        <v>499</v>
      </c>
      <c r="C953" s="47"/>
      <c r="D953" s="48"/>
      <c r="E953" s="48"/>
      <c r="F953" s="20"/>
      <c r="G953" s="20"/>
      <c r="H953" s="20"/>
      <c r="I953" s="29">
        <f t="shared" si="69"/>
        <v>0</v>
      </c>
      <c r="J953" s="29">
        <f t="shared" si="70"/>
        <v>0</v>
      </c>
      <c r="K953" s="29">
        <f t="shared" si="67"/>
        <v>0</v>
      </c>
      <c r="L953" s="23">
        <f t="shared" si="68"/>
        <v>0</v>
      </c>
      <c r="M953" s="38"/>
    </row>
    <row r="954" s="1" customFormat="1" ht="101.25" outlineLevel="1" spans="1:13">
      <c r="A954" s="24">
        <v>1</v>
      </c>
      <c r="B954" s="30" t="s">
        <v>500</v>
      </c>
      <c r="C954" s="30" t="s">
        <v>501</v>
      </c>
      <c r="D954" s="31" t="s">
        <v>103</v>
      </c>
      <c r="E954" s="49">
        <v>2</v>
      </c>
      <c r="F954" s="24">
        <v>928.1</v>
      </c>
      <c r="G954" s="24">
        <v>4772.5</v>
      </c>
      <c r="H954" s="24">
        <v>193.9</v>
      </c>
      <c r="I954" s="29">
        <f t="shared" si="69"/>
        <v>589.45</v>
      </c>
      <c r="J954" s="29">
        <f t="shared" si="70"/>
        <v>583.5555</v>
      </c>
      <c r="K954" s="29">
        <f t="shared" si="67"/>
        <v>7067.5055</v>
      </c>
      <c r="L954" s="23">
        <f t="shared" si="68"/>
        <v>14135.011</v>
      </c>
      <c r="M954" s="39" t="s">
        <v>104</v>
      </c>
    </row>
    <row r="955" s="1" customFormat="1" ht="101.25" outlineLevel="1" spans="1:13">
      <c r="A955" s="24">
        <v>2</v>
      </c>
      <c r="B955" s="30" t="s">
        <v>500</v>
      </c>
      <c r="C955" s="30" t="s">
        <v>502</v>
      </c>
      <c r="D955" s="31" t="s">
        <v>103</v>
      </c>
      <c r="E955" s="49">
        <v>3</v>
      </c>
      <c r="F955" s="24">
        <v>928.1</v>
      </c>
      <c r="G955" s="24">
        <v>4772.5</v>
      </c>
      <c r="H955" s="24">
        <v>193.9</v>
      </c>
      <c r="I955" s="29">
        <f t="shared" si="69"/>
        <v>589.45</v>
      </c>
      <c r="J955" s="29">
        <f t="shared" si="70"/>
        <v>583.5555</v>
      </c>
      <c r="K955" s="29">
        <f t="shared" si="67"/>
        <v>7067.5055</v>
      </c>
      <c r="L955" s="23">
        <f t="shared" si="68"/>
        <v>21202.5165</v>
      </c>
      <c r="M955" s="39" t="s">
        <v>104</v>
      </c>
    </row>
    <row r="956" s="1" customFormat="1" ht="101.25" outlineLevel="1" spans="1:13">
      <c r="A956" s="24">
        <v>3</v>
      </c>
      <c r="B956" s="30" t="s">
        <v>500</v>
      </c>
      <c r="C956" s="30" t="s">
        <v>503</v>
      </c>
      <c r="D956" s="31" t="s">
        <v>103</v>
      </c>
      <c r="E956" s="49">
        <v>2</v>
      </c>
      <c r="F956" s="24">
        <v>928.1</v>
      </c>
      <c r="G956" s="24">
        <v>4772.5</v>
      </c>
      <c r="H956" s="24">
        <v>193.9</v>
      </c>
      <c r="I956" s="29">
        <f t="shared" si="69"/>
        <v>589.45</v>
      </c>
      <c r="J956" s="29">
        <f t="shared" si="70"/>
        <v>583.5555</v>
      </c>
      <c r="K956" s="29">
        <f t="shared" si="67"/>
        <v>7067.5055</v>
      </c>
      <c r="L956" s="23">
        <f t="shared" si="68"/>
        <v>14135.011</v>
      </c>
      <c r="M956" s="39" t="s">
        <v>104</v>
      </c>
    </row>
    <row r="957" s="1" customFormat="1" ht="101.25" outlineLevel="1" spans="1:13">
      <c r="A957" s="24">
        <v>4</v>
      </c>
      <c r="B957" s="30" t="s">
        <v>500</v>
      </c>
      <c r="C957" s="30" t="s">
        <v>504</v>
      </c>
      <c r="D957" s="31" t="s">
        <v>103</v>
      </c>
      <c r="E957" s="49">
        <v>2</v>
      </c>
      <c r="F957" s="24">
        <v>928.1</v>
      </c>
      <c r="G957" s="24">
        <v>4772.5</v>
      </c>
      <c r="H957" s="24">
        <v>193.9</v>
      </c>
      <c r="I957" s="29">
        <f t="shared" si="69"/>
        <v>589.45</v>
      </c>
      <c r="J957" s="29">
        <f t="shared" si="70"/>
        <v>583.5555</v>
      </c>
      <c r="K957" s="29">
        <f t="shared" si="67"/>
        <v>7067.5055</v>
      </c>
      <c r="L957" s="23">
        <f t="shared" si="68"/>
        <v>14135.011</v>
      </c>
      <c r="M957" s="39" t="s">
        <v>104</v>
      </c>
    </row>
    <row r="958" s="1" customFormat="1" ht="101.25" outlineLevel="1" spans="1:13">
      <c r="A958" s="24">
        <v>5</v>
      </c>
      <c r="B958" s="30" t="s">
        <v>500</v>
      </c>
      <c r="C958" s="30" t="s">
        <v>505</v>
      </c>
      <c r="D958" s="31" t="s">
        <v>103</v>
      </c>
      <c r="E958" s="49">
        <v>2</v>
      </c>
      <c r="F958" s="24">
        <v>928.1</v>
      </c>
      <c r="G958" s="24">
        <v>4772.5</v>
      </c>
      <c r="H958" s="24">
        <v>193.9</v>
      </c>
      <c r="I958" s="29">
        <f t="shared" si="69"/>
        <v>589.45</v>
      </c>
      <c r="J958" s="29">
        <f t="shared" si="70"/>
        <v>583.5555</v>
      </c>
      <c r="K958" s="29">
        <f t="shared" si="67"/>
        <v>7067.5055</v>
      </c>
      <c r="L958" s="23">
        <f t="shared" si="68"/>
        <v>14135.011</v>
      </c>
      <c r="M958" s="39" t="s">
        <v>104</v>
      </c>
    </row>
    <row r="959" s="1" customFormat="1" ht="101.25" outlineLevel="1" spans="1:13">
      <c r="A959" s="24">
        <v>6</v>
      </c>
      <c r="B959" s="30" t="s">
        <v>500</v>
      </c>
      <c r="C959" s="30" t="s">
        <v>506</v>
      </c>
      <c r="D959" s="31" t="s">
        <v>103</v>
      </c>
      <c r="E959" s="49">
        <v>2</v>
      </c>
      <c r="F959" s="24">
        <v>928.1</v>
      </c>
      <c r="G959" s="24">
        <v>4772.5</v>
      </c>
      <c r="H959" s="24">
        <v>193.9</v>
      </c>
      <c r="I959" s="29">
        <f t="shared" si="69"/>
        <v>589.45</v>
      </c>
      <c r="J959" s="29">
        <f t="shared" si="70"/>
        <v>583.5555</v>
      </c>
      <c r="K959" s="29">
        <f t="shared" si="67"/>
        <v>7067.5055</v>
      </c>
      <c r="L959" s="23">
        <f t="shared" si="68"/>
        <v>14135.011</v>
      </c>
      <c r="M959" s="39" t="s">
        <v>104</v>
      </c>
    </row>
    <row r="960" s="1" customFormat="1" ht="78.75" outlineLevel="1" spans="1:13">
      <c r="A960" s="24">
        <v>7</v>
      </c>
      <c r="B960" s="30" t="s">
        <v>507</v>
      </c>
      <c r="C960" s="30" t="s">
        <v>508</v>
      </c>
      <c r="D960" s="31" t="s">
        <v>103</v>
      </c>
      <c r="E960" s="49">
        <v>2</v>
      </c>
      <c r="F960" s="24">
        <v>928.1</v>
      </c>
      <c r="G960" s="24">
        <v>512</v>
      </c>
      <c r="H960" s="24">
        <v>193.9</v>
      </c>
      <c r="I960" s="29">
        <f t="shared" si="69"/>
        <v>163.4</v>
      </c>
      <c r="J960" s="29">
        <f t="shared" si="70"/>
        <v>161.766</v>
      </c>
      <c r="K960" s="29">
        <f t="shared" si="67"/>
        <v>1959.166</v>
      </c>
      <c r="L960" s="23">
        <f t="shared" si="68"/>
        <v>3918.332</v>
      </c>
      <c r="M960" s="39" t="s">
        <v>104</v>
      </c>
    </row>
    <row r="961" s="1" customFormat="1" ht="78.75" outlineLevel="1" spans="1:13">
      <c r="A961" s="24">
        <v>8</v>
      </c>
      <c r="B961" s="30" t="s">
        <v>507</v>
      </c>
      <c r="C961" s="30" t="s">
        <v>509</v>
      </c>
      <c r="D961" s="31" t="s">
        <v>103</v>
      </c>
      <c r="E961" s="49">
        <v>1</v>
      </c>
      <c r="F961" s="24">
        <v>928.1</v>
      </c>
      <c r="G961" s="24">
        <v>512</v>
      </c>
      <c r="H961" s="24">
        <v>193.9</v>
      </c>
      <c r="I961" s="29">
        <f t="shared" si="69"/>
        <v>163.4</v>
      </c>
      <c r="J961" s="29">
        <f t="shared" si="70"/>
        <v>161.766</v>
      </c>
      <c r="K961" s="29">
        <f t="shared" si="67"/>
        <v>1959.166</v>
      </c>
      <c r="L961" s="23">
        <f t="shared" si="68"/>
        <v>1959.166</v>
      </c>
      <c r="M961" s="39" t="s">
        <v>104</v>
      </c>
    </row>
    <row r="962" s="1" customFormat="1" ht="90" outlineLevel="1" spans="1:13">
      <c r="A962" s="24">
        <v>9</v>
      </c>
      <c r="B962" s="30" t="s">
        <v>510</v>
      </c>
      <c r="C962" s="30" t="s">
        <v>511</v>
      </c>
      <c r="D962" s="31" t="s">
        <v>103</v>
      </c>
      <c r="E962" s="49">
        <v>1</v>
      </c>
      <c r="F962" s="24">
        <v>928.1</v>
      </c>
      <c r="G962" s="24">
        <v>534.37</v>
      </c>
      <c r="H962" s="24">
        <v>193.9</v>
      </c>
      <c r="I962" s="29">
        <f t="shared" si="69"/>
        <v>165.637</v>
      </c>
      <c r="J962" s="29">
        <f t="shared" si="70"/>
        <v>163.98063</v>
      </c>
      <c r="K962" s="29">
        <f t="shared" si="67"/>
        <v>1985.98763</v>
      </c>
      <c r="L962" s="23">
        <f t="shared" si="68"/>
        <v>1985.98763</v>
      </c>
      <c r="M962" s="39" t="s">
        <v>104</v>
      </c>
    </row>
    <row r="963" s="1" customFormat="1" ht="90" outlineLevel="1" spans="1:13">
      <c r="A963" s="24">
        <v>10</v>
      </c>
      <c r="B963" s="30" t="s">
        <v>512</v>
      </c>
      <c r="C963" s="30" t="s">
        <v>513</v>
      </c>
      <c r="D963" s="31" t="s">
        <v>103</v>
      </c>
      <c r="E963" s="49">
        <v>1</v>
      </c>
      <c r="F963" s="24">
        <v>929.1</v>
      </c>
      <c r="G963" s="24">
        <v>253</v>
      </c>
      <c r="H963" s="24">
        <v>194.9</v>
      </c>
      <c r="I963" s="29">
        <f t="shared" si="69"/>
        <v>137.7</v>
      </c>
      <c r="J963" s="29">
        <f t="shared" si="70"/>
        <v>136.323</v>
      </c>
      <c r="K963" s="29">
        <f t="shared" si="67"/>
        <v>1651.023</v>
      </c>
      <c r="L963" s="23">
        <f t="shared" si="68"/>
        <v>1651.023</v>
      </c>
      <c r="M963" s="39" t="s">
        <v>104</v>
      </c>
    </row>
    <row r="964" s="1" customFormat="1" ht="45" outlineLevel="1" spans="1:13">
      <c r="A964" s="24">
        <v>11</v>
      </c>
      <c r="B964" s="30" t="s">
        <v>114</v>
      </c>
      <c r="C964" s="30" t="s">
        <v>115</v>
      </c>
      <c r="D964" s="31" t="s">
        <v>116</v>
      </c>
      <c r="E964" s="49">
        <v>15.51</v>
      </c>
      <c r="F964" s="24">
        <v>53.22</v>
      </c>
      <c r="G964" s="24">
        <v>132</v>
      </c>
      <c r="H964" s="29">
        <v>24.2</v>
      </c>
      <c r="I964" s="29">
        <f t="shared" si="69"/>
        <v>20.942</v>
      </c>
      <c r="J964" s="29">
        <f t="shared" si="70"/>
        <v>20.73258</v>
      </c>
      <c r="K964" s="29">
        <f t="shared" si="67"/>
        <v>251.09458</v>
      </c>
      <c r="L964" s="23">
        <f t="shared" si="68"/>
        <v>3894.4769358</v>
      </c>
      <c r="M964" s="39"/>
    </row>
    <row r="965" s="1" customFormat="1" ht="112.5" outlineLevel="1" spans="1:13">
      <c r="A965" s="24">
        <v>12</v>
      </c>
      <c r="B965" s="30" t="s">
        <v>117</v>
      </c>
      <c r="C965" s="30" t="s">
        <v>118</v>
      </c>
      <c r="D965" s="31" t="s">
        <v>116</v>
      </c>
      <c r="E965" s="49">
        <v>0.29</v>
      </c>
      <c r="F965" s="24">
        <v>69.69</v>
      </c>
      <c r="G965" s="24">
        <v>36.9</v>
      </c>
      <c r="H965" s="29">
        <v>16.68</v>
      </c>
      <c r="I965" s="29">
        <f t="shared" si="69"/>
        <v>12.327</v>
      </c>
      <c r="J965" s="29">
        <f t="shared" si="70"/>
        <v>12.20373</v>
      </c>
      <c r="K965" s="29">
        <f t="shared" ref="K965:K1028" si="71">F965+G965+H965+I965+J965</f>
        <v>147.80073</v>
      </c>
      <c r="L965" s="23">
        <f t="shared" ref="L965:L1028" si="72">K965*E965</f>
        <v>42.8622117</v>
      </c>
      <c r="M965" s="39" t="s">
        <v>119</v>
      </c>
    </row>
    <row r="966" s="1" customFormat="1" ht="112.5" outlineLevel="1" spans="1:13">
      <c r="A966" s="24">
        <v>13</v>
      </c>
      <c r="B966" s="30" t="s">
        <v>117</v>
      </c>
      <c r="C966" s="30" t="s">
        <v>514</v>
      </c>
      <c r="D966" s="31" t="s">
        <v>116</v>
      </c>
      <c r="E966" s="49">
        <v>55.02</v>
      </c>
      <c r="F966" s="24">
        <v>69.69</v>
      </c>
      <c r="G966" s="24">
        <v>44</v>
      </c>
      <c r="H966" s="29">
        <v>16.68</v>
      </c>
      <c r="I966" s="29">
        <f t="shared" si="69"/>
        <v>13.037</v>
      </c>
      <c r="J966" s="29">
        <f t="shared" si="70"/>
        <v>12.90663</v>
      </c>
      <c r="K966" s="29">
        <f t="shared" si="71"/>
        <v>156.31363</v>
      </c>
      <c r="L966" s="23">
        <f t="shared" si="72"/>
        <v>8600.3759226</v>
      </c>
      <c r="M966" s="39" t="s">
        <v>119</v>
      </c>
    </row>
    <row r="967" s="1" customFormat="1" ht="112.5" outlineLevel="1" spans="1:13">
      <c r="A967" s="24">
        <v>14</v>
      </c>
      <c r="B967" s="30" t="s">
        <v>117</v>
      </c>
      <c r="C967" s="30" t="s">
        <v>515</v>
      </c>
      <c r="D967" s="31" t="s">
        <v>116</v>
      </c>
      <c r="E967" s="49">
        <v>1.71</v>
      </c>
      <c r="F967" s="24">
        <v>44.05</v>
      </c>
      <c r="G967" s="24">
        <v>36.9</v>
      </c>
      <c r="H967" s="29">
        <v>18.9</v>
      </c>
      <c r="I967" s="29">
        <f t="shared" si="69"/>
        <v>9.985</v>
      </c>
      <c r="J967" s="29">
        <f t="shared" si="70"/>
        <v>9.88515</v>
      </c>
      <c r="K967" s="29">
        <f t="shared" si="71"/>
        <v>119.72015</v>
      </c>
      <c r="L967" s="23">
        <f t="shared" si="72"/>
        <v>204.7214565</v>
      </c>
      <c r="M967" s="39" t="s">
        <v>119</v>
      </c>
    </row>
    <row r="968" s="1" customFormat="1" ht="112.5" outlineLevel="1" spans="1:13">
      <c r="A968" s="24">
        <v>15</v>
      </c>
      <c r="B968" s="30" t="s">
        <v>117</v>
      </c>
      <c r="C968" s="30" t="s">
        <v>516</v>
      </c>
      <c r="D968" s="31" t="s">
        <v>116</v>
      </c>
      <c r="E968" s="49">
        <v>3.79</v>
      </c>
      <c r="F968" s="24">
        <v>44.05</v>
      </c>
      <c r="G968" s="24">
        <v>39.4</v>
      </c>
      <c r="H968" s="29">
        <v>17.29</v>
      </c>
      <c r="I968" s="29">
        <f t="shared" si="69"/>
        <v>10.074</v>
      </c>
      <c r="J968" s="29">
        <f t="shared" si="70"/>
        <v>9.97326</v>
      </c>
      <c r="K968" s="29">
        <f t="shared" si="71"/>
        <v>120.78726</v>
      </c>
      <c r="L968" s="23">
        <f t="shared" si="72"/>
        <v>457.7837154</v>
      </c>
      <c r="M968" s="39" t="s">
        <v>119</v>
      </c>
    </row>
    <row r="969" s="1" customFormat="1" ht="112.5" outlineLevel="1" spans="1:13">
      <c r="A969" s="24">
        <v>16</v>
      </c>
      <c r="B969" s="30" t="s">
        <v>117</v>
      </c>
      <c r="C969" s="30" t="s">
        <v>517</v>
      </c>
      <c r="D969" s="31" t="s">
        <v>116</v>
      </c>
      <c r="E969" s="49">
        <v>766.74</v>
      </c>
      <c r="F969" s="24">
        <v>45.63</v>
      </c>
      <c r="G969" s="24">
        <v>44</v>
      </c>
      <c r="H969" s="29">
        <v>18.9</v>
      </c>
      <c r="I969" s="29">
        <f t="shared" si="69"/>
        <v>10.853</v>
      </c>
      <c r="J969" s="29">
        <f t="shared" si="70"/>
        <v>10.74447</v>
      </c>
      <c r="K969" s="29">
        <f t="shared" si="71"/>
        <v>130.12747</v>
      </c>
      <c r="L969" s="23">
        <f t="shared" si="72"/>
        <v>99773.9363478</v>
      </c>
      <c r="M969" s="39" t="s">
        <v>119</v>
      </c>
    </row>
    <row r="970" s="1" customFormat="1" ht="112.5" outlineLevel="1" spans="1:13">
      <c r="A970" s="24">
        <v>17</v>
      </c>
      <c r="B970" s="30" t="s">
        <v>117</v>
      </c>
      <c r="C970" s="30" t="s">
        <v>518</v>
      </c>
      <c r="D970" s="31" t="s">
        <v>116</v>
      </c>
      <c r="E970" s="49">
        <v>605.71</v>
      </c>
      <c r="F970" s="24">
        <v>54.9</v>
      </c>
      <c r="G970" s="24">
        <v>58.5</v>
      </c>
      <c r="H970" s="29">
        <v>16.85</v>
      </c>
      <c r="I970" s="29">
        <f t="shared" si="69"/>
        <v>13.025</v>
      </c>
      <c r="J970" s="29">
        <f t="shared" si="70"/>
        <v>12.89475</v>
      </c>
      <c r="K970" s="29">
        <f t="shared" si="71"/>
        <v>156.16975</v>
      </c>
      <c r="L970" s="23">
        <f t="shared" si="72"/>
        <v>94593.5792725</v>
      </c>
      <c r="M970" s="39" t="s">
        <v>119</v>
      </c>
    </row>
    <row r="971" s="1" customFormat="1" ht="112.5" outlineLevel="1" spans="1:13">
      <c r="A971" s="24">
        <v>18</v>
      </c>
      <c r="B971" s="30" t="s">
        <v>117</v>
      </c>
      <c r="C971" s="30" t="s">
        <v>519</v>
      </c>
      <c r="D971" s="31" t="s">
        <v>116</v>
      </c>
      <c r="E971" s="49">
        <v>1006.25</v>
      </c>
      <c r="F971" s="24">
        <v>55.1</v>
      </c>
      <c r="G971" s="24">
        <v>67.2</v>
      </c>
      <c r="H971" s="29">
        <v>18.17</v>
      </c>
      <c r="I971" s="29">
        <f t="shared" si="69"/>
        <v>14.047</v>
      </c>
      <c r="J971" s="29">
        <f t="shared" si="70"/>
        <v>13.90653</v>
      </c>
      <c r="K971" s="29">
        <f t="shared" si="71"/>
        <v>168.42353</v>
      </c>
      <c r="L971" s="23">
        <f t="shared" si="72"/>
        <v>169476.1770625</v>
      </c>
      <c r="M971" s="39" t="s">
        <v>119</v>
      </c>
    </row>
    <row r="972" s="1" customFormat="1" ht="56.25" outlineLevel="1" spans="1:13">
      <c r="A972" s="24">
        <v>19</v>
      </c>
      <c r="B972" s="30" t="s">
        <v>123</v>
      </c>
      <c r="C972" s="30" t="s">
        <v>520</v>
      </c>
      <c r="D972" s="31" t="s">
        <v>60</v>
      </c>
      <c r="E972" s="49">
        <v>3</v>
      </c>
      <c r="F972" s="24">
        <v>51.2</v>
      </c>
      <c r="G972" s="24">
        <v>378</v>
      </c>
      <c r="H972" s="29">
        <v>7.42</v>
      </c>
      <c r="I972" s="29">
        <f t="shared" si="69"/>
        <v>43.662</v>
      </c>
      <c r="J972" s="29">
        <f t="shared" si="70"/>
        <v>43.22538</v>
      </c>
      <c r="K972" s="29">
        <f t="shared" si="71"/>
        <v>523.50738</v>
      </c>
      <c r="L972" s="23">
        <f t="shared" si="72"/>
        <v>1570.52214</v>
      </c>
      <c r="M972" s="39" t="s">
        <v>104</v>
      </c>
    </row>
    <row r="973" s="1" customFormat="1" ht="56.25" outlineLevel="1" spans="1:13">
      <c r="A973" s="24">
        <v>20</v>
      </c>
      <c r="B973" s="30" t="s">
        <v>123</v>
      </c>
      <c r="C973" s="30" t="s">
        <v>521</v>
      </c>
      <c r="D973" s="31" t="s">
        <v>60</v>
      </c>
      <c r="E973" s="49">
        <v>1</v>
      </c>
      <c r="F973" s="24">
        <v>51.2</v>
      </c>
      <c r="G973" s="24">
        <v>204</v>
      </c>
      <c r="H973" s="29">
        <v>7.42</v>
      </c>
      <c r="I973" s="29">
        <f t="shared" si="69"/>
        <v>26.262</v>
      </c>
      <c r="J973" s="29">
        <f t="shared" si="70"/>
        <v>25.99938</v>
      </c>
      <c r="K973" s="29">
        <f t="shared" si="71"/>
        <v>314.88138</v>
      </c>
      <c r="L973" s="23">
        <f t="shared" si="72"/>
        <v>314.88138</v>
      </c>
      <c r="M973" s="39" t="s">
        <v>104</v>
      </c>
    </row>
    <row r="974" s="1" customFormat="1" ht="45" outlineLevel="1" spans="1:13">
      <c r="A974" s="24">
        <v>21</v>
      </c>
      <c r="B974" s="30" t="s">
        <v>123</v>
      </c>
      <c r="C974" s="30" t="s">
        <v>522</v>
      </c>
      <c r="D974" s="31" t="s">
        <v>60</v>
      </c>
      <c r="E974" s="49">
        <v>2</v>
      </c>
      <c r="F974" s="24">
        <v>51.2</v>
      </c>
      <c r="G974" s="24">
        <v>88</v>
      </c>
      <c r="H974" s="29">
        <v>7.42</v>
      </c>
      <c r="I974" s="29">
        <f t="shared" si="69"/>
        <v>14.662</v>
      </c>
      <c r="J974" s="29">
        <f t="shared" si="70"/>
        <v>14.51538</v>
      </c>
      <c r="K974" s="29">
        <f t="shared" si="71"/>
        <v>175.79738</v>
      </c>
      <c r="L974" s="23">
        <f t="shared" si="72"/>
        <v>351.59476</v>
      </c>
      <c r="M974" s="39" t="s">
        <v>104</v>
      </c>
    </row>
    <row r="975" s="1" customFormat="1" ht="56.25" outlineLevel="1" spans="1:13">
      <c r="A975" s="24">
        <v>22</v>
      </c>
      <c r="B975" s="30" t="s">
        <v>123</v>
      </c>
      <c r="C975" s="30" t="s">
        <v>523</v>
      </c>
      <c r="D975" s="31" t="s">
        <v>60</v>
      </c>
      <c r="E975" s="49">
        <v>104</v>
      </c>
      <c r="F975" s="24">
        <v>51.2</v>
      </c>
      <c r="G975" s="24">
        <v>122</v>
      </c>
      <c r="H975" s="29">
        <v>7.42</v>
      </c>
      <c r="I975" s="29">
        <f t="shared" si="69"/>
        <v>18.062</v>
      </c>
      <c r="J975" s="29">
        <f t="shared" si="70"/>
        <v>17.88138</v>
      </c>
      <c r="K975" s="29">
        <f t="shared" si="71"/>
        <v>216.56338</v>
      </c>
      <c r="L975" s="23">
        <f t="shared" si="72"/>
        <v>22522.59152</v>
      </c>
      <c r="M975" s="39" t="s">
        <v>104</v>
      </c>
    </row>
    <row r="976" s="1" customFormat="1" ht="45" outlineLevel="1" spans="1:13">
      <c r="A976" s="24">
        <v>23</v>
      </c>
      <c r="B976" s="30" t="s">
        <v>123</v>
      </c>
      <c r="C976" s="30" t="s">
        <v>524</v>
      </c>
      <c r="D976" s="31" t="s">
        <v>60</v>
      </c>
      <c r="E976" s="49">
        <v>2</v>
      </c>
      <c r="F976" s="24">
        <v>51.2</v>
      </c>
      <c r="G976" s="24">
        <v>63</v>
      </c>
      <c r="H976" s="29">
        <v>7.42</v>
      </c>
      <c r="I976" s="29">
        <f t="shared" si="69"/>
        <v>12.162</v>
      </c>
      <c r="J976" s="29">
        <f t="shared" si="70"/>
        <v>12.04038</v>
      </c>
      <c r="K976" s="29">
        <f t="shared" si="71"/>
        <v>145.82238</v>
      </c>
      <c r="L976" s="23">
        <f t="shared" si="72"/>
        <v>291.64476</v>
      </c>
      <c r="M976" s="39" t="s">
        <v>104</v>
      </c>
    </row>
    <row r="977" s="1" customFormat="1" ht="45" outlineLevel="1" spans="1:13">
      <c r="A977" s="24">
        <v>24</v>
      </c>
      <c r="B977" s="25" t="s">
        <v>127</v>
      </c>
      <c r="C977" s="25" t="s">
        <v>525</v>
      </c>
      <c r="D977" s="26" t="s">
        <v>60</v>
      </c>
      <c r="E977" s="27">
        <v>1</v>
      </c>
      <c r="F977" s="24">
        <v>127.67</v>
      </c>
      <c r="G977" s="24">
        <v>104</v>
      </c>
      <c r="H977" s="29">
        <v>19.82</v>
      </c>
      <c r="I977" s="29">
        <f t="shared" si="69"/>
        <v>25.149</v>
      </c>
      <c r="J977" s="29">
        <f t="shared" si="70"/>
        <v>24.89751</v>
      </c>
      <c r="K977" s="29">
        <f t="shared" si="71"/>
        <v>301.53651</v>
      </c>
      <c r="L977" s="23">
        <f t="shared" si="72"/>
        <v>301.53651</v>
      </c>
      <c r="M977" s="39" t="s">
        <v>104</v>
      </c>
    </row>
    <row r="978" s="1" customFormat="1" ht="45" outlineLevel="1" spans="1:13">
      <c r="A978" s="24">
        <v>25</v>
      </c>
      <c r="B978" s="25" t="s">
        <v>127</v>
      </c>
      <c r="C978" s="25" t="s">
        <v>526</v>
      </c>
      <c r="D978" s="26" t="s">
        <v>60</v>
      </c>
      <c r="E978" s="27">
        <v>1</v>
      </c>
      <c r="F978" s="24">
        <v>127.67</v>
      </c>
      <c r="G978" s="24">
        <v>128</v>
      </c>
      <c r="H978" s="29">
        <v>19.82</v>
      </c>
      <c r="I978" s="29">
        <f t="shared" si="69"/>
        <v>27.549</v>
      </c>
      <c r="J978" s="29">
        <f t="shared" si="70"/>
        <v>27.27351</v>
      </c>
      <c r="K978" s="29">
        <f t="shared" si="71"/>
        <v>330.31251</v>
      </c>
      <c r="L978" s="23">
        <f t="shared" si="72"/>
        <v>330.31251</v>
      </c>
      <c r="M978" s="39" t="s">
        <v>104</v>
      </c>
    </row>
    <row r="979" s="1" customFormat="1" ht="45" outlineLevel="1" spans="1:13">
      <c r="A979" s="24">
        <v>26</v>
      </c>
      <c r="B979" s="25" t="s">
        <v>127</v>
      </c>
      <c r="C979" s="25" t="s">
        <v>527</v>
      </c>
      <c r="D979" s="26" t="s">
        <v>60</v>
      </c>
      <c r="E979" s="27">
        <v>12</v>
      </c>
      <c r="F979" s="24">
        <v>127.67</v>
      </c>
      <c r="G979" s="24">
        <v>266</v>
      </c>
      <c r="H979" s="29">
        <v>19.82</v>
      </c>
      <c r="I979" s="29">
        <f t="shared" si="69"/>
        <v>41.349</v>
      </c>
      <c r="J979" s="29">
        <f t="shared" si="70"/>
        <v>40.93551</v>
      </c>
      <c r="K979" s="29">
        <f t="shared" si="71"/>
        <v>495.77451</v>
      </c>
      <c r="L979" s="23">
        <f t="shared" si="72"/>
        <v>5949.29412</v>
      </c>
      <c r="M979" s="39" t="s">
        <v>104</v>
      </c>
    </row>
    <row r="980" s="1" customFormat="1" ht="45" outlineLevel="1" spans="1:13">
      <c r="A980" s="24">
        <v>27</v>
      </c>
      <c r="B980" s="25" t="s">
        <v>127</v>
      </c>
      <c r="C980" s="25" t="s">
        <v>528</v>
      </c>
      <c r="D980" s="26" t="s">
        <v>60</v>
      </c>
      <c r="E980" s="27">
        <v>4</v>
      </c>
      <c r="F980" s="24">
        <v>127.67</v>
      </c>
      <c r="G980" s="24">
        <v>259</v>
      </c>
      <c r="H980" s="29">
        <v>19.82</v>
      </c>
      <c r="I980" s="29">
        <f t="shared" si="69"/>
        <v>40.649</v>
      </c>
      <c r="J980" s="29">
        <f t="shared" si="70"/>
        <v>40.24251</v>
      </c>
      <c r="K980" s="29">
        <f t="shared" si="71"/>
        <v>487.38151</v>
      </c>
      <c r="L980" s="23">
        <f t="shared" si="72"/>
        <v>1949.52604</v>
      </c>
      <c r="M980" s="39" t="s">
        <v>104</v>
      </c>
    </row>
    <row r="981" s="1" customFormat="1" ht="45" outlineLevel="1" spans="1:13">
      <c r="A981" s="24">
        <v>28</v>
      </c>
      <c r="B981" s="25" t="s">
        <v>127</v>
      </c>
      <c r="C981" s="25" t="s">
        <v>529</v>
      </c>
      <c r="D981" s="26" t="s">
        <v>60</v>
      </c>
      <c r="E981" s="27">
        <v>1</v>
      </c>
      <c r="F981" s="24">
        <v>127.67</v>
      </c>
      <c r="G981" s="24">
        <v>243</v>
      </c>
      <c r="H981" s="29">
        <v>19.82</v>
      </c>
      <c r="I981" s="29">
        <f t="shared" si="69"/>
        <v>39.049</v>
      </c>
      <c r="J981" s="29">
        <f t="shared" si="70"/>
        <v>38.65851</v>
      </c>
      <c r="K981" s="29">
        <f t="shared" si="71"/>
        <v>468.19751</v>
      </c>
      <c r="L981" s="23">
        <f t="shared" si="72"/>
        <v>468.19751</v>
      </c>
      <c r="M981" s="39" t="s">
        <v>104</v>
      </c>
    </row>
    <row r="982" s="1" customFormat="1" ht="45" outlineLevel="1" spans="1:13">
      <c r="A982" s="24">
        <v>29</v>
      </c>
      <c r="B982" s="25" t="s">
        <v>127</v>
      </c>
      <c r="C982" s="25" t="s">
        <v>528</v>
      </c>
      <c r="D982" s="26" t="s">
        <v>60</v>
      </c>
      <c r="E982" s="27">
        <v>11</v>
      </c>
      <c r="F982" s="24">
        <v>127.67</v>
      </c>
      <c r="G982" s="24">
        <v>259</v>
      </c>
      <c r="H982" s="29">
        <v>19.82</v>
      </c>
      <c r="I982" s="29">
        <f t="shared" si="69"/>
        <v>40.649</v>
      </c>
      <c r="J982" s="29">
        <f t="shared" si="70"/>
        <v>40.24251</v>
      </c>
      <c r="K982" s="29">
        <f t="shared" si="71"/>
        <v>487.38151</v>
      </c>
      <c r="L982" s="23">
        <f t="shared" si="72"/>
        <v>5361.19661</v>
      </c>
      <c r="M982" s="39" t="s">
        <v>104</v>
      </c>
    </row>
    <row r="983" s="1" customFormat="1" ht="45" outlineLevel="1" spans="1:13">
      <c r="A983" s="24">
        <v>30</v>
      </c>
      <c r="B983" s="25" t="s">
        <v>127</v>
      </c>
      <c r="C983" s="25" t="s">
        <v>530</v>
      </c>
      <c r="D983" s="26" t="s">
        <v>60</v>
      </c>
      <c r="E983" s="27">
        <v>1</v>
      </c>
      <c r="F983" s="24">
        <v>127.67</v>
      </c>
      <c r="G983" s="24">
        <v>299</v>
      </c>
      <c r="H983" s="29">
        <v>19.82</v>
      </c>
      <c r="I983" s="29">
        <f t="shared" si="69"/>
        <v>44.649</v>
      </c>
      <c r="J983" s="29">
        <f t="shared" si="70"/>
        <v>44.20251</v>
      </c>
      <c r="K983" s="29">
        <f t="shared" si="71"/>
        <v>535.34151</v>
      </c>
      <c r="L983" s="23">
        <f t="shared" si="72"/>
        <v>535.34151</v>
      </c>
      <c r="M983" s="39" t="s">
        <v>104</v>
      </c>
    </row>
    <row r="984" s="1" customFormat="1" ht="45" outlineLevel="1" spans="1:13">
      <c r="A984" s="24">
        <v>31</v>
      </c>
      <c r="B984" s="25" t="s">
        <v>127</v>
      </c>
      <c r="C984" s="25" t="s">
        <v>531</v>
      </c>
      <c r="D984" s="26" t="s">
        <v>60</v>
      </c>
      <c r="E984" s="27">
        <v>9</v>
      </c>
      <c r="F984" s="24">
        <v>128.67</v>
      </c>
      <c r="G984" s="24">
        <v>224</v>
      </c>
      <c r="H984" s="29">
        <v>20.82</v>
      </c>
      <c r="I984" s="29">
        <f t="shared" si="69"/>
        <v>37.349</v>
      </c>
      <c r="J984" s="29">
        <f t="shared" si="70"/>
        <v>36.97551</v>
      </c>
      <c r="K984" s="29">
        <f t="shared" si="71"/>
        <v>447.81451</v>
      </c>
      <c r="L984" s="23">
        <f t="shared" si="72"/>
        <v>4030.33059</v>
      </c>
      <c r="M984" s="39" t="s">
        <v>104</v>
      </c>
    </row>
    <row r="985" s="1" customFormat="1" ht="45" outlineLevel="1" spans="1:13">
      <c r="A985" s="24">
        <v>32</v>
      </c>
      <c r="B985" s="25" t="s">
        <v>127</v>
      </c>
      <c r="C985" s="25" t="s">
        <v>532</v>
      </c>
      <c r="D985" s="26" t="s">
        <v>60</v>
      </c>
      <c r="E985" s="27">
        <v>1</v>
      </c>
      <c r="F985" s="24">
        <v>129.67</v>
      </c>
      <c r="G985" s="24">
        <v>234</v>
      </c>
      <c r="H985" s="29">
        <v>21.82</v>
      </c>
      <c r="I985" s="29">
        <f t="shared" si="69"/>
        <v>38.549</v>
      </c>
      <c r="J985" s="29">
        <f t="shared" si="70"/>
        <v>38.16351</v>
      </c>
      <c r="K985" s="29">
        <f t="shared" si="71"/>
        <v>462.20251</v>
      </c>
      <c r="L985" s="23">
        <f t="shared" si="72"/>
        <v>462.20251</v>
      </c>
      <c r="M985" s="39" t="s">
        <v>104</v>
      </c>
    </row>
    <row r="986" s="1" customFormat="1" ht="45" outlineLevel="1" spans="1:13">
      <c r="A986" s="24">
        <v>33</v>
      </c>
      <c r="B986" s="25" t="s">
        <v>127</v>
      </c>
      <c r="C986" s="25" t="s">
        <v>533</v>
      </c>
      <c r="D986" s="26" t="s">
        <v>60</v>
      </c>
      <c r="E986" s="27">
        <v>1</v>
      </c>
      <c r="F986" s="24">
        <v>130.67</v>
      </c>
      <c r="G986" s="24">
        <v>182</v>
      </c>
      <c r="H986" s="29">
        <v>22.82</v>
      </c>
      <c r="I986" s="29">
        <f t="shared" si="69"/>
        <v>33.549</v>
      </c>
      <c r="J986" s="29">
        <f t="shared" si="70"/>
        <v>33.21351</v>
      </c>
      <c r="K986" s="29">
        <f t="shared" si="71"/>
        <v>402.25251</v>
      </c>
      <c r="L986" s="23">
        <f t="shared" si="72"/>
        <v>402.25251</v>
      </c>
      <c r="M986" s="39" t="s">
        <v>104</v>
      </c>
    </row>
    <row r="987" s="1" customFormat="1" ht="45" outlineLevel="1" spans="1:13">
      <c r="A987" s="24">
        <v>34</v>
      </c>
      <c r="B987" s="25" t="s">
        <v>127</v>
      </c>
      <c r="C987" s="25" t="s">
        <v>534</v>
      </c>
      <c r="D987" s="26" t="s">
        <v>60</v>
      </c>
      <c r="E987" s="27">
        <v>2</v>
      </c>
      <c r="F987" s="24">
        <v>131.67</v>
      </c>
      <c r="G987" s="24">
        <v>192</v>
      </c>
      <c r="H987" s="29">
        <v>23.82</v>
      </c>
      <c r="I987" s="29">
        <f t="shared" si="69"/>
        <v>34.749</v>
      </c>
      <c r="J987" s="29">
        <f t="shared" si="70"/>
        <v>34.40151</v>
      </c>
      <c r="K987" s="29">
        <f t="shared" si="71"/>
        <v>416.64051</v>
      </c>
      <c r="L987" s="23">
        <f t="shared" si="72"/>
        <v>833.28102</v>
      </c>
      <c r="M987" s="39" t="s">
        <v>104</v>
      </c>
    </row>
    <row r="988" s="1" customFormat="1" ht="45" outlineLevel="1" spans="1:13">
      <c r="A988" s="24">
        <v>35</v>
      </c>
      <c r="B988" s="25" t="s">
        <v>127</v>
      </c>
      <c r="C988" s="25" t="s">
        <v>132</v>
      </c>
      <c r="D988" s="26" t="s">
        <v>60</v>
      </c>
      <c r="E988" s="27">
        <v>1</v>
      </c>
      <c r="F988" s="24">
        <v>30.63</v>
      </c>
      <c r="G988" s="24">
        <v>81</v>
      </c>
      <c r="H988" s="29">
        <v>9.1</v>
      </c>
      <c r="I988" s="29">
        <f t="shared" si="69"/>
        <v>12.073</v>
      </c>
      <c r="J988" s="29">
        <f t="shared" si="70"/>
        <v>11.95227</v>
      </c>
      <c r="K988" s="29">
        <f t="shared" si="71"/>
        <v>144.75527</v>
      </c>
      <c r="L988" s="23">
        <f t="shared" si="72"/>
        <v>144.75527</v>
      </c>
      <c r="M988" s="39" t="s">
        <v>104</v>
      </c>
    </row>
    <row r="989" s="1" customFormat="1" ht="45" outlineLevel="1" spans="1:13">
      <c r="A989" s="24">
        <v>36</v>
      </c>
      <c r="B989" s="25" t="s">
        <v>127</v>
      </c>
      <c r="C989" s="25" t="s">
        <v>389</v>
      </c>
      <c r="D989" s="26" t="s">
        <v>60</v>
      </c>
      <c r="E989" s="27">
        <v>9</v>
      </c>
      <c r="F989" s="24">
        <v>30.63</v>
      </c>
      <c r="G989" s="24">
        <v>185</v>
      </c>
      <c r="H989" s="29">
        <v>9.1</v>
      </c>
      <c r="I989" s="29">
        <f t="shared" si="69"/>
        <v>22.473</v>
      </c>
      <c r="J989" s="29">
        <f t="shared" si="70"/>
        <v>22.24827</v>
      </c>
      <c r="K989" s="29">
        <f t="shared" si="71"/>
        <v>269.45127</v>
      </c>
      <c r="L989" s="23">
        <f t="shared" si="72"/>
        <v>2425.06143</v>
      </c>
      <c r="M989" s="39" t="s">
        <v>104</v>
      </c>
    </row>
    <row r="990" s="1" customFormat="1" ht="45" outlineLevel="1" spans="1:13">
      <c r="A990" s="24">
        <v>37</v>
      </c>
      <c r="B990" s="25" t="s">
        <v>137</v>
      </c>
      <c r="C990" s="25" t="s">
        <v>138</v>
      </c>
      <c r="D990" s="26" t="s">
        <v>116</v>
      </c>
      <c r="E990" s="27">
        <v>306.1</v>
      </c>
      <c r="F990" s="24">
        <v>137.47</v>
      </c>
      <c r="G990" s="24">
        <v>258</v>
      </c>
      <c r="H990" s="24">
        <v>25.5</v>
      </c>
      <c r="I990" s="29">
        <f t="shared" si="69"/>
        <v>42.097</v>
      </c>
      <c r="J990" s="29">
        <f t="shared" si="70"/>
        <v>41.67603</v>
      </c>
      <c r="K990" s="29">
        <f t="shared" si="71"/>
        <v>504.74303</v>
      </c>
      <c r="L990" s="23">
        <f t="shared" si="72"/>
        <v>154501.841483</v>
      </c>
      <c r="M990" s="39" t="s">
        <v>139</v>
      </c>
    </row>
    <row r="991" s="1" customFormat="1" ht="33.75" outlineLevel="1" spans="1:13">
      <c r="A991" s="24">
        <v>38</v>
      </c>
      <c r="B991" s="25" t="s">
        <v>535</v>
      </c>
      <c r="C991" s="25" t="s">
        <v>536</v>
      </c>
      <c r="D991" s="26" t="s">
        <v>60</v>
      </c>
      <c r="E991" s="27">
        <v>13</v>
      </c>
      <c r="F991" s="24">
        <v>37.21</v>
      </c>
      <c r="G991" s="28">
        <v>120</v>
      </c>
      <c r="H991" s="24">
        <v>2.72</v>
      </c>
      <c r="I991" s="29">
        <f t="shared" si="69"/>
        <v>15.993</v>
      </c>
      <c r="J991" s="29">
        <f t="shared" si="70"/>
        <v>15.83307</v>
      </c>
      <c r="K991" s="29">
        <f t="shared" si="71"/>
        <v>191.75607</v>
      </c>
      <c r="L991" s="23">
        <f t="shared" si="72"/>
        <v>2492.82891</v>
      </c>
      <c r="M991" s="39" t="s">
        <v>159</v>
      </c>
    </row>
    <row r="992" s="1" customFormat="1" ht="33.75" outlineLevel="1" spans="1:13">
      <c r="A992" s="24">
        <v>39</v>
      </c>
      <c r="B992" s="25" t="s">
        <v>535</v>
      </c>
      <c r="C992" s="25" t="s">
        <v>537</v>
      </c>
      <c r="D992" s="26" t="s">
        <v>103</v>
      </c>
      <c r="E992" s="27">
        <v>13</v>
      </c>
      <c r="F992" s="24">
        <v>37.21</v>
      </c>
      <c r="G992" s="28">
        <v>120</v>
      </c>
      <c r="H992" s="24">
        <v>2.72</v>
      </c>
      <c r="I992" s="29">
        <f t="shared" si="69"/>
        <v>15.993</v>
      </c>
      <c r="J992" s="29">
        <f t="shared" si="70"/>
        <v>15.83307</v>
      </c>
      <c r="K992" s="29">
        <f t="shared" si="71"/>
        <v>191.75607</v>
      </c>
      <c r="L992" s="23">
        <f t="shared" si="72"/>
        <v>2492.82891</v>
      </c>
      <c r="M992" s="39" t="s">
        <v>159</v>
      </c>
    </row>
    <row r="993" s="1" customFormat="1" ht="45" outlineLevel="1" spans="1:13">
      <c r="A993" s="24">
        <v>40</v>
      </c>
      <c r="B993" s="25" t="s">
        <v>538</v>
      </c>
      <c r="C993" s="25" t="s">
        <v>539</v>
      </c>
      <c r="D993" s="26" t="s">
        <v>42</v>
      </c>
      <c r="E993" s="27">
        <f>123.39+15*5+15*5</f>
        <v>273.39</v>
      </c>
      <c r="F993" s="24">
        <v>8.95</v>
      </c>
      <c r="G993" s="24">
        <v>6.98</v>
      </c>
      <c r="H993" s="24">
        <v>2.63</v>
      </c>
      <c r="I993" s="29">
        <f t="shared" si="69"/>
        <v>1.856</v>
      </c>
      <c r="J993" s="29">
        <f t="shared" si="70"/>
        <v>1.83744</v>
      </c>
      <c r="K993" s="29">
        <f t="shared" si="71"/>
        <v>22.25344</v>
      </c>
      <c r="L993" s="23">
        <f t="shared" si="72"/>
        <v>6083.8679616</v>
      </c>
      <c r="M993" s="39" t="s">
        <v>540</v>
      </c>
    </row>
    <row r="994" s="1" customFormat="1" ht="45" outlineLevel="1" spans="1:13">
      <c r="A994" s="24">
        <v>41</v>
      </c>
      <c r="B994" s="25" t="s">
        <v>538</v>
      </c>
      <c r="C994" s="25" t="s">
        <v>541</v>
      </c>
      <c r="D994" s="26" t="s">
        <v>42</v>
      </c>
      <c r="E994" s="27">
        <f>15*5*2</f>
        <v>150</v>
      </c>
      <c r="F994" s="24">
        <v>9.66</v>
      </c>
      <c r="G994" s="24">
        <v>14.4</v>
      </c>
      <c r="H994" s="24">
        <v>3.32</v>
      </c>
      <c r="I994" s="29">
        <f t="shared" si="69"/>
        <v>2.738</v>
      </c>
      <c r="J994" s="29">
        <f t="shared" si="70"/>
        <v>2.71062</v>
      </c>
      <c r="K994" s="29">
        <f t="shared" si="71"/>
        <v>32.82862</v>
      </c>
      <c r="L994" s="23">
        <f t="shared" si="72"/>
        <v>4924.293</v>
      </c>
      <c r="M994" s="39" t="s">
        <v>540</v>
      </c>
    </row>
    <row r="995" s="1" customFormat="1" ht="56.25" outlineLevel="1" spans="1:13">
      <c r="A995" s="24">
        <v>42</v>
      </c>
      <c r="B995" s="25" t="s">
        <v>154</v>
      </c>
      <c r="C995" s="25" t="s">
        <v>542</v>
      </c>
      <c r="D995" s="26" t="s">
        <v>42</v>
      </c>
      <c r="E995" s="27">
        <v>147.28</v>
      </c>
      <c r="F995" s="28">
        <v>0.92</v>
      </c>
      <c r="G995" s="24">
        <v>3.64</v>
      </c>
      <c r="H995" s="29">
        <v>0.85</v>
      </c>
      <c r="I995" s="29">
        <f t="shared" si="69"/>
        <v>0.541</v>
      </c>
      <c r="J995" s="29">
        <f t="shared" si="70"/>
        <v>0.53559</v>
      </c>
      <c r="K995" s="29">
        <f t="shared" si="71"/>
        <v>6.48659</v>
      </c>
      <c r="L995" s="23">
        <f t="shared" si="72"/>
        <v>955.3449752</v>
      </c>
      <c r="M995" s="39" t="s">
        <v>142</v>
      </c>
    </row>
    <row r="996" s="1" customFormat="1" ht="56.25" outlineLevel="1" spans="1:13">
      <c r="A996" s="24">
        <v>43</v>
      </c>
      <c r="B996" s="25" t="s">
        <v>154</v>
      </c>
      <c r="C996" s="25" t="s">
        <v>543</v>
      </c>
      <c r="D996" s="26" t="s">
        <v>42</v>
      </c>
      <c r="E996" s="27">
        <f>15*5*2</f>
        <v>150</v>
      </c>
      <c r="F996" s="28">
        <v>0.92</v>
      </c>
      <c r="G996" s="24">
        <v>1.6</v>
      </c>
      <c r="H996" s="29">
        <v>0.85</v>
      </c>
      <c r="I996" s="29">
        <f t="shared" si="69"/>
        <v>0.337</v>
      </c>
      <c r="J996" s="29">
        <f t="shared" si="70"/>
        <v>0.33363</v>
      </c>
      <c r="K996" s="29">
        <f t="shared" si="71"/>
        <v>4.04063</v>
      </c>
      <c r="L996" s="23">
        <f t="shared" si="72"/>
        <v>606.0945</v>
      </c>
      <c r="M996" s="39" t="s">
        <v>142</v>
      </c>
    </row>
    <row r="997" s="1" customFormat="1" ht="56.25" outlineLevel="1" spans="1:13">
      <c r="A997" s="24">
        <v>44</v>
      </c>
      <c r="B997" s="25" t="s">
        <v>154</v>
      </c>
      <c r="C997" s="25" t="s">
        <v>544</v>
      </c>
      <c r="D997" s="26" t="s">
        <v>42</v>
      </c>
      <c r="E997" s="27">
        <f>15*5*4</f>
        <v>300</v>
      </c>
      <c r="F997" s="28">
        <v>0.92</v>
      </c>
      <c r="G997" s="24">
        <v>35</v>
      </c>
      <c r="H997" s="29">
        <v>0.85</v>
      </c>
      <c r="I997" s="29">
        <f t="shared" ref="I997:I1060" si="73">(F997+G997+H997)*$I$4</f>
        <v>3.677</v>
      </c>
      <c r="J997" s="29">
        <f t="shared" ref="J997:J1060" si="74">(F997+G997+H997+I997)*$J$4</f>
        <v>3.64023</v>
      </c>
      <c r="K997" s="29">
        <f t="shared" si="71"/>
        <v>44.08723</v>
      </c>
      <c r="L997" s="23">
        <f t="shared" si="72"/>
        <v>13226.169</v>
      </c>
      <c r="M997" s="39" t="s">
        <v>142</v>
      </c>
    </row>
    <row r="998" s="1" customFormat="1" ht="56.25" outlineLevel="1" spans="1:13">
      <c r="A998" s="24">
        <v>45</v>
      </c>
      <c r="B998" s="25" t="s">
        <v>154</v>
      </c>
      <c r="C998" s="25" t="s">
        <v>545</v>
      </c>
      <c r="D998" s="26" t="s">
        <v>42</v>
      </c>
      <c r="E998" s="27">
        <f>15*5*3</f>
        <v>225</v>
      </c>
      <c r="F998" s="28">
        <v>0.92</v>
      </c>
      <c r="G998" s="24">
        <v>35</v>
      </c>
      <c r="H998" s="29">
        <v>0.85</v>
      </c>
      <c r="I998" s="29">
        <f t="shared" si="73"/>
        <v>3.677</v>
      </c>
      <c r="J998" s="29">
        <f t="shared" si="74"/>
        <v>3.64023</v>
      </c>
      <c r="K998" s="29">
        <f t="shared" si="71"/>
        <v>44.08723</v>
      </c>
      <c r="L998" s="23">
        <f t="shared" si="72"/>
        <v>9919.62675</v>
      </c>
      <c r="M998" s="39" t="s">
        <v>142</v>
      </c>
    </row>
    <row r="999" s="1" customFormat="1" ht="56.25" outlineLevel="1" spans="1:13">
      <c r="A999" s="24">
        <v>46</v>
      </c>
      <c r="B999" s="25" t="s">
        <v>154</v>
      </c>
      <c r="C999" s="25" t="s">
        <v>546</v>
      </c>
      <c r="D999" s="26" t="s">
        <v>42</v>
      </c>
      <c r="E999" s="27">
        <f>15*5</f>
        <v>75</v>
      </c>
      <c r="F999" s="28">
        <v>0.92</v>
      </c>
      <c r="G999" s="24">
        <v>6.1</v>
      </c>
      <c r="H999" s="29">
        <v>0.85</v>
      </c>
      <c r="I999" s="29">
        <f t="shared" si="73"/>
        <v>0.787</v>
      </c>
      <c r="J999" s="29">
        <f t="shared" si="74"/>
        <v>0.77913</v>
      </c>
      <c r="K999" s="29">
        <f t="shared" si="71"/>
        <v>9.43613</v>
      </c>
      <c r="L999" s="23">
        <f t="shared" si="72"/>
        <v>707.70975</v>
      </c>
      <c r="M999" s="39" t="s">
        <v>142</v>
      </c>
    </row>
    <row r="1000" s="1" customFormat="1" outlineLevel="1" spans="1:13">
      <c r="A1000" s="20" t="s">
        <v>152</v>
      </c>
      <c r="B1000" s="21" t="s">
        <v>547</v>
      </c>
      <c r="C1000" s="21"/>
      <c r="D1000" s="22"/>
      <c r="E1000" s="22"/>
      <c r="F1000" s="20"/>
      <c r="G1000" s="20"/>
      <c r="H1000" s="20"/>
      <c r="I1000" s="29">
        <f t="shared" si="73"/>
        <v>0</v>
      </c>
      <c r="J1000" s="29">
        <f t="shared" si="74"/>
        <v>0</v>
      </c>
      <c r="K1000" s="29">
        <f t="shared" si="71"/>
        <v>0</v>
      </c>
      <c r="L1000" s="23">
        <f t="shared" si="72"/>
        <v>0</v>
      </c>
      <c r="M1000" s="38"/>
    </row>
    <row r="1001" s="1" customFormat="1" ht="33.75" outlineLevel="1" spans="1:13">
      <c r="A1001" s="24">
        <v>1</v>
      </c>
      <c r="B1001" s="25" t="s">
        <v>198</v>
      </c>
      <c r="C1001" s="25" t="s">
        <v>245</v>
      </c>
      <c r="D1001" s="26" t="s">
        <v>103</v>
      </c>
      <c r="E1001" s="27">
        <v>6</v>
      </c>
      <c r="F1001" s="24">
        <v>90.73</v>
      </c>
      <c r="G1001" s="29">
        <v>360</v>
      </c>
      <c r="H1001" s="29">
        <v>19.3</v>
      </c>
      <c r="I1001" s="29">
        <f t="shared" si="73"/>
        <v>47.003</v>
      </c>
      <c r="J1001" s="29">
        <f t="shared" si="74"/>
        <v>46.53297</v>
      </c>
      <c r="K1001" s="29">
        <f t="shared" si="71"/>
        <v>563.56597</v>
      </c>
      <c r="L1001" s="23">
        <f t="shared" si="72"/>
        <v>3381.39582</v>
      </c>
      <c r="M1001" s="39" t="s">
        <v>202</v>
      </c>
    </row>
    <row r="1002" s="1" customFormat="1" ht="67.5" outlineLevel="1" spans="1:13">
      <c r="A1002" s="24">
        <v>2</v>
      </c>
      <c r="B1002" s="25" t="s">
        <v>200</v>
      </c>
      <c r="C1002" s="25" t="s">
        <v>548</v>
      </c>
      <c r="D1002" s="26" t="s">
        <v>51</v>
      </c>
      <c r="E1002" s="27">
        <v>32</v>
      </c>
      <c r="F1002" s="28">
        <v>26.59</v>
      </c>
      <c r="G1002" s="24">
        <v>33</v>
      </c>
      <c r="H1002" s="29">
        <v>22.37</v>
      </c>
      <c r="I1002" s="29">
        <f t="shared" si="73"/>
        <v>8.196</v>
      </c>
      <c r="J1002" s="29">
        <f t="shared" si="74"/>
        <v>8.11404</v>
      </c>
      <c r="K1002" s="29">
        <f t="shared" si="71"/>
        <v>98.27004</v>
      </c>
      <c r="L1002" s="23">
        <f t="shared" si="72"/>
        <v>3144.64128</v>
      </c>
      <c r="M1002" s="39" t="s">
        <v>202</v>
      </c>
    </row>
    <row r="1003" s="1" customFormat="1" ht="56.25" outlineLevel="1" spans="1:13">
      <c r="A1003" s="24">
        <v>3</v>
      </c>
      <c r="B1003" s="25" t="s">
        <v>200</v>
      </c>
      <c r="C1003" s="25" t="s">
        <v>549</v>
      </c>
      <c r="D1003" s="26" t="s">
        <v>51</v>
      </c>
      <c r="E1003" s="27">
        <v>2</v>
      </c>
      <c r="F1003" s="28">
        <v>26.59</v>
      </c>
      <c r="G1003" s="24">
        <v>33</v>
      </c>
      <c r="H1003" s="29">
        <v>22.37</v>
      </c>
      <c r="I1003" s="29">
        <f t="shared" si="73"/>
        <v>8.196</v>
      </c>
      <c r="J1003" s="29">
        <f t="shared" si="74"/>
        <v>8.11404</v>
      </c>
      <c r="K1003" s="29">
        <f t="shared" si="71"/>
        <v>98.27004</v>
      </c>
      <c r="L1003" s="23">
        <f t="shared" si="72"/>
        <v>196.54008</v>
      </c>
      <c r="M1003" s="39" t="s">
        <v>202</v>
      </c>
    </row>
    <row r="1004" s="1" customFormat="1" ht="56.25" outlineLevel="1" spans="1:13">
      <c r="A1004" s="24">
        <v>4</v>
      </c>
      <c r="B1004" s="25" t="s">
        <v>200</v>
      </c>
      <c r="C1004" s="25" t="s">
        <v>365</v>
      </c>
      <c r="D1004" s="26" t="s">
        <v>51</v>
      </c>
      <c r="E1004" s="27">
        <v>2</v>
      </c>
      <c r="F1004" s="28">
        <v>26.59</v>
      </c>
      <c r="G1004" s="24">
        <v>33</v>
      </c>
      <c r="H1004" s="29">
        <v>22.37</v>
      </c>
      <c r="I1004" s="29">
        <f t="shared" si="73"/>
        <v>8.196</v>
      </c>
      <c r="J1004" s="29">
        <f t="shared" si="74"/>
        <v>8.11404</v>
      </c>
      <c r="K1004" s="29">
        <f t="shared" si="71"/>
        <v>98.27004</v>
      </c>
      <c r="L1004" s="23">
        <f t="shared" si="72"/>
        <v>196.54008</v>
      </c>
      <c r="M1004" s="39" t="s">
        <v>202</v>
      </c>
    </row>
    <row r="1005" s="1" customFormat="1" ht="56.25" outlineLevel="1" spans="1:13">
      <c r="A1005" s="24">
        <v>5</v>
      </c>
      <c r="B1005" s="25" t="s">
        <v>200</v>
      </c>
      <c r="C1005" s="25" t="s">
        <v>550</v>
      </c>
      <c r="D1005" s="26" t="s">
        <v>51</v>
      </c>
      <c r="E1005" s="27">
        <f>90+5</f>
        <v>95</v>
      </c>
      <c r="F1005" s="28">
        <v>26.59</v>
      </c>
      <c r="G1005" s="24">
        <v>33</v>
      </c>
      <c r="H1005" s="29">
        <v>22.37</v>
      </c>
      <c r="I1005" s="29">
        <f t="shared" si="73"/>
        <v>8.196</v>
      </c>
      <c r="J1005" s="29">
        <f t="shared" si="74"/>
        <v>8.11404</v>
      </c>
      <c r="K1005" s="29">
        <f t="shared" si="71"/>
        <v>98.27004</v>
      </c>
      <c r="L1005" s="23">
        <f t="shared" si="72"/>
        <v>9335.6538</v>
      </c>
      <c r="M1005" s="39" t="s">
        <v>202</v>
      </c>
    </row>
    <row r="1006" s="1" customFormat="1" ht="56.25" outlineLevel="1" spans="1:13">
      <c r="A1006" s="24">
        <v>6</v>
      </c>
      <c r="B1006" s="25" t="s">
        <v>200</v>
      </c>
      <c r="C1006" s="25" t="s">
        <v>551</v>
      </c>
      <c r="D1006" s="26" t="s">
        <v>51</v>
      </c>
      <c r="E1006" s="27">
        <v>6</v>
      </c>
      <c r="F1006" s="28">
        <v>26.59</v>
      </c>
      <c r="G1006" s="24">
        <v>33</v>
      </c>
      <c r="H1006" s="29">
        <v>22.37</v>
      </c>
      <c r="I1006" s="29">
        <f t="shared" si="73"/>
        <v>8.196</v>
      </c>
      <c r="J1006" s="29">
        <f t="shared" si="74"/>
        <v>8.11404</v>
      </c>
      <c r="K1006" s="29">
        <f t="shared" si="71"/>
        <v>98.27004</v>
      </c>
      <c r="L1006" s="23">
        <f t="shared" si="72"/>
        <v>589.62024</v>
      </c>
      <c r="M1006" s="39" t="s">
        <v>202</v>
      </c>
    </row>
    <row r="1007" s="1" customFormat="1" ht="56.25" outlineLevel="1" spans="1:13">
      <c r="A1007" s="24">
        <v>7</v>
      </c>
      <c r="B1007" s="25" t="s">
        <v>200</v>
      </c>
      <c r="C1007" s="25" t="s">
        <v>552</v>
      </c>
      <c r="D1007" s="26" t="s">
        <v>51</v>
      </c>
      <c r="E1007" s="27">
        <v>31</v>
      </c>
      <c r="F1007" s="28">
        <v>26.59</v>
      </c>
      <c r="G1007" s="24">
        <v>33</v>
      </c>
      <c r="H1007" s="29">
        <v>22.37</v>
      </c>
      <c r="I1007" s="29">
        <f t="shared" si="73"/>
        <v>8.196</v>
      </c>
      <c r="J1007" s="29">
        <f t="shared" si="74"/>
        <v>8.11404</v>
      </c>
      <c r="K1007" s="29">
        <f t="shared" si="71"/>
        <v>98.27004</v>
      </c>
      <c r="L1007" s="23">
        <f t="shared" si="72"/>
        <v>3046.37124</v>
      </c>
      <c r="M1007" s="39" t="s">
        <v>202</v>
      </c>
    </row>
    <row r="1008" s="1" customFormat="1" ht="67.5" outlineLevel="1" spans="1:13">
      <c r="A1008" s="24">
        <v>8</v>
      </c>
      <c r="B1008" s="25" t="s">
        <v>200</v>
      </c>
      <c r="C1008" s="25" t="s">
        <v>367</v>
      </c>
      <c r="D1008" s="26" t="s">
        <v>51</v>
      </c>
      <c r="E1008" s="27">
        <v>165</v>
      </c>
      <c r="F1008" s="28">
        <v>26.59</v>
      </c>
      <c r="G1008" s="24">
        <v>34</v>
      </c>
      <c r="H1008" s="29">
        <v>22.37</v>
      </c>
      <c r="I1008" s="29">
        <f t="shared" si="73"/>
        <v>8.296</v>
      </c>
      <c r="J1008" s="29">
        <f t="shared" si="74"/>
        <v>8.21304</v>
      </c>
      <c r="K1008" s="29">
        <f t="shared" si="71"/>
        <v>99.46904</v>
      </c>
      <c r="L1008" s="23">
        <f t="shared" si="72"/>
        <v>16412.3916</v>
      </c>
      <c r="M1008" s="39" t="s">
        <v>202</v>
      </c>
    </row>
    <row r="1009" s="1" customFormat="1" ht="56.25" outlineLevel="1" spans="1:13">
      <c r="A1009" s="24">
        <v>9</v>
      </c>
      <c r="B1009" s="25" t="s">
        <v>200</v>
      </c>
      <c r="C1009" s="25" t="s">
        <v>553</v>
      </c>
      <c r="D1009" s="26" t="s">
        <v>51</v>
      </c>
      <c r="E1009" s="27">
        <v>14</v>
      </c>
      <c r="F1009" s="28">
        <v>26.59</v>
      </c>
      <c r="G1009" s="24">
        <v>34</v>
      </c>
      <c r="H1009" s="29">
        <v>22.37</v>
      </c>
      <c r="I1009" s="29">
        <f t="shared" si="73"/>
        <v>8.296</v>
      </c>
      <c r="J1009" s="29">
        <f t="shared" si="74"/>
        <v>8.21304</v>
      </c>
      <c r="K1009" s="29">
        <f t="shared" si="71"/>
        <v>99.46904</v>
      </c>
      <c r="L1009" s="23">
        <f t="shared" si="72"/>
        <v>1392.56656</v>
      </c>
      <c r="M1009" s="39" t="s">
        <v>202</v>
      </c>
    </row>
    <row r="1010" s="1" customFormat="1" ht="56.25" outlineLevel="1" spans="1:13">
      <c r="A1010" s="24">
        <v>10</v>
      </c>
      <c r="B1010" s="25" t="s">
        <v>154</v>
      </c>
      <c r="C1010" s="25" t="s">
        <v>206</v>
      </c>
      <c r="D1010" s="26" t="s">
        <v>42</v>
      </c>
      <c r="E1010" s="27">
        <v>5382.88</v>
      </c>
      <c r="F1010" s="28">
        <v>0.92</v>
      </c>
      <c r="G1010" s="29">
        <v>1.93</v>
      </c>
      <c r="H1010" s="29">
        <v>0.85</v>
      </c>
      <c r="I1010" s="29">
        <f t="shared" si="73"/>
        <v>0.37</v>
      </c>
      <c r="J1010" s="29">
        <f t="shared" si="74"/>
        <v>0.3663</v>
      </c>
      <c r="K1010" s="29">
        <f t="shared" si="71"/>
        <v>4.4363</v>
      </c>
      <c r="L1010" s="23">
        <f t="shared" si="72"/>
        <v>23880.070544</v>
      </c>
      <c r="M1010" s="39" t="s">
        <v>142</v>
      </c>
    </row>
    <row r="1011" s="1" customFormat="1" outlineLevel="1" spans="1:13">
      <c r="A1011" s="20" t="s">
        <v>160</v>
      </c>
      <c r="B1011" s="21" t="s">
        <v>554</v>
      </c>
      <c r="C1011" s="21"/>
      <c r="D1011" s="22"/>
      <c r="E1011" s="22"/>
      <c r="F1011" s="20"/>
      <c r="G1011" s="20"/>
      <c r="H1011" s="20"/>
      <c r="I1011" s="29">
        <f t="shared" si="73"/>
        <v>0</v>
      </c>
      <c r="J1011" s="29">
        <f t="shared" si="74"/>
        <v>0</v>
      </c>
      <c r="K1011" s="29">
        <f t="shared" si="71"/>
        <v>0</v>
      </c>
      <c r="L1011" s="23">
        <f t="shared" si="72"/>
        <v>0</v>
      </c>
      <c r="M1011" s="38"/>
    </row>
    <row r="1012" s="1" customFormat="1" ht="67.5" outlineLevel="1" spans="1:13">
      <c r="A1012" s="24">
        <v>1</v>
      </c>
      <c r="B1012" s="25" t="s">
        <v>154</v>
      </c>
      <c r="C1012" s="25" t="s">
        <v>555</v>
      </c>
      <c r="D1012" s="26" t="s">
        <v>42</v>
      </c>
      <c r="E1012" s="27">
        <f>25.69+165.62+118.61+208.19+138.56+233.84</f>
        <v>890.51</v>
      </c>
      <c r="F1012" s="28">
        <v>0.92</v>
      </c>
      <c r="G1012" s="24">
        <v>3.46</v>
      </c>
      <c r="H1012" s="29">
        <v>0.85</v>
      </c>
      <c r="I1012" s="29">
        <f t="shared" si="73"/>
        <v>0.523</v>
      </c>
      <c r="J1012" s="29">
        <f t="shared" si="74"/>
        <v>0.51777</v>
      </c>
      <c r="K1012" s="29">
        <f t="shared" si="71"/>
        <v>6.27077</v>
      </c>
      <c r="L1012" s="23">
        <f t="shared" si="72"/>
        <v>5584.1833927</v>
      </c>
      <c r="M1012" s="39" t="s">
        <v>142</v>
      </c>
    </row>
    <row r="1013" s="1" customFormat="1" ht="67.5" outlineLevel="1" spans="1:13">
      <c r="A1013" s="24">
        <v>2</v>
      </c>
      <c r="B1013" s="25" t="s">
        <v>154</v>
      </c>
      <c r="C1013" s="25" t="s">
        <v>556</v>
      </c>
      <c r="D1013" s="26" t="s">
        <v>42</v>
      </c>
      <c r="E1013" s="27">
        <f>E1012*2</f>
        <v>1781.02</v>
      </c>
      <c r="F1013" s="28">
        <v>0.92</v>
      </c>
      <c r="G1013" s="24">
        <v>4.2</v>
      </c>
      <c r="H1013" s="29">
        <v>0.85</v>
      </c>
      <c r="I1013" s="29">
        <f t="shared" si="73"/>
        <v>0.597</v>
      </c>
      <c r="J1013" s="29">
        <f t="shared" si="74"/>
        <v>0.59103</v>
      </c>
      <c r="K1013" s="29">
        <f t="shared" si="71"/>
        <v>7.15803</v>
      </c>
      <c r="L1013" s="23">
        <f t="shared" si="72"/>
        <v>12748.5945906</v>
      </c>
      <c r="M1013" s="39" t="s">
        <v>142</v>
      </c>
    </row>
    <row r="1014" s="1" customFormat="1" ht="67.5" outlineLevel="1" spans="1:13">
      <c r="A1014" s="24">
        <v>3</v>
      </c>
      <c r="B1014" s="25" t="s">
        <v>154</v>
      </c>
      <c r="C1014" s="25" t="s">
        <v>557</v>
      </c>
      <c r="D1014" s="26" t="s">
        <v>42</v>
      </c>
      <c r="E1014" s="27">
        <f>E1012</f>
        <v>890.51</v>
      </c>
      <c r="F1014" s="28">
        <v>0.92</v>
      </c>
      <c r="G1014" s="24">
        <v>3.46</v>
      </c>
      <c r="H1014" s="29">
        <v>0.85</v>
      </c>
      <c r="I1014" s="29">
        <f t="shared" si="73"/>
        <v>0.523</v>
      </c>
      <c r="J1014" s="29">
        <f t="shared" si="74"/>
        <v>0.51777</v>
      </c>
      <c r="K1014" s="29">
        <f t="shared" si="71"/>
        <v>6.27077</v>
      </c>
      <c r="L1014" s="23">
        <f t="shared" si="72"/>
        <v>5584.1833927</v>
      </c>
      <c r="M1014" s="39" t="s">
        <v>142</v>
      </c>
    </row>
    <row r="1015" s="1" customFormat="1" ht="67.5" outlineLevel="1" spans="1:13">
      <c r="A1015" s="24">
        <v>4</v>
      </c>
      <c r="B1015" s="25" t="s">
        <v>154</v>
      </c>
      <c r="C1015" s="25" t="s">
        <v>558</v>
      </c>
      <c r="D1015" s="26" t="s">
        <v>42</v>
      </c>
      <c r="E1015" s="27">
        <f>E1014</f>
        <v>890.51</v>
      </c>
      <c r="F1015" s="28">
        <v>0.92</v>
      </c>
      <c r="G1015" s="24">
        <v>2.14</v>
      </c>
      <c r="H1015" s="29">
        <v>0.85</v>
      </c>
      <c r="I1015" s="29">
        <f t="shared" si="73"/>
        <v>0.391</v>
      </c>
      <c r="J1015" s="29">
        <f t="shared" si="74"/>
        <v>0.38709</v>
      </c>
      <c r="K1015" s="29">
        <f t="shared" si="71"/>
        <v>4.68809</v>
      </c>
      <c r="L1015" s="23">
        <f t="shared" si="72"/>
        <v>4174.7910259</v>
      </c>
      <c r="M1015" s="39" t="s">
        <v>142</v>
      </c>
    </row>
    <row r="1016" s="1" customFormat="1" ht="67.5" outlineLevel="1" spans="1:13">
      <c r="A1016" s="24">
        <v>5</v>
      </c>
      <c r="B1016" s="25" t="s">
        <v>154</v>
      </c>
      <c r="C1016" s="25" t="s">
        <v>559</v>
      </c>
      <c r="D1016" s="26" t="s">
        <v>42</v>
      </c>
      <c r="E1016" s="27">
        <f>2542.86+2156.11</f>
        <v>4698.97</v>
      </c>
      <c r="F1016" s="28">
        <v>0.92</v>
      </c>
      <c r="G1016" s="24">
        <v>2.14</v>
      </c>
      <c r="H1016" s="29">
        <v>0.85</v>
      </c>
      <c r="I1016" s="29">
        <f t="shared" si="73"/>
        <v>0.391</v>
      </c>
      <c r="J1016" s="29">
        <f t="shared" si="74"/>
        <v>0.38709</v>
      </c>
      <c r="K1016" s="29">
        <f t="shared" si="71"/>
        <v>4.68809</v>
      </c>
      <c r="L1016" s="23">
        <f t="shared" si="72"/>
        <v>22029.1942673</v>
      </c>
      <c r="M1016" s="39" t="s">
        <v>142</v>
      </c>
    </row>
    <row r="1017" s="1" customFormat="1" ht="67.5" outlineLevel="1" spans="1:13">
      <c r="A1017" s="24">
        <v>6</v>
      </c>
      <c r="B1017" s="25" t="s">
        <v>154</v>
      </c>
      <c r="C1017" s="25" t="s">
        <v>233</v>
      </c>
      <c r="D1017" s="26" t="s">
        <v>42</v>
      </c>
      <c r="E1017" s="27">
        <f>2156.11*2</f>
        <v>4312.22</v>
      </c>
      <c r="F1017" s="28">
        <v>0.92</v>
      </c>
      <c r="G1017" s="24">
        <v>1.89</v>
      </c>
      <c r="H1017" s="29">
        <v>0.85</v>
      </c>
      <c r="I1017" s="29">
        <f t="shared" si="73"/>
        <v>0.366</v>
      </c>
      <c r="J1017" s="29">
        <f t="shared" si="74"/>
        <v>0.36234</v>
      </c>
      <c r="K1017" s="29">
        <f t="shared" si="71"/>
        <v>4.38834</v>
      </c>
      <c r="L1017" s="23">
        <f t="shared" si="72"/>
        <v>18923.4875148</v>
      </c>
      <c r="M1017" s="39" t="s">
        <v>142</v>
      </c>
    </row>
    <row r="1018" s="1" customFormat="1" ht="67.5" outlineLevel="1" spans="1:13">
      <c r="A1018" s="24">
        <v>7</v>
      </c>
      <c r="B1018" s="25" t="s">
        <v>154</v>
      </c>
      <c r="C1018" s="25" t="s">
        <v>560</v>
      </c>
      <c r="D1018" s="26" t="s">
        <v>42</v>
      </c>
      <c r="E1018" s="27">
        <v>1260.3</v>
      </c>
      <c r="F1018" s="28">
        <v>0.92</v>
      </c>
      <c r="G1018" s="24">
        <v>3.46</v>
      </c>
      <c r="H1018" s="29">
        <v>0.85</v>
      </c>
      <c r="I1018" s="29">
        <f t="shared" si="73"/>
        <v>0.523</v>
      </c>
      <c r="J1018" s="29">
        <f t="shared" si="74"/>
        <v>0.51777</v>
      </c>
      <c r="K1018" s="29">
        <f t="shared" si="71"/>
        <v>6.27077</v>
      </c>
      <c r="L1018" s="23">
        <f t="shared" si="72"/>
        <v>7903.051431</v>
      </c>
      <c r="M1018" s="39" t="s">
        <v>142</v>
      </c>
    </row>
    <row r="1019" s="1" customFormat="1" ht="67.5" outlineLevel="1" spans="1:13">
      <c r="A1019" s="24">
        <v>8</v>
      </c>
      <c r="B1019" s="25" t="s">
        <v>154</v>
      </c>
      <c r="C1019" s="25" t="s">
        <v>561</v>
      </c>
      <c r="D1019" s="26" t="s">
        <v>42</v>
      </c>
      <c r="E1019" s="27">
        <v>2771.21</v>
      </c>
      <c r="F1019" s="28">
        <v>0.92</v>
      </c>
      <c r="G1019" s="24">
        <v>2.14</v>
      </c>
      <c r="H1019" s="29">
        <v>0.85</v>
      </c>
      <c r="I1019" s="29">
        <f t="shared" si="73"/>
        <v>0.391</v>
      </c>
      <c r="J1019" s="29">
        <f t="shared" si="74"/>
        <v>0.38709</v>
      </c>
      <c r="K1019" s="29">
        <f t="shared" si="71"/>
        <v>4.68809</v>
      </c>
      <c r="L1019" s="23">
        <f t="shared" si="72"/>
        <v>12991.6818889</v>
      </c>
      <c r="M1019" s="39" t="s">
        <v>142</v>
      </c>
    </row>
    <row r="1020" s="1" customFormat="1" ht="67.5" outlineLevel="1" spans="1:13">
      <c r="A1020" s="24">
        <v>9</v>
      </c>
      <c r="B1020" s="25" t="s">
        <v>154</v>
      </c>
      <c r="C1020" s="25" t="s">
        <v>562</v>
      </c>
      <c r="D1020" s="26" t="s">
        <v>42</v>
      </c>
      <c r="E1020" s="27">
        <v>14271.54</v>
      </c>
      <c r="F1020" s="28">
        <v>0.92</v>
      </c>
      <c r="G1020" s="24">
        <v>6.1</v>
      </c>
      <c r="H1020" s="29">
        <v>0.85</v>
      </c>
      <c r="I1020" s="29">
        <f t="shared" si="73"/>
        <v>0.787</v>
      </c>
      <c r="J1020" s="29">
        <f t="shared" si="74"/>
        <v>0.77913</v>
      </c>
      <c r="K1020" s="29">
        <f t="shared" si="71"/>
        <v>9.43613</v>
      </c>
      <c r="L1020" s="23">
        <f t="shared" si="72"/>
        <v>134668.1067402</v>
      </c>
      <c r="M1020" s="39" t="s">
        <v>142</v>
      </c>
    </row>
    <row r="1021" s="1" customFormat="1" ht="67.5" outlineLevel="1" spans="1:13">
      <c r="A1021" s="24">
        <v>10</v>
      </c>
      <c r="B1021" s="25" t="s">
        <v>154</v>
      </c>
      <c r="C1021" s="25" t="s">
        <v>563</v>
      </c>
      <c r="D1021" s="26" t="s">
        <v>42</v>
      </c>
      <c r="E1021" s="27">
        <f>117+80+149</f>
        <v>346</v>
      </c>
      <c r="F1021" s="28">
        <v>0.92</v>
      </c>
      <c r="G1021" s="24">
        <v>5.1</v>
      </c>
      <c r="H1021" s="29">
        <v>0.85</v>
      </c>
      <c r="I1021" s="29">
        <f t="shared" si="73"/>
        <v>0.687</v>
      </c>
      <c r="J1021" s="29">
        <f t="shared" si="74"/>
        <v>0.68013</v>
      </c>
      <c r="K1021" s="29">
        <f t="shared" si="71"/>
        <v>8.23713</v>
      </c>
      <c r="L1021" s="23">
        <f t="shared" si="72"/>
        <v>2850.04698</v>
      </c>
      <c r="M1021" s="39" t="s">
        <v>142</v>
      </c>
    </row>
    <row r="1022" s="1" customFormat="1" ht="33.75" outlineLevel="1" spans="1:13">
      <c r="A1022" s="24">
        <v>11</v>
      </c>
      <c r="B1022" s="25" t="s">
        <v>174</v>
      </c>
      <c r="C1022" s="25" t="s">
        <v>175</v>
      </c>
      <c r="D1022" s="26" t="s">
        <v>103</v>
      </c>
      <c r="E1022" s="27">
        <v>66</v>
      </c>
      <c r="F1022" s="28">
        <v>192.41</v>
      </c>
      <c r="G1022" s="28">
        <v>26.6</v>
      </c>
      <c r="H1022" s="29">
        <v>10.12</v>
      </c>
      <c r="I1022" s="29">
        <f t="shared" si="73"/>
        <v>22.913</v>
      </c>
      <c r="J1022" s="29">
        <f t="shared" si="74"/>
        <v>22.68387</v>
      </c>
      <c r="K1022" s="29">
        <f t="shared" si="71"/>
        <v>274.72687</v>
      </c>
      <c r="L1022" s="23">
        <f t="shared" si="72"/>
        <v>18131.97342</v>
      </c>
      <c r="M1022" s="39" t="s">
        <v>159</v>
      </c>
    </row>
    <row r="1023" s="1" customFormat="1" ht="33.75" outlineLevel="1" spans="1:13">
      <c r="A1023" s="24">
        <v>12</v>
      </c>
      <c r="B1023" s="25" t="s">
        <v>176</v>
      </c>
      <c r="C1023" s="25" t="s">
        <v>177</v>
      </c>
      <c r="D1023" s="26" t="s">
        <v>60</v>
      </c>
      <c r="E1023" s="27">
        <v>556</v>
      </c>
      <c r="F1023" s="28">
        <v>37.21</v>
      </c>
      <c r="G1023" s="28">
        <v>19.2</v>
      </c>
      <c r="H1023" s="29">
        <v>2.21</v>
      </c>
      <c r="I1023" s="29">
        <f t="shared" si="73"/>
        <v>5.862</v>
      </c>
      <c r="J1023" s="29">
        <f t="shared" si="74"/>
        <v>5.80338</v>
      </c>
      <c r="K1023" s="29">
        <f t="shared" si="71"/>
        <v>70.28538</v>
      </c>
      <c r="L1023" s="23">
        <f t="shared" si="72"/>
        <v>39078.67128</v>
      </c>
      <c r="M1023" s="39" t="s">
        <v>159</v>
      </c>
    </row>
    <row r="1024" s="1" customFormat="1" ht="33.75" outlineLevel="1" spans="1:13">
      <c r="A1024" s="24">
        <v>13</v>
      </c>
      <c r="B1024" s="25" t="s">
        <v>178</v>
      </c>
      <c r="C1024" s="25" t="s">
        <v>179</v>
      </c>
      <c r="D1024" s="26" t="s">
        <v>60</v>
      </c>
      <c r="E1024" s="27">
        <v>100</v>
      </c>
      <c r="F1024" s="28">
        <v>37.21</v>
      </c>
      <c r="G1024" s="28">
        <v>19.2</v>
      </c>
      <c r="H1024" s="29">
        <v>2.85</v>
      </c>
      <c r="I1024" s="29">
        <f t="shared" si="73"/>
        <v>5.926</v>
      </c>
      <c r="J1024" s="29">
        <f t="shared" si="74"/>
        <v>5.86674</v>
      </c>
      <c r="K1024" s="29">
        <f t="shared" si="71"/>
        <v>71.05274</v>
      </c>
      <c r="L1024" s="23">
        <f t="shared" si="72"/>
        <v>7105.274</v>
      </c>
      <c r="M1024" s="39" t="s">
        <v>159</v>
      </c>
    </row>
    <row r="1025" s="1" customFormat="1" ht="45" outlineLevel="1" spans="1:13">
      <c r="A1025" s="24">
        <v>14</v>
      </c>
      <c r="B1025" s="25" t="s">
        <v>180</v>
      </c>
      <c r="C1025" s="25" t="s">
        <v>181</v>
      </c>
      <c r="D1025" s="26" t="s">
        <v>60</v>
      </c>
      <c r="E1025" s="27">
        <v>39</v>
      </c>
      <c r="F1025" s="28">
        <v>65.22</v>
      </c>
      <c r="G1025" s="28">
        <v>26.92</v>
      </c>
      <c r="H1025" s="29">
        <v>4.5</v>
      </c>
      <c r="I1025" s="29">
        <f t="shared" si="73"/>
        <v>9.664</v>
      </c>
      <c r="J1025" s="29">
        <f t="shared" si="74"/>
        <v>9.56736</v>
      </c>
      <c r="K1025" s="29">
        <f t="shared" si="71"/>
        <v>115.87136</v>
      </c>
      <c r="L1025" s="23">
        <f t="shared" si="72"/>
        <v>4518.98304</v>
      </c>
      <c r="M1025" s="39" t="s">
        <v>159</v>
      </c>
    </row>
    <row r="1026" s="1" customFormat="1" ht="33.75" outlineLevel="1" spans="1:13">
      <c r="A1026" s="24">
        <v>15</v>
      </c>
      <c r="B1026" s="25" t="s">
        <v>182</v>
      </c>
      <c r="C1026" s="25" t="s">
        <v>183</v>
      </c>
      <c r="D1026" s="26" t="s">
        <v>60</v>
      </c>
      <c r="E1026" s="27">
        <v>39</v>
      </c>
      <c r="F1026" s="24">
        <v>78.12</v>
      </c>
      <c r="G1026" s="28">
        <v>22.56</v>
      </c>
      <c r="H1026" s="29">
        <v>3.62</v>
      </c>
      <c r="I1026" s="29">
        <f t="shared" si="73"/>
        <v>10.43</v>
      </c>
      <c r="J1026" s="29">
        <f t="shared" si="74"/>
        <v>10.3257</v>
      </c>
      <c r="K1026" s="29">
        <f t="shared" si="71"/>
        <v>125.0557</v>
      </c>
      <c r="L1026" s="23">
        <f t="shared" si="72"/>
        <v>4877.1723</v>
      </c>
      <c r="M1026" s="39" t="s">
        <v>159</v>
      </c>
    </row>
    <row r="1027" s="1" customFormat="1" ht="33.75" outlineLevel="1" spans="1:13">
      <c r="A1027" s="24">
        <v>16</v>
      </c>
      <c r="B1027" s="25" t="s">
        <v>184</v>
      </c>
      <c r="C1027" s="25" t="s">
        <v>185</v>
      </c>
      <c r="D1027" s="26" t="s">
        <v>60</v>
      </c>
      <c r="E1027" s="27">
        <v>54</v>
      </c>
      <c r="F1027" s="28">
        <v>195.64</v>
      </c>
      <c r="G1027" s="28">
        <v>9.4</v>
      </c>
      <c r="H1027" s="29">
        <v>7.17</v>
      </c>
      <c r="I1027" s="29">
        <f t="shared" si="73"/>
        <v>21.221</v>
      </c>
      <c r="J1027" s="29">
        <f t="shared" si="74"/>
        <v>21.00879</v>
      </c>
      <c r="K1027" s="29">
        <f t="shared" si="71"/>
        <v>254.43979</v>
      </c>
      <c r="L1027" s="23">
        <f t="shared" si="72"/>
        <v>13739.74866</v>
      </c>
      <c r="M1027" s="39" t="s">
        <v>159</v>
      </c>
    </row>
    <row r="1028" s="1" customFormat="1" ht="33.75" outlineLevel="1" spans="1:13">
      <c r="A1028" s="24">
        <v>17</v>
      </c>
      <c r="B1028" s="25" t="s">
        <v>238</v>
      </c>
      <c r="C1028" s="25" t="s">
        <v>239</v>
      </c>
      <c r="D1028" s="26" t="s">
        <v>60</v>
      </c>
      <c r="E1028" s="27">
        <v>32</v>
      </c>
      <c r="F1028" s="28">
        <v>47.27</v>
      </c>
      <c r="G1028" s="28">
        <v>43.24</v>
      </c>
      <c r="H1028" s="29">
        <v>2.7</v>
      </c>
      <c r="I1028" s="29">
        <f t="shared" si="73"/>
        <v>9.321</v>
      </c>
      <c r="J1028" s="29">
        <f t="shared" si="74"/>
        <v>9.22779</v>
      </c>
      <c r="K1028" s="29">
        <f t="shared" si="71"/>
        <v>111.75879</v>
      </c>
      <c r="L1028" s="23">
        <f t="shared" si="72"/>
        <v>3576.28128</v>
      </c>
      <c r="M1028" s="39" t="s">
        <v>159</v>
      </c>
    </row>
    <row r="1029" s="1" customFormat="1" ht="33.75" outlineLevel="1" spans="1:13">
      <c r="A1029" s="24">
        <v>18</v>
      </c>
      <c r="B1029" s="25" t="s">
        <v>564</v>
      </c>
      <c r="C1029" s="25" t="s">
        <v>565</v>
      </c>
      <c r="D1029" s="26" t="s">
        <v>60</v>
      </c>
      <c r="E1029" s="27">
        <v>91</v>
      </c>
      <c r="F1029" s="28">
        <v>48.37</v>
      </c>
      <c r="G1029" s="28">
        <v>21.15</v>
      </c>
      <c r="H1029" s="29">
        <v>3.2</v>
      </c>
      <c r="I1029" s="29">
        <f t="shared" si="73"/>
        <v>7.272</v>
      </c>
      <c r="J1029" s="29">
        <f t="shared" si="74"/>
        <v>7.19928</v>
      </c>
      <c r="K1029" s="29">
        <f t="shared" ref="K1029:K1038" si="75">F1029+G1029+H1029+I1029+J1029</f>
        <v>87.19128</v>
      </c>
      <c r="L1029" s="23">
        <f t="shared" ref="L1029:L1038" si="76">K1029*E1029</f>
        <v>7934.40648</v>
      </c>
      <c r="M1029" s="39" t="s">
        <v>159</v>
      </c>
    </row>
    <row r="1030" s="1" customFormat="1" ht="33.75" outlineLevel="1" spans="1:13">
      <c r="A1030" s="24">
        <v>19</v>
      </c>
      <c r="B1030" s="25" t="s">
        <v>286</v>
      </c>
      <c r="C1030" s="25" t="s">
        <v>287</v>
      </c>
      <c r="D1030" s="26" t="s">
        <v>60</v>
      </c>
      <c r="E1030" s="27">
        <v>35</v>
      </c>
      <c r="F1030" s="28">
        <v>45.9</v>
      </c>
      <c r="G1030" s="28">
        <v>72.9</v>
      </c>
      <c r="H1030" s="29">
        <v>33</v>
      </c>
      <c r="I1030" s="29">
        <f t="shared" si="73"/>
        <v>15.18</v>
      </c>
      <c r="J1030" s="29">
        <f t="shared" si="74"/>
        <v>15.0282</v>
      </c>
      <c r="K1030" s="29">
        <f t="shared" si="75"/>
        <v>182.0082</v>
      </c>
      <c r="L1030" s="23">
        <f t="shared" si="76"/>
        <v>6370.287</v>
      </c>
      <c r="M1030" s="39" t="s">
        <v>159</v>
      </c>
    </row>
    <row r="1031" s="1" customFormat="1" ht="33.75" outlineLevel="1" spans="1:13">
      <c r="A1031" s="24">
        <v>20</v>
      </c>
      <c r="B1031" s="25" t="s">
        <v>188</v>
      </c>
      <c r="C1031" s="25" t="s">
        <v>189</v>
      </c>
      <c r="D1031" s="26" t="s">
        <v>60</v>
      </c>
      <c r="E1031" s="27">
        <v>6</v>
      </c>
      <c r="F1031" s="28">
        <v>50.98</v>
      </c>
      <c r="G1031" s="28">
        <v>46.66</v>
      </c>
      <c r="H1031" s="29">
        <v>30.84</v>
      </c>
      <c r="I1031" s="29">
        <f t="shared" si="73"/>
        <v>12.848</v>
      </c>
      <c r="J1031" s="29">
        <f t="shared" si="74"/>
        <v>12.71952</v>
      </c>
      <c r="K1031" s="29">
        <f t="shared" si="75"/>
        <v>154.04752</v>
      </c>
      <c r="L1031" s="23">
        <f t="shared" si="76"/>
        <v>924.28512</v>
      </c>
      <c r="M1031" s="39" t="s">
        <v>159</v>
      </c>
    </row>
    <row r="1032" s="1" customFormat="1" ht="33.75" outlineLevel="1" spans="1:13">
      <c r="A1032" s="24">
        <v>21</v>
      </c>
      <c r="B1032" s="25" t="s">
        <v>190</v>
      </c>
      <c r="C1032" s="25" t="s">
        <v>191</v>
      </c>
      <c r="D1032" s="26" t="s">
        <v>60</v>
      </c>
      <c r="E1032" s="27">
        <v>88</v>
      </c>
      <c r="F1032" s="28">
        <v>212.47</v>
      </c>
      <c r="G1032" s="28">
        <v>43.24</v>
      </c>
      <c r="H1032" s="29">
        <v>7.1</v>
      </c>
      <c r="I1032" s="29">
        <f t="shared" si="73"/>
        <v>26.281</v>
      </c>
      <c r="J1032" s="29">
        <f t="shared" si="74"/>
        <v>26.01819</v>
      </c>
      <c r="K1032" s="29">
        <f t="shared" si="75"/>
        <v>315.10919</v>
      </c>
      <c r="L1032" s="23">
        <f t="shared" si="76"/>
        <v>27729.60872</v>
      </c>
      <c r="M1032" s="39" t="s">
        <v>159</v>
      </c>
    </row>
    <row r="1033" s="1" customFormat="1" ht="33.75" outlineLevel="1" spans="1:13">
      <c r="A1033" s="24">
        <v>22</v>
      </c>
      <c r="B1033" s="25" t="s">
        <v>192</v>
      </c>
      <c r="C1033" s="25" t="s">
        <v>193</v>
      </c>
      <c r="D1033" s="26" t="s">
        <v>60</v>
      </c>
      <c r="E1033" s="27">
        <v>77</v>
      </c>
      <c r="F1033" s="28">
        <v>254.48</v>
      </c>
      <c r="G1033" s="24">
        <v>21.15</v>
      </c>
      <c r="H1033" s="29">
        <v>10.26</v>
      </c>
      <c r="I1033" s="29">
        <f t="shared" si="73"/>
        <v>28.589</v>
      </c>
      <c r="J1033" s="29">
        <f t="shared" si="74"/>
        <v>28.30311</v>
      </c>
      <c r="K1033" s="29">
        <f t="shared" si="75"/>
        <v>342.78211</v>
      </c>
      <c r="L1033" s="23">
        <f t="shared" si="76"/>
        <v>26394.22247</v>
      </c>
      <c r="M1033" s="39" t="s">
        <v>159</v>
      </c>
    </row>
    <row r="1034" s="1" customFormat="1" ht="22.5" outlineLevel="1" spans="1:13">
      <c r="A1034" s="24">
        <v>23</v>
      </c>
      <c r="B1034" s="25" t="s">
        <v>566</v>
      </c>
      <c r="C1034" s="25" t="s">
        <v>567</v>
      </c>
      <c r="D1034" s="26" t="s">
        <v>568</v>
      </c>
      <c r="E1034" s="27">
        <v>1</v>
      </c>
      <c r="F1034" s="24">
        <v>366.15</v>
      </c>
      <c r="G1034" s="24">
        <v>0</v>
      </c>
      <c r="H1034" s="29">
        <v>185</v>
      </c>
      <c r="I1034" s="29">
        <f t="shared" si="73"/>
        <v>55.115</v>
      </c>
      <c r="J1034" s="29">
        <f t="shared" si="74"/>
        <v>54.56385</v>
      </c>
      <c r="K1034" s="29">
        <f t="shared" si="75"/>
        <v>660.82885</v>
      </c>
      <c r="L1034" s="23">
        <f t="shared" si="76"/>
        <v>660.82885</v>
      </c>
      <c r="M1034" s="39"/>
    </row>
    <row r="1035" s="1" customFormat="1" outlineLevel="1" spans="1:13">
      <c r="A1035" s="20" t="s">
        <v>164</v>
      </c>
      <c r="B1035" s="21" t="s">
        <v>569</v>
      </c>
      <c r="C1035" s="21"/>
      <c r="D1035" s="22"/>
      <c r="E1035" s="22"/>
      <c r="F1035" s="20"/>
      <c r="G1035" s="20"/>
      <c r="H1035" s="20"/>
      <c r="I1035" s="29">
        <f t="shared" si="73"/>
        <v>0</v>
      </c>
      <c r="J1035" s="29">
        <f t="shared" si="74"/>
        <v>0</v>
      </c>
      <c r="K1035" s="29">
        <f t="shared" si="75"/>
        <v>0</v>
      </c>
      <c r="L1035" s="23">
        <f t="shared" si="76"/>
        <v>0</v>
      </c>
      <c r="M1035" s="38"/>
    </row>
    <row r="1036" s="1" customFormat="1" ht="67.5" outlineLevel="1" spans="1:13">
      <c r="A1036" s="24">
        <v>1</v>
      </c>
      <c r="B1036" s="25" t="s">
        <v>154</v>
      </c>
      <c r="C1036" s="25" t="s">
        <v>570</v>
      </c>
      <c r="D1036" s="26" t="s">
        <v>42</v>
      </c>
      <c r="E1036" s="27">
        <f>57+275</f>
        <v>332</v>
      </c>
      <c r="F1036" s="28">
        <v>0.92</v>
      </c>
      <c r="G1036" s="29">
        <v>2.14</v>
      </c>
      <c r="H1036" s="29">
        <v>0.85</v>
      </c>
      <c r="I1036" s="29">
        <f t="shared" si="73"/>
        <v>0.391</v>
      </c>
      <c r="J1036" s="29">
        <f t="shared" si="74"/>
        <v>0.38709</v>
      </c>
      <c r="K1036" s="29">
        <f t="shared" si="75"/>
        <v>4.68809</v>
      </c>
      <c r="L1036" s="23">
        <f t="shared" si="76"/>
        <v>1556.44588</v>
      </c>
      <c r="M1036" s="39" t="s">
        <v>142</v>
      </c>
    </row>
    <row r="1037" s="1" customFormat="1" ht="67.5" outlineLevel="1" spans="1:13">
      <c r="A1037" s="24">
        <v>2</v>
      </c>
      <c r="B1037" s="25" t="s">
        <v>154</v>
      </c>
      <c r="C1037" s="25" t="s">
        <v>571</v>
      </c>
      <c r="D1037" s="26" t="s">
        <v>42</v>
      </c>
      <c r="E1037" s="27">
        <f>E1036*2</f>
        <v>664</v>
      </c>
      <c r="F1037" s="28">
        <v>0.92</v>
      </c>
      <c r="G1037" s="24">
        <v>1.89</v>
      </c>
      <c r="H1037" s="29">
        <v>0.85</v>
      </c>
      <c r="I1037" s="29">
        <f t="shared" si="73"/>
        <v>0.366</v>
      </c>
      <c r="J1037" s="29">
        <f t="shared" si="74"/>
        <v>0.36234</v>
      </c>
      <c r="K1037" s="29">
        <f t="shared" si="75"/>
        <v>4.38834</v>
      </c>
      <c r="L1037" s="23">
        <f t="shared" si="76"/>
        <v>2913.85776</v>
      </c>
      <c r="M1037" s="39" t="s">
        <v>142</v>
      </c>
    </row>
    <row r="1038" s="1" customFormat="1" ht="33.75" outlineLevel="1" spans="1:13">
      <c r="A1038" s="24">
        <v>3</v>
      </c>
      <c r="B1038" s="25" t="s">
        <v>572</v>
      </c>
      <c r="C1038" s="25" t="s">
        <v>284</v>
      </c>
      <c r="D1038" s="26" t="s">
        <v>60</v>
      </c>
      <c r="E1038" s="27">
        <v>8</v>
      </c>
      <c r="F1038" s="24">
        <v>285.43</v>
      </c>
      <c r="G1038" s="29">
        <v>116</v>
      </c>
      <c r="H1038" s="24">
        <v>66.5</v>
      </c>
      <c r="I1038" s="29">
        <f t="shared" si="73"/>
        <v>46.793</v>
      </c>
      <c r="J1038" s="29">
        <f t="shared" si="74"/>
        <v>46.32507</v>
      </c>
      <c r="K1038" s="29">
        <f t="shared" si="75"/>
        <v>561.04807</v>
      </c>
      <c r="L1038" s="23">
        <f t="shared" si="76"/>
        <v>4488.38456</v>
      </c>
      <c r="M1038" s="39" t="s">
        <v>159</v>
      </c>
    </row>
    <row r="1039" s="1" customFormat="1" outlineLevel="1" spans="1:13">
      <c r="A1039" s="20" t="s">
        <v>196</v>
      </c>
      <c r="B1039" s="21" t="s">
        <v>573</v>
      </c>
      <c r="C1039" s="21"/>
      <c r="D1039" s="22"/>
      <c r="E1039" s="22"/>
      <c r="F1039" s="20"/>
      <c r="G1039" s="20"/>
      <c r="H1039" s="20"/>
      <c r="I1039" s="29">
        <f t="shared" si="73"/>
        <v>0</v>
      </c>
      <c r="J1039" s="29">
        <f t="shared" si="74"/>
        <v>0</v>
      </c>
      <c r="K1039" s="29">
        <f t="shared" ref="K1039:K1044" si="77">F1039+G1039+H1039+I1039+J1039</f>
        <v>0</v>
      </c>
      <c r="L1039" s="23">
        <f t="shared" ref="L1039:L1044" si="78">K1039*E1039</f>
        <v>0</v>
      </c>
      <c r="M1039" s="39"/>
    </row>
    <row r="1040" s="1" customFormat="1" ht="67.5" outlineLevel="1" spans="1:13">
      <c r="A1040" s="24">
        <v>1</v>
      </c>
      <c r="B1040" s="25" t="s">
        <v>154</v>
      </c>
      <c r="C1040" s="25" t="s">
        <v>570</v>
      </c>
      <c r="D1040" s="26" t="s">
        <v>42</v>
      </c>
      <c r="E1040" s="27">
        <f>138.42+22.13+19.17+(3.5-1.5)*4</f>
        <v>187.72</v>
      </c>
      <c r="F1040" s="28">
        <v>0.92</v>
      </c>
      <c r="G1040" s="29">
        <v>2.14</v>
      </c>
      <c r="H1040" s="29">
        <v>0.85</v>
      </c>
      <c r="I1040" s="29">
        <f t="shared" si="73"/>
        <v>0.391</v>
      </c>
      <c r="J1040" s="29">
        <f t="shared" si="74"/>
        <v>0.38709</v>
      </c>
      <c r="K1040" s="29">
        <f t="shared" si="77"/>
        <v>4.68809</v>
      </c>
      <c r="L1040" s="23">
        <f t="shared" si="78"/>
        <v>880.0482548</v>
      </c>
      <c r="M1040" s="39" t="s">
        <v>142</v>
      </c>
    </row>
    <row r="1041" s="1" customFormat="1" ht="33.75" outlineLevel="1" spans="1:13">
      <c r="A1041" s="24">
        <v>2</v>
      </c>
      <c r="B1041" s="25" t="s">
        <v>574</v>
      </c>
      <c r="C1041" s="25" t="s">
        <v>575</v>
      </c>
      <c r="D1041" s="26" t="s">
        <v>60</v>
      </c>
      <c r="E1041" s="27">
        <v>4</v>
      </c>
      <c r="F1041" s="24">
        <v>325.43</v>
      </c>
      <c r="G1041" s="29">
        <v>78.4</v>
      </c>
      <c r="H1041" s="24">
        <v>16.51</v>
      </c>
      <c r="I1041" s="29">
        <f t="shared" si="73"/>
        <v>42.034</v>
      </c>
      <c r="J1041" s="29">
        <f t="shared" si="74"/>
        <v>41.61366</v>
      </c>
      <c r="K1041" s="29">
        <f t="shared" si="77"/>
        <v>503.98766</v>
      </c>
      <c r="L1041" s="23">
        <f t="shared" si="78"/>
        <v>2015.95064</v>
      </c>
      <c r="M1041" s="39" t="s">
        <v>159</v>
      </c>
    </row>
    <row r="1042" s="1" customFormat="1" outlineLevel="1" spans="1:13">
      <c r="A1042" s="20" t="s">
        <v>207</v>
      </c>
      <c r="B1042" s="21" t="s">
        <v>576</v>
      </c>
      <c r="C1042" s="21"/>
      <c r="D1042" s="22"/>
      <c r="E1042" s="22"/>
      <c r="F1042" s="20"/>
      <c r="G1042" s="20"/>
      <c r="H1042" s="20"/>
      <c r="I1042" s="29">
        <f t="shared" si="73"/>
        <v>0</v>
      </c>
      <c r="J1042" s="29">
        <f t="shared" si="74"/>
        <v>0</v>
      </c>
      <c r="K1042" s="29">
        <f t="shared" si="77"/>
        <v>0</v>
      </c>
      <c r="L1042" s="23">
        <f t="shared" si="78"/>
        <v>0</v>
      </c>
      <c r="M1042" s="38"/>
    </row>
    <row r="1043" s="1" customFormat="1" ht="45" outlineLevel="1" spans="1:13">
      <c r="A1043" s="24">
        <v>1</v>
      </c>
      <c r="B1043" s="25" t="s">
        <v>538</v>
      </c>
      <c r="C1043" s="25" t="s">
        <v>541</v>
      </c>
      <c r="D1043" s="26" t="s">
        <v>42</v>
      </c>
      <c r="E1043" s="27">
        <v>345.95</v>
      </c>
      <c r="F1043" s="24">
        <v>9.66</v>
      </c>
      <c r="G1043" s="24">
        <v>14.4</v>
      </c>
      <c r="H1043" s="24">
        <v>3.32</v>
      </c>
      <c r="I1043" s="29">
        <f t="shared" si="73"/>
        <v>2.738</v>
      </c>
      <c r="J1043" s="29">
        <f t="shared" si="74"/>
        <v>2.71062</v>
      </c>
      <c r="K1043" s="29">
        <f t="shared" si="77"/>
        <v>32.82862</v>
      </c>
      <c r="L1043" s="23">
        <f t="shared" si="78"/>
        <v>11357.061089</v>
      </c>
      <c r="M1043" s="39" t="s">
        <v>540</v>
      </c>
    </row>
    <row r="1044" s="1" customFormat="1" ht="45" outlineLevel="1" spans="1:13">
      <c r="A1044" s="24">
        <v>2</v>
      </c>
      <c r="B1044" s="25" t="s">
        <v>538</v>
      </c>
      <c r="C1044" s="25" t="s">
        <v>539</v>
      </c>
      <c r="D1044" s="26" t="s">
        <v>42</v>
      </c>
      <c r="E1044" s="27">
        <f>5*19</f>
        <v>95</v>
      </c>
      <c r="F1044" s="24">
        <v>8.95</v>
      </c>
      <c r="G1044" s="24">
        <v>6.98</v>
      </c>
      <c r="H1044" s="24">
        <v>2.63</v>
      </c>
      <c r="I1044" s="29">
        <f t="shared" si="73"/>
        <v>1.856</v>
      </c>
      <c r="J1044" s="29">
        <f t="shared" si="74"/>
        <v>1.83744</v>
      </c>
      <c r="K1044" s="29">
        <f t="shared" ref="K1044:K1049" si="79">F1044+G1044+H1044+I1044+J1044</f>
        <v>22.25344</v>
      </c>
      <c r="L1044" s="23">
        <f t="shared" ref="L1044:L1049" si="80">K1044*E1044</f>
        <v>2114.0768</v>
      </c>
      <c r="M1044" s="39" t="s">
        <v>540</v>
      </c>
    </row>
    <row r="1045" s="1" customFormat="1" ht="67.5" outlineLevel="1" spans="1:13">
      <c r="A1045" s="24">
        <v>3</v>
      </c>
      <c r="B1045" s="25" t="s">
        <v>154</v>
      </c>
      <c r="C1045" s="25" t="s">
        <v>577</v>
      </c>
      <c r="D1045" s="26" t="s">
        <v>42</v>
      </c>
      <c r="E1045" s="27">
        <v>889</v>
      </c>
      <c r="F1045" s="28">
        <v>0.92</v>
      </c>
      <c r="G1045" s="24">
        <v>48</v>
      </c>
      <c r="H1045" s="29">
        <v>0.85</v>
      </c>
      <c r="I1045" s="29">
        <f t="shared" si="73"/>
        <v>4.977</v>
      </c>
      <c r="J1045" s="29">
        <f t="shared" si="74"/>
        <v>4.92723</v>
      </c>
      <c r="K1045" s="29">
        <f t="shared" si="79"/>
        <v>59.67423</v>
      </c>
      <c r="L1045" s="23">
        <f t="shared" si="80"/>
        <v>53050.39047</v>
      </c>
      <c r="M1045" s="39" t="s">
        <v>142</v>
      </c>
    </row>
    <row r="1046" s="1" customFormat="1" ht="67.5" outlineLevel="1" spans="1:13">
      <c r="A1046" s="24">
        <v>4</v>
      </c>
      <c r="B1046" s="25" t="s">
        <v>154</v>
      </c>
      <c r="C1046" s="25" t="s">
        <v>578</v>
      </c>
      <c r="D1046" s="26" t="s">
        <v>42</v>
      </c>
      <c r="E1046" s="27">
        <f>5*19*3</f>
        <v>285</v>
      </c>
      <c r="F1046" s="28">
        <v>0.92</v>
      </c>
      <c r="G1046" s="29">
        <v>1.93</v>
      </c>
      <c r="H1046" s="29">
        <v>0.85</v>
      </c>
      <c r="I1046" s="29">
        <f t="shared" si="73"/>
        <v>0.37</v>
      </c>
      <c r="J1046" s="29">
        <f t="shared" si="74"/>
        <v>0.3663</v>
      </c>
      <c r="K1046" s="29">
        <f t="shared" si="79"/>
        <v>4.4363</v>
      </c>
      <c r="L1046" s="23">
        <f t="shared" si="80"/>
        <v>1264.3455</v>
      </c>
      <c r="M1046" s="39" t="s">
        <v>142</v>
      </c>
    </row>
    <row r="1047" s="1" customFormat="1" ht="33.75" outlineLevel="1" spans="1:13">
      <c r="A1047" s="24">
        <v>5</v>
      </c>
      <c r="B1047" s="25" t="s">
        <v>579</v>
      </c>
      <c r="C1047" s="25" t="s">
        <v>580</v>
      </c>
      <c r="D1047" s="26" t="s">
        <v>103</v>
      </c>
      <c r="E1047" s="27">
        <v>19</v>
      </c>
      <c r="F1047" s="24">
        <v>90.78</v>
      </c>
      <c r="G1047" s="24">
        <v>60</v>
      </c>
      <c r="H1047" s="24">
        <v>19.93</v>
      </c>
      <c r="I1047" s="29">
        <f t="shared" si="73"/>
        <v>17.071</v>
      </c>
      <c r="J1047" s="29">
        <f t="shared" si="74"/>
        <v>16.90029</v>
      </c>
      <c r="K1047" s="29">
        <f t="shared" si="79"/>
        <v>204.68129</v>
      </c>
      <c r="L1047" s="23">
        <f t="shared" si="80"/>
        <v>3888.94451</v>
      </c>
      <c r="M1047" s="39"/>
    </row>
    <row r="1048" s="1" customFormat="1" ht="33.75" outlineLevel="1" spans="1:13">
      <c r="A1048" s="24">
        <v>6</v>
      </c>
      <c r="B1048" s="25" t="s">
        <v>581</v>
      </c>
      <c r="C1048" s="25" t="s">
        <v>582</v>
      </c>
      <c r="D1048" s="26" t="s">
        <v>60</v>
      </c>
      <c r="E1048" s="27">
        <f>E1047*2</f>
        <v>38</v>
      </c>
      <c r="F1048" s="24">
        <v>6.77</v>
      </c>
      <c r="G1048" s="29">
        <v>9.5</v>
      </c>
      <c r="H1048" s="29">
        <v>1.2</v>
      </c>
      <c r="I1048" s="29">
        <f t="shared" si="73"/>
        <v>1.747</v>
      </c>
      <c r="J1048" s="29">
        <f t="shared" si="74"/>
        <v>1.72953</v>
      </c>
      <c r="K1048" s="29">
        <f t="shared" si="79"/>
        <v>20.94653</v>
      </c>
      <c r="L1048" s="23">
        <f t="shared" si="80"/>
        <v>795.96814</v>
      </c>
      <c r="M1048" s="39" t="s">
        <v>139</v>
      </c>
    </row>
    <row r="1049" s="1" customFormat="1" ht="45" outlineLevel="1" spans="1:13">
      <c r="A1049" s="24">
        <v>7</v>
      </c>
      <c r="B1049" s="25" t="s">
        <v>583</v>
      </c>
      <c r="C1049" s="25" t="s">
        <v>584</v>
      </c>
      <c r="D1049" s="26" t="s">
        <v>116</v>
      </c>
      <c r="E1049" s="27">
        <f>(5.8*2.4)+(6.15*2.4)+(6.15*2.4)+(4.35*2.4)+(6.15*2.4)+(6.15*2.4)+(6.15*2.4)+(6.15*2.4)+(6.15*2.4)+(5.8*2.4)+(5.95*2.4)+(5.8*2.4)+(5.95*2.4)+(4.55*2.4)+(5.95*2.4)*3+(5.85*2.4)+(5.95*2.4)</f>
        <v>266.16</v>
      </c>
      <c r="F1049" s="24">
        <v>55.6</v>
      </c>
      <c r="G1049" s="24">
        <v>300</v>
      </c>
      <c r="H1049" s="24">
        <v>112.11</v>
      </c>
      <c r="I1049" s="29">
        <f t="shared" si="73"/>
        <v>46.771</v>
      </c>
      <c r="J1049" s="29">
        <f t="shared" si="74"/>
        <v>46.30329</v>
      </c>
      <c r="K1049" s="29">
        <f t="shared" si="79"/>
        <v>560.78429</v>
      </c>
      <c r="L1049" s="23">
        <f t="shared" si="80"/>
        <v>149258.3466264</v>
      </c>
      <c r="M1049" s="39" t="s">
        <v>139</v>
      </c>
    </row>
    <row r="1050" s="1" customFormat="1" outlineLevel="1" spans="1:13">
      <c r="A1050" s="20" t="s">
        <v>465</v>
      </c>
      <c r="B1050" s="21" t="s">
        <v>585</v>
      </c>
      <c r="C1050" s="21"/>
      <c r="D1050" s="22"/>
      <c r="E1050" s="51"/>
      <c r="F1050" s="20"/>
      <c r="G1050" s="20"/>
      <c r="H1050" s="20"/>
      <c r="I1050" s="29">
        <f t="shared" si="73"/>
        <v>0</v>
      </c>
      <c r="J1050" s="29">
        <f t="shared" si="74"/>
        <v>0</v>
      </c>
      <c r="K1050" s="29">
        <f t="shared" ref="K1047:K1110" si="81">F1050+G1050+H1050+I1050+J1050</f>
        <v>0</v>
      </c>
      <c r="L1050" s="23">
        <f t="shared" ref="L1047:L1110" si="82">K1050*E1050</f>
        <v>0</v>
      </c>
      <c r="M1050" s="38"/>
    </row>
    <row r="1051" s="1" customFormat="1" ht="56.25" outlineLevel="1" spans="1:13">
      <c r="A1051" s="24">
        <v>1</v>
      </c>
      <c r="B1051" s="25" t="s">
        <v>154</v>
      </c>
      <c r="C1051" s="25" t="s">
        <v>241</v>
      </c>
      <c r="D1051" s="26" t="s">
        <v>42</v>
      </c>
      <c r="E1051" s="27">
        <f>83.48+488</f>
        <v>571.48</v>
      </c>
      <c r="F1051" s="28">
        <v>0.92</v>
      </c>
      <c r="G1051" s="29">
        <v>2.57</v>
      </c>
      <c r="H1051" s="29">
        <v>0.85</v>
      </c>
      <c r="I1051" s="29">
        <f t="shared" si="73"/>
        <v>0.434</v>
      </c>
      <c r="J1051" s="29">
        <f t="shared" si="74"/>
        <v>0.42966</v>
      </c>
      <c r="K1051" s="29">
        <f t="shared" si="81"/>
        <v>5.20366</v>
      </c>
      <c r="L1051" s="23">
        <f t="shared" si="82"/>
        <v>2973.7876168</v>
      </c>
      <c r="M1051" s="39" t="s">
        <v>142</v>
      </c>
    </row>
    <row r="1052" s="1" customFormat="1" ht="33.75" outlineLevel="1" spans="1:13">
      <c r="A1052" s="24">
        <v>2</v>
      </c>
      <c r="B1052" s="25" t="s">
        <v>157</v>
      </c>
      <c r="C1052" s="25" t="s">
        <v>313</v>
      </c>
      <c r="D1052" s="26" t="s">
        <v>60</v>
      </c>
      <c r="E1052" s="27">
        <v>7</v>
      </c>
      <c r="F1052" s="24">
        <v>285.43</v>
      </c>
      <c r="G1052" s="29">
        <v>43.6</v>
      </c>
      <c r="H1052" s="29">
        <v>16.5</v>
      </c>
      <c r="I1052" s="29">
        <f t="shared" si="73"/>
        <v>34.553</v>
      </c>
      <c r="J1052" s="29">
        <f t="shared" si="74"/>
        <v>34.20747</v>
      </c>
      <c r="K1052" s="29">
        <f t="shared" si="81"/>
        <v>414.29047</v>
      </c>
      <c r="L1052" s="23">
        <f t="shared" si="82"/>
        <v>2900.03329</v>
      </c>
      <c r="M1052" s="39" t="s">
        <v>159</v>
      </c>
    </row>
    <row r="1053" s="1" customFormat="1" outlineLevel="1" spans="1:13">
      <c r="A1053" s="20" t="s">
        <v>586</v>
      </c>
      <c r="B1053" s="21" t="s">
        <v>587</v>
      </c>
      <c r="C1053" s="21"/>
      <c r="D1053" s="22"/>
      <c r="E1053" s="22"/>
      <c r="F1053" s="20"/>
      <c r="G1053" s="20"/>
      <c r="H1053" s="20"/>
      <c r="I1053" s="29">
        <f t="shared" si="73"/>
        <v>0</v>
      </c>
      <c r="J1053" s="29">
        <f t="shared" si="74"/>
        <v>0</v>
      </c>
      <c r="K1053" s="29">
        <f t="shared" si="81"/>
        <v>0</v>
      </c>
      <c r="L1053" s="23">
        <f t="shared" si="82"/>
        <v>0</v>
      </c>
      <c r="M1053" s="38"/>
    </row>
    <row r="1054" s="1" customFormat="1" ht="78.75" outlineLevel="1" spans="1:13">
      <c r="A1054" s="24">
        <v>1</v>
      </c>
      <c r="B1054" s="25" t="s">
        <v>430</v>
      </c>
      <c r="C1054" s="25" t="s">
        <v>588</v>
      </c>
      <c r="D1054" s="26" t="s">
        <v>42</v>
      </c>
      <c r="E1054" s="27">
        <f>7.97+4.19</f>
        <v>12.16</v>
      </c>
      <c r="F1054" s="24">
        <v>94.34</v>
      </c>
      <c r="G1054" s="29">
        <f>17.17+10</f>
        <v>27.17</v>
      </c>
      <c r="H1054" s="24">
        <v>8.1</v>
      </c>
      <c r="I1054" s="29">
        <f t="shared" si="73"/>
        <v>12.961</v>
      </c>
      <c r="J1054" s="29">
        <f t="shared" si="74"/>
        <v>12.83139</v>
      </c>
      <c r="K1054" s="29">
        <f t="shared" si="81"/>
        <v>155.40239</v>
      </c>
      <c r="L1054" s="23">
        <f t="shared" si="82"/>
        <v>1889.6930624</v>
      </c>
      <c r="M1054" s="39" t="s">
        <v>43</v>
      </c>
    </row>
    <row r="1055" s="1" customFormat="1" ht="78.75" outlineLevel="1" spans="1:13">
      <c r="A1055" s="24">
        <v>2</v>
      </c>
      <c r="B1055" s="25" t="s">
        <v>430</v>
      </c>
      <c r="C1055" s="25" t="s">
        <v>589</v>
      </c>
      <c r="D1055" s="26" t="s">
        <v>42</v>
      </c>
      <c r="E1055" s="27">
        <v>6.25</v>
      </c>
      <c r="F1055" s="24">
        <v>94.34</v>
      </c>
      <c r="G1055" s="24">
        <f>1400+10</f>
        <v>1410</v>
      </c>
      <c r="H1055" s="24">
        <v>8.1</v>
      </c>
      <c r="I1055" s="29">
        <f t="shared" si="73"/>
        <v>151.244</v>
      </c>
      <c r="J1055" s="29">
        <f t="shared" si="74"/>
        <v>149.73156</v>
      </c>
      <c r="K1055" s="29">
        <f t="shared" si="81"/>
        <v>1813.41556</v>
      </c>
      <c r="L1055" s="23">
        <f t="shared" si="82"/>
        <v>11333.84725</v>
      </c>
      <c r="M1055" s="39" t="s">
        <v>43</v>
      </c>
    </row>
    <row r="1056" s="1" customFormat="1" ht="78.75" outlineLevel="1" spans="1:13">
      <c r="A1056" s="24">
        <v>3</v>
      </c>
      <c r="B1056" s="25" t="s">
        <v>430</v>
      </c>
      <c r="C1056" s="25" t="s">
        <v>590</v>
      </c>
      <c r="D1056" s="26" t="s">
        <v>42</v>
      </c>
      <c r="E1056" s="27">
        <v>13.2</v>
      </c>
      <c r="F1056" s="24">
        <v>66.43</v>
      </c>
      <c r="G1056" s="24">
        <f>781+10</f>
        <v>791</v>
      </c>
      <c r="H1056" s="24">
        <v>5.1</v>
      </c>
      <c r="I1056" s="29">
        <f t="shared" si="73"/>
        <v>86.253</v>
      </c>
      <c r="J1056" s="29">
        <f t="shared" si="74"/>
        <v>85.39047</v>
      </c>
      <c r="K1056" s="29">
        <f t="shared" si="81"/>
        <v>1034.17347</v>
      </c>
      <c r="L1056" s="23">
        <f t="shared" si="82"/>
        <v>13651.089804</v>
      </c>
      <c r="M1056" s="39" t="s">
        <v>43</v>
      </c>
    </row>
    <row r="1057" s="1" customFormat="1" ht="78.75" outlineLevel="1" spans="1:13">
      <c r="A1057" s="24">
        <v>4</v>
      </c>
      <c r="B1057" s="25" t="s">
        <v>430</v>
      </c>
      <c r="C1057" s="25" t="s">
        <v>591</v>
      </c>
      <c r="D1057" s="26" t="s">
        <v>42</v>
      </c>
      <c r="E1057" s="27">
        <v>43.39</v>
      </c>
      <c r="F1057" s="24">
        <v>36.52</v>
      </c>
      <c r="G1057" s="24">
        <f>80.67+10</f>
        <v>90.67</v>
      </c>
      <c r="H1057" s="24">
        <v>2.81</v>
      </c>
      <c r="I1057" s="29">
        <f t="shared" si="73"/>
        <v>13</v>
      </c>
      <c r="J1057" s="29">
        <f t="shared" si="74"/>
        <v>12.87</v>
      </c>
      <c r="K1057" s="29">
        <f t="shared" si="81"/>
        <v>155.87</v>
      </c>
      <c r="L1057" s="23">
        <f t="shared" si="82"/>
        <v>6763.1993</v>
      </c>
      <c r="M1057" s="39" t="s">
        <v>43</v>
      </c>
    </row>
    <row r="1058" s="1" customFormat="1" ht="78.75" outlineLevel="1" spans="1:13">
      <c r="A1058" s="24">
        <v>5</v>
      </c>
      <c r="B1058" s="25" t="s">
        <v>430</v>
      </c>
      <c r="C1058" s="25" t="s">
        <v>592</v>
      </c>
      <c r="D1058" s="26" t="s">
        <v>42</v>
      </c>
      <c r="E1058" s="27">
        <v>37.7</v>
      </c>
      <c r="F1058" s="28">
        <v>29.46</v>
      </c>
      <c r="G1058" s="29">
        <f>46.5+10</f>
        <v>56.5</v>
      </c>
      <c r="H1058" s="24">
        <v>1.31</v>
      </c>
      <c r="I1058" s="29">
        <f t="shared" si="73"/>
        <v>8.727</v>
      </c>
      <c r="J1058" s="29">
        <f t="shared" si="74"/>
        <v>8.63973</v>
      </c>
      <c r="K1058" s="29">
        <f t="shared" si="81"/>
        <v>104.63673</v>
      </c>
      <c r="L1058" s="23">
        <f t="shared" si="82"/>
        <v>3944.804721</v>
      </c>
      <c r="M1058" s="39" t="s">
        <v>43</v>
      </c>
    </row>
    <row r="1059" s="1" customFormat="1" ht="78.75" outlineLevel="1" spans="1:13">
      <c r="A1059" s="24">
        <v>6</v>
      </c>
      <c r="B1059" s="25" t="s">
        <v>430</v>
      </c>
      <c r="C1059" s="25" t="s">
        <v>593</v>
      </c>
      <c r="D1059" s="26" t="s">
        <v>42</v>
      </c>
      <c r="E1059" s="27">
        <v>8.15</v>
      </c>
      <c r="F1059" s="24">
        <v>35.77</v>
      </c>
      <c r="G1059" s="29">
        <f>23.33+5</f>
        <v>28.33</v>
      </c>
      <c r="H1059" s="29">
        <v>2.15</v>
      </c>
      <c r="I1059" s="29">
        <f t="shared" si="73"/>
        <v>6.625</v>
      </c>
      <c r="J1059" s="29">
        <f t="shared" si="74"/>
        <v>6.55875</v>
      </c>
      <c r="K1059" s="29">
        <f t="shared" si="81"/>
        <v>79.43375</v>
      </c>
      <c r="L1059" s="23">
        <f t="shared" si="82"/>
        <v>647.3850625</v>
      </c>
      <c r="M1059" s="39" t="s">
        <v>43</v>
      </c>
    </row>
    <row r="1060" s="1" customFormat="1" ht="45" outlineLevel="1" spans="1:13">
      <c r="A1060" s="24">
        <v>7</v>
      </c>
      <c r="B1060" s="25" t="s">
        <v>45</v>
      </c>
      <c r="C1060" s="25" t="s">
        <v>46</v>
      </c>
      <c r="D1060" s="26" t="s">
        <v>47</v>
      </c>
      <c r="E1060" s="27">
        <v>118.77</v>
      </c>
      <c r="F1060" s="28">
        <v>12.5</v>
      </c>
      <c r="G1060" s="29">
        <v>3.92</v>
      </c>
      <c r="H1060" s="29">
        <v>4.5</v>
      </c>
      <c r="I1060" s="29">
        <f t="shared" si="73"/>
        <v>2.092</v>
      </c>
      <c r="J1060" s="29">
        <f t="shared" si="74"/>
        <v>2.07108</v>
      </c>
      <c r="K1060" s="29">
        <f t="shared" si="81"/>
        <v>25.08308</v>
      </c>
      <c r="L1060" s="23">
        <f t="shared" si="82"/>
        <v>2979.1174116</v>
      </c>
      <c r="M1060" s="39" t="s">
        <v>48</v>
      </c>
    </row>
    <row r="1061" s="1" customFormat="1" ht="45" outlineLevel="1" spans="1:13">
      <c r="A1061" s="24">
        <v>8</v>
      </c>
      <c r="B1061" s="30" t="s">
        <v>58</v>
      </c>
      <c r="C1061" s="30" t="s">
        <v>485</v>
      </c>
      <c r="D1061" s="26" t="s">
        <v>60</v>
      </c>
      <c r="E1061" s="27">
        <v>3</v>
      </c>
      <c r="F1061" s="24">
        <v>121.32</v>
      </c>
      <c r="G1061" s="24">
        <v>85</v>
      </c>
      <c r="H1061" s="24">
        <v>29.52</v>
      </c>
      <c r="I1061" s="29">
        <f t="shared" ref="I1061:I1127" si="83">(F1061+G1061+H1061)*$I$4</f>
        <v>23.584</v>
      </c>
      <c r="J1061" s="29">
        <f t="shared" ref="J1061:J1127" si="84">(F1061+G1061+H1061+I1061)*$J$4</f>
        <v>23.34816</v>
      </c>
      <c r="K1061" s="29">
        <f t="shared" si="81"/>
        <v>282.77216</v>
      </c>
      <c r="L1061" s="29">
        <f t="shared" si="82"/>
        <v>848.31648</v>
      </c>
      <c r="M1061" s="39" t="s">
        <v>61</v>
      </c>
    </row>
    <row r="1062" s="1" customFormat="1" ht="45" outlineLevel="1" spans="1:13">
      <c r="A1062" s="24">
        <v>9</v>
      </c>
      <c r="B1062" s="30" t="s">
        <v>58</v>
      </c>
      <c r="C1062" s="30" t="s">
        <v>594</v>
      </c>
      <c r="D1062" s="26" t="s">
        <v>60</v>
      </c>
      <c r="E1062" s="27">
        <v>4</v>
      </c>
      <c r="F1062" s="24">
        <v>121.32</v>
      </c>
      <c r="G1062" s="24">
        <v>490</v>
      </c>
      <c r="H1062" s="24">
        <v>29.52</v>
      </c>
      <c r="I1062" s="29">
        <f t="shared" si="83"/>
        <v>64.084</v>
      </c>
      <c r="J1062" s="29">
        <f t="shared" si="84"/>
        <v>63.44316</v>
      </c>
      <c r="K1062" s="29">
        <f t="shared" si="81"/>
        <v>768.36716</v>
      </c>
      <c r="L1062" s="29">
        <f t="shared" si="82"/>
        <v>3073.46864</v>
      </c>
      <c r="M1062" s="39" t="s">
        <v>61</v>
      </c>
    </row>
    <row r="1063" s="1" customFormat="1" ht="45" outlineLevel="1" spans="1:13">
      <c r="A1063" s="24">
        <v>10</v>
      </c>
      <c r="B1063" s="30" t="s">
        <v>58</v>
      </c>
      <c r="C1063" s="30" t="s">
        <v>595</v>
      </c>
      <c r="D1063" s="26" t="s">
        <v>60</v>
      </c>
      <c r="E1063" s="27">
        <f>6+4+2</f>
        <v>12</v>
      </c>
      <c r="F1063" s="24">
        <v>121.32</v>
      </c>
      <c r="G1063" s="24">
        <v>390</v>
      </c>
      <c r="H1063" s="24">
        <v>29.52</v>
      </c>
      <c r="I1063" s="29">
        <f t="shared" si="83"/>
        <v>54.084</v>
      </c>
      <c r="J1063" s="29">
        <f t="shared" si="84"/>
        <v>53.54316</v>
      </c>
      <c r="K1063" s="29">
        <f t="shared" si="81"/>
        <v>648.46716</v>
      </c>
      <c r="L1063" s="29">
        <f t="shared" si="82"/>
        <v>7781.60592</v>
      </c>
      <c r="M1063" s="39" t="s">
        <v>61</v>
      </c>
    </row>
    <row r="1064" s="1" customFormat="1" ht="45" outlineLevel="1" spans="1:13">
      <c r="A1064" s="24">
        <v>11</v>
      </c>
      <c r="B1064" s="30" t="s">
        <v>58</v>
      </c>
      <c r="C1064" s="30" t="s">
        <v>596</v>
      </c>
      <c r="D1064" s="26" t="s">
        <v>60</v>
      </c>
      <c r="E1064" s="27">
        <f>4+3+6</f>
        <v>13</v>
      </c>
      <c r="F1064" s="24">
        <v>79.59</v>
      </c>
      <c r="G1064" s="24">
        <v>155</v>
      </c>
      <c r="H1064" s="29">
        <v>18.2</v>
      </c>
      <c r="I1064" s="29">
        <f t="shared" si="83"/>
        <v>25.279</v>
      </c>
      <c r="J1064" s="29">
        <f t="shared" si="84"/>
        <v>25.02621</v>
      </c>
      <c r="K1064" s="29">
        <f t="shared" si="81"/>
        <v>303.09521</v>
      </c>
      <c r="L1064" s="29">
        <f t="shared" si="82"/>
        <v>3940.23773</v>
      </c>
      <c r="M1064" s="39" t="s">
        <v>61</v>
      </c>
    </row>
    <row r="1065" s="1" customFormat="1" ht="45" outlineLevel="1" spans="1:13">
      <c r="A1065" s="24">
        <v>12</v>
      </c>
      <c r="B1065" s="30" t="s">
        <v>58</v>
      </c>
      <c r="C1065" s="30" t="s">
        <v>597</v>
      </c>
      <c r="D1065" s="26" t="s">
        <v>60</v>
      </c>
      <c r="E1065" s="27">
        <v>3</v>
      </c>
      <c r="F1065" s="24">
        <v>79.59</v>
      </c>
      <c r="G1065" s="24">
        <v>380</v>
      </c>
      <c r="H1065" s="29">
        <v>18.2</v>
      </c>
      <c r="I1065" s="29">
        <f t="shared" si="83"/>
        <v>47.779</v>
      </c>
      <c r="J1065" s="29">
        <f t="shared" si="84"/>
        <v>47.30121</v>
      </c>
      <c r="K1065" s="29">
        <f t="shared" si="81"/>
        <v>572.87021</v>
      </c>
      <c r="L1065" s="29">
        <f t="shared" si="82"/>
        <v>1718.61063</v>
      </c>
      <c r="M1065" s="39" t="s">
        <v>61</v>
      </c>
    </row>
    <row r="1066" s="1" customFormat="1" ht="45" outlineLevel="1" spans="1:13">
      <c r="A1066" s="24">
        <v>13</v>
      </c>
      <c r="B1066" s="30" t="s">
        <v>58</v>
      </c>
      <c r="C1066" s="30" t="s">
        <v>598</v>
      </c>
      <c r="D1066" s="26" t="s">
        <v>60</v>
      </c>
      <c r="E1066" s="27">
        <v>6</v>
      </c>
      <c r="F1066" s="28">
        <v>24.65</v>
      </c>
      <c r="G1066" s="24">
        <v>150</v>
      </c>
      <c r="H1066" s="29">
        <v>21.86</v>
      </c>
      <c r="I1066" s="29">
        <f t="shared" si="83"/>
        <v>19.651</v>
      </c>
      <c r="J1066" s="29">
        <f t="shared" si="84"/>
        <v>19.45449</v>
      </c>
      <c r="K1066" s="29">
        <f t="shared" si="81"/>
        <v>235.61549</v>
      </c>
      <c r="L1066" s="29">
        <f t="shared" si="82"/>
        <v>1413.69294</v>
      </c>
      <c r="M1066" s="39" t="s">
        <v>61</v>
      </c>
    </row>
    <row r="1067" s="1" customFormat="1" ht="45" outlineLevel="1" spans="1:13">
      <c r="A1067" s="24">
        <v>14</v>
      </c>
      <c r="B1067" s="30" t="s">
        <v>58</v>
      </c>
      <c r="C1067" s="30" t="s">
        <v>599</v>
      </c>
      <c r="D1067" s="26" t="s">
        <v>60</v>
      </c>
      <c r="E1067" s="27">
        <v>6</v>
      </c>
      <c r="F1067" s="24">
        <v>121.32</v>
      </c>
      <c r="G1067" s="24">
        <v>160</v>
      </c>
      <c r="H1067" s="24">
        <v>29.52</v>
      </c>
      <c r="I1067" s="29">
        <f t="shared" si="83"/>
        <v>31.084</v>
      </c>
      <c r="J1067" s="29">
        <f t="shared" si="84"/>
        <v>30.77316</v>
      </c>
      <c r="K1067" s="29">
        <f t="shared" si="81"/>
        <v>372.69716</v>
      </c>
      <c r="L1067" s="29">
        <f t="shared" si="82"/>
        <v>2236.18296</v>
      </c>
      <c r="M1067" s="39" t="s">
        <v>61</v>
      </c>
    </row>
    <row r="1068" s="1" customFormat="1" ht="45" outlineLevel="1" spans="1:13">
      <c r="A1068" s="24">
        <v>15</v>
      </c>
      <c r="B1068" s="30" t="s">
        <v>58</v>
      </c>
      <c r="C1068" s="30" t="s">
        <v>600</v>
      </c>
      <c r="D1068" s="26" t="s">
        <v>60</v>
      </c>
      <c r="E1068" s="27">
        <v>4</v>
      </c>
      <c r="F1068" s="24">
        <v>121.32</v>
      </c>
      <c r="G1068" s="24">
        <v>180</v>
      </c>
      <c r="H1068" s="24">
        <v>29.52</v>
      </c>
      <c r="I1068" s="29">
        <f t="shared" si="83"/>
        <v>33.084</v>
      </c>
      <c r="J1068" s="29">
        <f t="shared" si="84"/>
        <v>32.75316</v>
      </c>
      <c r="K1068" s="29">
        <f t="shared" si="81"/>
        <v>396.67716</v>
      </c>
      <c r="L1068" s="29">
        <f t="shared" si="82"/>
        <v>1586.70864</v>
      </c>
      <c r="M1068" s="39" t="s">
        <v>61</v>
      </c>
    </row>
    <row r="1069" s="1" customFormat="1" ht="45" outlineLevel="1" spans="1:13">
      <c r="A1069" s="24">
        <v>16</v>
      </c>
      <c r="B1069" s="30" t="s">
        <v>58</v>
      </c>
      <c r="C1069" s="30" t="s">
        <v>601</v>
      </c>
      <c r="D1069" s="26" t="s">
        <v>60</v>
      </c>
      <c r="E1069" s="27">
        <v>8</v>
      </c>
      <c r="F1069" s="24">
        <v>121.32</v>
      </c>
      <c r="G1069" s="24">
        <v>150</v>
      </c>
      <c r="H1069" s="24">
        <v>29.52</v>
      </c>
      <c r="I1069" s="29">
        <f t="shared" si="83"/>
        <v>30.084</v>
      </c>
      <c r="J1069" s="29">
        <f t="shared" si="84"/>
        <v>29.78316</v>
      </c>
      <c r="K1069" s="29">
        <f t="shared" si="81"/>
        <v>360.70716</v>
      </c>
      <c r="L1069" s="29">
        <f t="shared" si="82"/>
        <v>2885.65728</v>
      </c>
      <c r="M1069" s="39" t="s">
        <v>61</v>
      </c>
    </row>
    <row r="1070" s="1" customFormat="1" ht="45" outlineLevel="1" spans="1:13">
      <c r="A1070" s="24">
        <v>17</v>
      </c>
      <c r="B1070" s="30" t="s">
        <v>58</v>
      </c>
      <c r="C1070" s="30" t="s">
        <v>602</v>
      </c>
      <c r="D1070" s="26" t="s">
        <v>60</v>
      </c>
      <c r="E1070" s="27">
        <v>4</v>
      </c>
      <c r="F1070" s="24">
        <v>121.32</v>
      </c>
      <c r="G1070" s="24">
        <v>120</v>
      </c>
      <c r="H1070" s="24">
        <v>29.52</v>
      </c>
      <c r="I1070" s="29">
        <f t="shared" si="83"/>
        <v>27.084</v>
      </c>
      <c r="J1070" s="29">
        <f t="shared" si="84"/>
        <v>26.81316</v>
      </c>
      <c r="K1070" s="29">
        <f t="shared" si="81"/>
        <v>324.73716</v>
      </c>
      <c r="L1070" s="29">
        <f t="shared" si="82"/>
        <v>1298.94864</v>
      </c>
      <c r="M1070" s="39" t="s">
        <v>61</v>
      </c>
    </row>
    <row r="1071" s="1" customFormat="1" ht="45" outlineLevel="1" spans="1:13">
      <c r="A1071" s="24">
        <v>18</v>
      </c>
      <c r="B1071" s="30" t="s">
        <v>58</v>
      </c>
      <c r="C1071" s="30" t="s">
        <v>603</v>
      </c>
      <c r="D1071" s="26" t="s">
        <v>60</v>
      </c>
      <c r="E1071" s="27">
        <v>8</v>
      </c>
      <c r="F1071" s="24">
        <v>121.32</v>
      </c>
      <c r="G1071" s="24">
        <v>80</v>
      </c>
      <c r="H1071" s="24">
        <v>29.52</v>
      </c>
      <c r="I1071" s="29">
        <f t="shared" si="83"/>
        <v>23.084</v>
      </c>
      <c r="J1071" s="29">
        <f t="shared" si="84"/>
        <v>22.85316</v>
      </c>
      <c r="K1071" s="29">
        <f t="shared" si="81"/>
        <v>276.77716</v>
      </c>
      <c r="L1071" s="29">
        <f t="shared" si="82"/>
        <v>2214.21728</v>
      </c>
      <c r="M1071" s="39" t="s">
        <v>61</v>
      </c>
    </row>
    <row r="1072" s="1" customFormat="1" ht="45" outlineLevel="1" spans="1:13">
      <c r="A1072" s="24">
        <v>19</v>
      </c>
      <c r="B1072" s="30" t="s">
        <v>58</v>
      </c>
      <c r="C1072" s="30" t="s">
        <v>604</v>
      </c>
      <c r="D1072" s="26" t="s">
        <v>60</v>
      </c>
      <c r="E1072" s="27">
        <v>4</v>
      </c>
      <c r="F1072" s="24">
        <v>121.32</v>
      </c>
      <c r="G1072" s="24">
        <v>260</v>
      </c>
      <c r="H1072" s="24">
        <v>29.52</v>
      </c>
      <c r="I1072" s="29">
        <f t="shared" si="83"/>
        <v>41.084</v>
      </c>
      <c r="J1072" s="29">
        <f t="shared" si="84"/>
        <v>40.67316</v>
      </c>
      <c r="K1072" s="29">
        <f t="shared" si="81"/>
        <v>492.59716</v>
      </c>
      <c r="L1072" s="29">
        <f t="shared" si="82"/>
        <v>1970.38864</v>
      </c>
      <c r="M1072" s="39" t="s">
        <v>61</v>
      </c>
    </row>
    <row r="1073" s="1" customFormat="1" ht="45" outlineLevel="1" spans="1:13">
      <c r="A1073" s="24">
        <v>20</v>
      </c>
      <c r="B1073" s="30" t="s">
        <v>58</v>
      </c>
      <c r="C1073" s="30" t="s">
        <v>605</v>
      </c>
      <c r="D1073" s="26" t="s">
        <v>60</v>
      </c>
      <c r="E1073" s="27">
        <v>2</v>
      </c>
      <c r="F1073" s="24">
        <v>121.32</v>
      </c>
      <c r="G1073" s="24">
        <v>200</v>
      </c>
      <c r="H1073" s="24">
        <v>29.52</v>
      </c>
      <c r="I1073" s="29">
        <f t="shared" si="83"/>
        <v>35.084</v>
      </c>
      <c r="J1073" s="29">
        <f t="shared" si="84"/>
        <v>34.73316</v>
      </c>
      <c r="K1073" s="29">
        <f t="shared" si="81"/>
        <v>420.65716</v>
      </c>
      <c r="L1073" s="29">
        <f t="shared" si="82"/>
        <v>841.31432</v>
      </c>
      <c r="M1073" s="39" t="s">
        <v>61</v>
      </c>
    </row>
    <row r="1074" s="1" customFormat="1" ht="33.75" outlineLevel="1" spans="1:13">
      <c r="A1074" s="24">
        <v>21</v>
      </c>
      <c r="B1074" s="25" t="s">
        <v>62</v>
      </c>
      <c r="C1074" s="25" t="s">
        <v>606</v>
      </c>
      <c r="D1074" s="26" t="s">
        <v>64</v>
      </c>
      <c r="E1074" s="27">
        <f>E1062+E1068+E1070+E1072</f>
        <v>16</v>
      </c>
      <c r="F1074" s="24">
        <v>84.8</v>
      </c>
      <c r="G1074" s="24">
        <v>35</v>
      </c>
      <c r="H1074" s="24">
        <v>68.8</v>
      </c>
      <c r="I1074" s="29">
        <f t="shared" si="83"/>
        <v>18.86</v>
      </c>
      <c r="J1074" s="29">
        <f t="shared" si="84"/>
        <v>18.6714</v>
      </c>
      <c r="K1074" s="29">
        <f t="shared" si="81"/>
        <v>226.1314</v>
      </c>
      <c r="L1074" s="23">
        <f t="shared" si="82"/>
        <v>3618.1024</v>
      </c>
      <c r="M1074" s="39" t="s">
        <v>61</v>
      </c>
    </row>
    <row r="1075" s="1" customFormat="1" ht="33.75" outlineLevel="1" spans="1:13">
      <c r="A1075" s="24">
        <v>22</v>
      </c>
      <c r="B1075" s="25" t="s">
        <v>62</v>
      </c>
      <c r="C1075" s="25" t="s">
        <v>487</v>
      </c>
      <c r="D1075" s="26" t="s">
        <v>64</v>
      </c>
      <c r="E1075" s="27">
        <f>E1061+E1063+E1067+E1069+E1071+E1073</f>
        <v>39</v>
      </c>
      <c r="F1075" s="24">
        <v>93.91</v>
      </c>
      <c r="G1075" s="24">
        <v>23</v>
      </c>
      <c r="H1075" s="24">
        <v>63.5</v>
      </c>
      <c r="I1075" s="29">
        <f t="shared" si="83"/>
        <v>18.041</v>
      </c>
      <c r="J1075" s="29">
        <f t="shared" si="84"/>
        <v>17.86059</v>
      </c>
      <c r="K1075" s="29">
        <f t="shared" si="81"/>
        <v>216.31159</v>
      </c>
      <c r="L1075" s="23">
        <f t="shared" si="82"/>
        <v>8436.15201</v>
      </c>
      <c r="M1075" s="39" t="s">
        <v>61</v>
      </c>
    </row>
    <row r="1076" s="1" customFormat="1" ht="33.75" outlineLevel="1" spans="1:13">
      <c r="A1076" s="24">
        <v>23</v>
      </c>
      <c r="B1076" s="25" t="s">
        <v>62</v>
      </c>
      <c r="C1076" s="25" t="s">
        <v>63</v>
      </c>
      <c r="D1076" s="26" t="s">
        <v>64</v>
      </c>
      <c r="E1076" s="27">
        <f>E1064+E1065</f>
        <v>16</v>
      </c>
      <c r="F1076" s="24">
        <v>65.22</v>
      </c>
      <c r="G1076" s="24">
        <v>15</v>
      </c>
      <c r="H1076" s="29">
        <v>36.25</v>
      </c>
      <c r="I1076" s="29">
        <f t="shared" si="83"/>
        <v>11.647</v>
      </c>
      <c r="J1076" s="29">
        <f t="shared" si="84"/>
        <v>11.53053</v>
      </c>
      <c r="K1076" s="29">
        <f t="shared" si="81"/>
        <v>139.64753</v>
      </c>
      <c r="L1076" s="23">
        <f t="shared" si="82"/>
        <v>2234.36048</v>
      </c>
      <c r="M1076" s="39" t="s">
        <v>61</v>
      </c>
    </row>
    <row r="1077" s="1" customFormat="1" ht="33.75" outlineLevel="1" spans="1:13">
      <c r="A1077" s="24">
        <v>24</v>
      </c>
      <c r="B1077" s="25" t="s">
        <v>62</v>
      </c>
      <c r="C1077" s="25" t="s">
        <v>255</v>
      </c>
      <c r="D1077" s="26" t="s">
        <v>64</v>
      </c>
      <c r="E1077" s="27">
        <f>E1066</f>
        <v>6</v>
      </c>
      <c r="F1077" s="24">
        <v>32.63</v>
      </c>
      <c r="G1077" s="24">
        <v>12</v>
      </c>
      <c r="H1077" s="29">
        <v>13.65</v>
      </c>
      <c r="I1077" s="29">
        <f t="shared" si="83"/>
        <v>5.828</v>
      </c>
      <c r="J1077" s="29">
        <f t="shared" si="84"/>
        <v>5.76972</v>
      </c>
      <c r="K1077" s="29">
        <f t="shared" si="81"/>
        <v>69.87772</v>
      </c>
      <c r="L1077" s="23">
        <f t="shared" si="82"/>
        <v>419.26632</v>
      </c>
      <c r="M1077" s="39" t="s">
        <v>61</v>
      </c>
    </row>
    <row r="1078" s="1" customFormat="1" ht="45" outlineLevel="1" spans="1:13">
      <c r="A1078" s="24">
        <v>25</v>
      </c>
      <c r="B1078" s="30" t="s">
        <v>488</v>
      </c>
      <c r="C1078" s="30" t="s">
        <v>607</v>
      </c>
      <c r="D1078" s="31" t="s">
        <v>60</v>
      </c>
      <c r="E1078" s="27">
        <v>2</v>
      </c>
      <c r="F1078" s="24">
        <v>35.24</v>
      </c>
      <c r="G1078" s="24">
        <v>30</v>
      </c>
      <c r="H1078" s="24">
        <v>23.4</v>
      </c>
      <c r="I1078" s="29">
        <f t="shared" si="83"/>
        <v>8.864</v>
      </c>
      <c r="J1078" s="29">
        <f t="shared" si="84"/>
        <v>8.77536</v>
      </c>
      <c r="K1078" s="29">
        <f t="shared" si="81"/>
        <v>106.27936</v>
      </c>
      <c r="L1078" s="29">
        <f t="shared" si="82"/>
        <v>212.55872</v>
      </c>
      <c r="M1078" s="39" t="s">
        <v>61</v>
      </c>
    </row>
    <row r="1079" s="1" customFormat="1" ht="45" outlineLevel="1" spans="1:13">
      <c r="A1079" s="24">
        <v>26</v>
      </c>
      <c r="B1079" s="30" t="s">
        <v>488</v>
      </c>
      <c r="C1079" s="30" t="s">
        <v>608</v>
      </c>
      <c r="D1079" s="31" t="s">
        <v>60</v>
      </c>
      <c r="E1079" s="27">
        <v>2</v>
      </c>
      <c r="F1079" s="24">
        <v>35.24</v>
      </c>
      <c r="G1079" s="24">
        <v>5</v>
      </c>
      <c r="H1079" s="24">
        <v>23.4</v>
      </c>
      <c r="I1079" s="29">
        <f t="shared" si="83"/>
        <v>6.364</v>
      </c>
      <c r="J1079" s="29">
        <f t="shared" si="84"/>
        <v>6.30036</v>
      </c>
      <c r="K1079" s="29">
        <f t="shared" si="81"/>
        <v>76.30436</v>
      </c>
      <c r="L1079" s="29">
        <f t="shared" si="82"/>
        <v>152.60872</v>
      </c>
      <c r="M1079" s="39" t="s">
        <v>61</v>
      </c>
    </row>
    <row r="1080" s="1" customFormat="1" ht="45" outlineLevel="1" spans="1:13">
      <c r="A1080" s="24">
        <v>27</v>
      </c>
      <c r="B1080" s="30" t="s">
        <v>488</v>
      </c>
      <c r="C1080" s="30" t="s">
        <v>609</v>
      </c>
      <c r="D1080" s="31" t="s">
        <v>60</v>
      </c>
      <c r="E1080" s="27">
        <v>2</v>
      </c>
      <c r="F1080" s="24">
        <v>35.24</v>
      </c>
      <c r="G1080" s="24">
        <v>25</v>
      </c>
      <c r="H1080" s="24">
        <v>23.4</v>
      </c>
      <c r="I1080" s="29">
        <f t="shared" si="83"/>
        <v>8.364</v>
      </c>
      <c r="J1080" s="29">
        <f t="shared" si="84"/>
        <v>8.28036</v>
      </c>
      <c r="K1080" s="29">
        <f t="shared" si="81"/>
        <v>100.28436</v>
      </c>
      <c r="L1080" s="29">
        <f t="shared" si="82"/>
        <v>200.56872</v>
      </c>
      <c r="M1080" s="39" t="s">
        <v>61</v>
      </c>
    </row>
    <row r="1081" s="1" customFormat="1" ht="45" outlineLevel="1" spans="1:13">
      <c r="A1081" s="24">
        <v>28</v>
      </c>
      <c r="B1081" s="30" t="s">
        <v>488</v>
      </c>
      <c r="C1081" s="30" t="s">
        <v>610</v>
      </c>
      <c r="D1081" s="31" t="s">
        <v>60</v>
      </c>
      <c r="E1081" s="27">
        <v>2</v>
      </c>
      <c r="F1081" s="24">
        <v>35.24</v>
      </c>
      <c r="G1081" s="24">
        <v>70</v>
      </c>
      <c r="H1081" s="24">
        <v>23.4</v>
      </c>
      <c r="I1081" s="29">
        <f t="shared" si="83"/>
        <v>12.864</v>
      </c>
      <c r="J1081" s="29">
        <f t="shared" si="84"/>
        <v>12.73536</v>
      </c>
      <c r="K1081" s="29">
        <f t="shared" si="81"/>
        <v>154.23936</v>
      </c>
      <c r="L1081" s="29">
        <f t="shared" si="82"/>
        <v>308.47872</v>
      </c>
      <c r="M1081" s="39" t="s">
        <v>61</v>
      </c>
    </row>
    <row r="1082" s="1" customFormat="1" ht="22.5" outlineLevel="1" spans="1:13">
      <c r="A1082" s="24">
        <v>29</v>
      </c>
      <c r="B1082" s="25" t="s">
        <v>611</v>
      </c>
      <c r="C1082" s="25" t="s">
        <v>612</v>
      </c>
      <c r="D1082" s="26" t="s">
        <v>51</v>
      </c>
      <c r="E1082" s="27">
        <v>12</v>
      </c>
      <c r="F1082" s="24">
        <v>35.5</v>
      </c>
      <c r="G1082" s="52">
        <v>22</v>
      </c>
      <c r="H1082" s="29">
        <v>12.5</v>
      </c>
      <c r="I1082" s="29">
        <f t="shared" si="83"/>
        <v>7</v>
      </c>
      <c r="J1082" s="29">
        <f t="shared" si="84"/>
        <v>6.93</v>
      </c>
      <c r="K1082" s="29">
        <f t="shared" si="81"/>
        <v>83.93</v>
      </c>
      <c r="L1082" s="23">
        <f t="shared" si="82"/>
        <v>1007.16</v>
      </c>
      <c r="M1082" s="39" t="s">
        <v>61</v>
      </c>
    </row>
    <row r="1083" s="1" customFormat="1" ht="33.75" outlineLevel="1" spans="1:13">
      <c r="A1083" s="24">
        <v>30</v>
      </c>
      <c r="B1083" s="25" t="s">
        <v>613</v>
      </c>
      <c r="C1083" s="25" t="s">
        <v>614</v>
      </c>
      <c r="D1083" s="26" t="s">
        <v>60</v>
      </c>
      <c r="E1083" s="27">
        <v>3</v>
      </c>
      <c r="F1083" s="24">
        <v>35.24</v>
      </c>
      <c r="G1083" s="52">
        <v>200</v>
      </c>
      <c r="H1083" s="24">
        <v>22.45</v>
      </c>
      <c r="I1083" s="29">
        <f t="shared" si="83"/>
        <v>25.769</v>
      </c>
      <c r="J1083" s="29">
        <f t="shared" si="84"/>
        <v>25.51131</v>
      </c>
      <c r="K1083" s="29">
        <f t="shared" si="81"/>
        <v>308.97031</v>
      </c>
      <c r="L1083" s="23">
        <f t="shared" si="82"/>
        <v>926.91093</v>
      </c>
      <c r="M1083" s="39" t="s">
        <v>61</v>
      </c>
    </row>
    <row r="1084" s="1" customFormat="1" ht="22.5" outlineLevel="1" spans="1:13">
      <c r="A1084" s="24">
        <v>31</v>
      </c>
      <c r="B1084" s="25" t="s">
        <v>615</v>
      </c>
      <c r="C1084" s="25" t="s">
        <v>616</v>
      </c>
      <c r="D1084" s="26" t="s">
        <v>60</v>
      </c>
      <c r="E1084" s="27">
        <v>3</v>
      </c>
      <c r="F1084" s="24">
        <v>35.5</v>
      </c>
      <c r="G1084" s="52">
        <v>22</v>
      </c>
      <c r="H1084" s="29">
        <v>12.5</v>
      </c>
      <c r="I1084" s="29">
        <f t="shared" si="83"/>
        <v>7</v>
      </c>
      <c r="J1084" s="29">
        <f t="shared" si="84"/>
        <v>6.93</v>
      </c>
      <c r="K1084" s="29">
        <f t="shared" si="81"/>
        <v>83.93</v>
      </c>
      <c r="L1084" s="23">
        <f t="shared" si="82"/>
        <v>251.79</v>
      </c>
      <c r="M1084" s="39" t="s">
        <v>61</v>
      </c>
    </row>
    <row r="1085" s="1" customFormat="1" ht="45" outlineLevel="1" spans="1:13">
      <c r="A1085" s="24">
        <v>32</v>
      </c>
      <c r="B1085" s="25" t="s">
        <v>617</v>
      </c>
      <c r="C1085" s="25" t="s">
        <v>618</v>
      </c>
      <c r="D1085" s="26" t="s">
        <v>103</v>
      </c>
      <c r="E1085" s="27">
        <v>2</v>
      </c>
      <c r="F1085" s="24">
        <v>852.1</v>
      </c>
      <c r="G1085" s="24">
        <v>6105</v>
      </c>
      <c r="H1085" s="24">
        <v>139.2</v>
      </c>
      <c r="I1085" s="29">
        <f t="shared" si="83"/>
        <v>709.63</v>
      </c>
      <c r="J1085" s="29">
        <f t="shared" si="84"/>
        <v>702.5337</v>
      </c>
      <c r="K1085" s="29">
        <f t="shared" si="81"/>
        <v>8508.4637</v>
      </c>
      <c r="L1085" s="23">
        <f t="shared" si="82"/>
        <v>17016.9274</v>
      </c>
      <c r="M1085" s="39" t="s">
        <v>446</v>
      </c>
    </row>
    <row r="1086" s="1" customFormat="1" ht="45" outlineLevel="1" spans="1:13">
      <c r="A1086" s="24">
        <v>33</v>
      </c>
      <c r="B1086" s="25" t="s">
        <v>619</v>
      </c>
      <c r="C1086" s="25" t="s">
        <v>620</v>
      </c>
      <c r="D1086" s="26" t="s">
        <v>103</v>
      </c>
      <c r="E1086" s="27">
        <v>2</v>
      </c>
      <c r="F1086" s="24">
        <v>852.1</v>
      </c>
      <c r="G1086" s="24">
        <v>5994</v>
      </c>
      <c r="H1086" s="24">
        <v>139.2</v>
      </c>
      <c r="I1086" s="29">
        <f t="shared" si="83"/>
        <v>698.53</v>
      </c>
      <c r="J1086" s="29">
        <f t="shared" si="84"/>
        <v>691.5447</v>
      </c>
      <c r="K1086" s="29">
        <f t="shared" si="81"/>
        <v>8375.3747</v>
      </c>
      <c r="L1086" s="23">
        <f t="shared" si="82"/>
        <v>16750.7494</v>
      </c>
      <c r="M1086" s="39" t="s">
        <v>446</v>
      </c>
    </row>
    <row r="1087" s="1" customFormat="1" ht="56.25" outlineLevel="1" spans="1:13">
      <c r="A1087" s="24">
        <v>34</v>
      </c>
      <c r="B1087" s="25" t="s">
        <v>621</v>
      </c>
      <c r="C1087" s="25" t="s">
        <v>622</v>
      </c>
      <c r="D1087" s="26" t="s">
        <v>103</v>
      </c>
      <c r="E1087" s="27">
        <v>2</v>
      </c>
      <c r="F1087" s="24">
        <v>852.1</v>
      </c>
      <c r="G1087" s="24">
        <v>4157</v>
      </c>
      <c r="H1087" s="24">
        <v>139.2</v>
      </c>
      <c r="I1087" s="29">
        <f t="shared" si="83"/>
        <v>514.83</v>
      </c>
      <c r="J1087" s="29">
        <f t="shared" si="84"/>
        <v>509.6817</v>
      </c>
      <c r="K1087" s="29">
        <f t="shared" si="81"/>
        <v>6172.8117</v>
      </c>
      <c r="L1087" s="23">
        <f t="shared" si="82"/>
        <v>12345.6234</v>
      </c>
      <c r="M1087" s="39" t="s">
        <v>446</v>
      </c>
    </row>
    <row r="1088" s="1" customFormat="1" ht="69" customHeight="1" outlineLevel="1" spans="1:13">
      <c r="A1088" s="24">
        <v>35</v>
      </c>
      <c r="B1088" s="25" t="s">
        <v>623</v>
      </c>
      <c r="C1088" s="25" t="s">
        <v>624</v>
      </c>
      <c r="D1088" s="26" t="s">
        <v>51</v>
      </c>
      <c r="E1088" s="27">
        <v>1</v>
      </c>
      <c r="F1088" s="24">
        <v>853.1</v>
      </c>
      <c r="G1088" s="24">
        <v>3400</v>
      </c>
      <c r="H1088" s="24">
        <v>140.2</v>
      </c>
      <c r="I1088" s="29">
        <f t="shared" si="83"/>
        <v>439.33</v>
      </c>
      <c r="J1088" s="29">
        <f t="shared" si="84"/>
        <v>434.9367</v>
      </c>
      <c r="K1088" s="29">
        <f t="shared" si="81"/>
        <v>5267.5667</v>
      </c>
      <c r="L1088" s="23">
        <f t="shared" si="82"/>
        <v>5267.5667</v>
      </c>
      <c r="M1088" s="39" t="s">
        <v>446</v>
      </c>
    </row>
    <row r="1089" s="1" customFormat="1" ht="45" outlineLevel="1" spans="1:13">
      <c r="A1089" s="24">
        <v>36</v>
      </c>
      <c r="B1089" s="25" t="s">
        <v>625</v>
      </c>
      <c r="C1089" s="25" t="s">
        <v>626</v>
      </c>
      <c r="D1089" s="26" t="s">
        <v>103</v>
      </c>
      <c r="E1089" s="27">
        <v>1</v>
      </c>
      <c r="F1089" s="24">
        <v>90.78</v>
      </c>
      <c r="G1089" s="24">
        <v>3996</v>
      </c>
      <c r="H1089" s="24">
        <v>19.93</v>
      </c>
      <c r="I1089" s="29">
        <f t="shared" si="83"/>
        <v>410.671</v>
      </c>
      <c r="J1089" s="29">
        <f t="shared" si="84"/>
        <v>406.56429</v>
      </c>
      <c r="K1089" s="29">
        <f t="shared" si="81"/>
        <v>4923.94529</v>
      </c>
      <c r="L1089" s="23">
        <f t="shared" si="82"/>
        <v>4923.94529</v>
      </c>
      <c r="M1089" s="39" t="s">
        <v>446</v>
      </c>
    </row>
    <row r="1090" s="1" customFormat="1" ht="45" outlineLevel="1" spans="1:13">
      <c r="A1090" s="24">
        <v>37</v>
      </c>
      <c r="B1090" s="25" t="s">
        <v>627</v>
      </c>
      <c r="C1090" s="25" t="s">
        <v>628</v>
      </c>
      <c r="D1090" s="26" t="s">
        <v>103</v>
      </c>
      <c r="E1090" s="27">
        <v>1</v>
      </c>
      <c r="F1090" s="24">
        <v>90.78</v>
      </c>
      <c r="G1090" s="24">
        <v>5106</v>
      </c>
      <c r="H1090" s="24">
        <v>19.93</v>
      </c>
      <c r="I1090" s="29">
        <f t="shared" si="83"/>
        <v>521.671</v>
      </c>
      <c r="J1090" s="29">
        <f t="shared" si="84"/>
        <v>516.45429</v>
      </c>
      <c r="K1090" s="29">
        <f t="shared" si="81"/>
        <v>6254.83529</v>
      </c>
      <c r="L1090" s="23">
        <f t="shared" si="82"/>
        <v>6254.83529</v>
      </c>
      <c r="M1090" s="39" t="s">
        <v>446</v>
      </c>
    </row>
    <row r="1091" s="1" customFormat="1" ht="45" outlineLevel="1" spans="1:13">
      <c r="A1091" s="24">
        <v>38</v>
      </c>
      <c r="B1091" s="25" t="s">
        <v>629</v>
      </c>
      <c r="C1091" s="25" t="s">
        <v>630</v>
      </c>
      <c r="D1091" s="26" t="s">
        <v>103</v>
      </c>
      <c r="E1091" s="27">
        <v>1</v>
      </c>
      <c r="F1091" s="24">
        <v>90.78</v>
      </c>
      <c r="G1091" s="24">
        <v>3996</v>
      </c>
      <c r="H1091" s="24">
        <v>19.93</v>
      </c>
      <c r="I1091" s="29">
        <f t="shared" si="83"/>
        <v>410.671</v>
      </c>
      <c r="J1091" s="29">
        <f t="shared" si="84"/>
        <v>406.56429</v>
      </c>
      <c r="K1091" s="29">
        <f t="shared" si="81"/>
        <v>4923.94529</v>
      </c>
      <c r="L1091" s="23">
        <f t="shared" si="82"/>
        <v>4923.94529</v>
      </c>
      <c r="M1091" s="39" t="s">
        <v>446</v>
      </c>
    </row>
    <row r="1092" s="1" customFormat="1" ht="45" outlineLevel="1" spans="1:13">
      <c r="A1092" s="24">
        <v>39</v>
      </c>
      <c r="B1092" s="25" t="s">
        <v>538</v>
      </c>
      <c r="C1092" s="25" t="s">
        <v>631</v>
      </c>
      <c r="D1092" s="26" t="s">
        <v>42</v>
      </c>
      <c r="E1092" s="27">
        <v>6</v>
      </c>
      <c r="F1092" s="24">
        <v>16.77</v>
      </c>
      <c r="G1092" s="24">
        <v>16.55</v>
      </c>
      <c r="H1092" s="24">
        <v>4.62</v>
      </c>
      <c r="I1092" s="29">
        <f t="shared" si="83"/>
        <v>3.794</v>
      </c>
      <c r="J1092" s="29">
        <f t="shared" si="84"/>
        <v>3.75606</v>
      </c>
      <c r="K1092" s="29">
        <f t="shared" si="81"/>
        <v>45.49006</v>
      </c>
      <c r="L1092" s="23">
        <f t="shared" si="82"/>
        <v>272.94036</v>
      </c>
      <c r="M1092" s="39" t="s">
        <v>540</v>
      </c>
    </row>
    <row r="1093" s="1" customFormat="1" ht="45" outlineLevel="1" spans="1:13">
      <c r="A1093" s="24">
        <v>40</v>
      </c>
      <c r="B1093" s="25" t="s">
        <v>538</v>
      </c>
      <c r="C1093" s="25" t="s">
        <v>632</v>
      </c>
      <c r="D1093" s="26" t="s">
        <v>42</v>
      </c>
      <c r="E1093" s="27">
        <v>12</v>
      </c>
      <c r="F1093" s="24">
        <v>38.54</v>
      </c>
      <c r="G1093" s="24">
        <v>38.03</v>
      </c>
      <c r="H1093" s="24">
        <v>11.52</v>
      </c>
      <c r="I1093" s="29">
        <f t="shared" si="83"/>
        <v>8.809</v>
      </c>
      <c r="J1093" s="29">
        <f t="shared" si="84"/>
        <v>8.72091</v>
      </c>
      <c r="K1093" s="29">
        <f t="shared" si="81"/>
        <v>105.61991</v>
      </c>
      <c r="L1093" s="23">
        <f t="shared" si="82"/>
        <v>1267.43892</v>
      </c>
      <c r="M1093" s="39" t="s">
        <v>540</v>
      </c>
    </row>
    <row r="1094" s="1" customFormat="1" ht="67.5" outlineLevel="1" spans="1:13">
      <c r="A1094" s="24">
        <v>41</v>
      </c>
      <c r="B1094" s="25" t="s">
        <v>633</v>
      </c>
      <c r="C1094" s="25" t="s">
        <v>634</v>
      </c>
      <c r="D1094" s="26" t="s">
        <v>42</v>
      </c>
      <c r="E1094" s="27">
        <f>(8.19+6.71+2*2+2.8*2)</f>
        <v>24.5</v>
      </c>
      <c r="F1094" s="24">
        <v>2.96</v>
      </c>
      <c r="G1094" s="24">
        <v>34.4</v>
      </c>
      <c r="H1094" s="24">
        <v>2.41</v>
      </c>
      <c r="I1094" s="29">
        <f t="shared" si="83"/>
        <v>3.977</v>
      </c>
      <c r="J1094" s="29">
        <f t="shared" si="84"/>
        <v>3.93723</v>
      </c>
      <c r="K1094" s="29">
        <f t="shared" si="81"/>
        <v>47.68423</v>
      </c>
      <c r="L1094" s="23">
        <f t="shared" si="82"/>
        <v>1168.263635</v>
      </c>
      <c r="M1094" s="39" t="s">
        <v>142</v>
      </c>
    </row>
    <row r="1095" s="1" customFormat="1" ht="67.5" outlineLevel="1" spans="1:13">
      <c r="A1095" s="24">
        <v>42</v>
      </c>
      <c r="B1095" s="25" t="s">
        <v>633</v>
      </c>
      <c r="C1095" s="25" t="s">
        <v>635</v>
      </c>
      <c r="D1095" s="26" t="s">
        <v>42</v>
      </c>
      <c r="E1095" s="27">
        <f>(7.36+2.5+2.6)*4</f>
        <v>49.84</v>
      </c>
      <c r="F1095" s="24">
        <v>5.33</v>
      </c>
      <c r="G1095" s="24">
        <v>64.4</v>
      </c>
      <c r="H1095" s="24">
        <v>2.85</v>
      </c>
      <c r="I1095" s="29">
        <f t="shared" si="83"/>
        <v>7.258</v>
      </c>
      <c r="J1095" s="29">
        <f t="shared" si="84"/>
        <v>7.18542</v>
      </c>
      <c r="K1095" s="29">
        <f t="shared" si="81"/>
        <v>87.02342</v>
      </c>
      <c r="L1095" s="23">
        <f t="shared" si="82"/>
        <v>4337.2472528</v>
      </c>
      <c r="M1095" s="39" t="s">
        <v>142</v>
      </c>
    </row>
    <row r="1096" s="1" customFormat="1" ht="67.5" outlineLevel="1" spans="1:13">
      <c r="A1096" s="24">
        <v>43</v>
      </c>
      <c r="B1096" s="25" t="s">
        <v>633</v>
      </c>
      <c r="C1096" s="25" t="s">
        <v>636</v>
      </c>
      <c r="D1096" s="26" t="s">
        <v>42</v>
      </c>
      <c r="E1096" s="27">
        <f>E1095</f>
        <v>49.84</v>
      </c>
      <c r="F1096" s="24">
        <v>5.33</v>
      </c>
      <c r="G1096" s="24">
        <v>82.8</v>
      </c>
      <c r="H1096" s="24">
        <v>2.85</v>
      </c>
      <c r="I1096" s="29">
        <f t="shared" si="83"/>
        <v>9.098</v>
      </c>
      <c r="J1096" s="29">
        <f t="shared" si="84"/>
        <v>9.00702</v>
      </c>
      <c r="K1096" s="29">
        <f t="shared" si="81"/>
        <v>109.08502</v>
      </c>
      <c r="L1096" s="23">
        <f t="shared" si="82"/>
        <v>5436.7973968</v>
      </c>
      <c r="M1096" s="39" t="s">
        <v>142</v>
      </c>
    </row>
    <row r="1097" s="1" customFormat="1" outlineLevel="1" spans="1:13">
      <c r="A1097" s="20" t="s">
        <v>637</v>
      </c>
      <c r="B1097" s="21" t="s">
        <v>638</v>
      </c>
      <c r="C1097" s="21"/>
      <c r="D1097" s="22"/>
      <c r="E1097" s="22"/>
      <c r="F1097" s="20"/>
      <c r="G1097" s="20"/>
      <c r="H1097" s="20"/>
      <c r="I1097" s="29">
        <f t="shared" si="83"/>
        <v>0</v>
      </c>
      <c r="J1097" s="29">
        <f t="shared" si="84"/>
        <v>0</v>
      </c>
      <c r="K1097" s="29">
        <f t="shared" si="81"/>
        <v>0</v>
      </c>
      <c r="L1097" s="23">
        <f t="shared" si="82"/>
        <v>0</v>
      </c>
      <c r="M1097" s="38"/>
    </row>
    <row r="1098" s="1" customFormat="1" ht="22.5" outlineLevel="1" spans="1:13">
      <c r="A1098" s="24">
        <v>1</v>
      </c>
      <c r="B1098" s="25" t="s">
        <v>639</v>
      </c>
      <c r="C1098" s="25" t="s">
        <v>640</v>
      </c>
      <c r="D1098" s="26" t="s">
        <v>51</v>
      </c>
      <c r="E1098" s="27">
        <v>1</v>
      </c>
      <c r="F1098" s="24">
        <v>600</v>
      </c>
      <c r="G1098" s="24">
        <v>552.25</v>
      </c>
      <c r="H1098" s="24">
        <v>351.2</v>
      </c>
      <c r="I1098" s="29">
        <f t="shared" si="83"/>
        <v>150.345</v>
      </c>
      <c r="J1098" s="29">
        <f t="shared" si="84"/>
        <v>148.84155</v>
      </c>
      <c r="K1098" s="29">
        <f t="shared" si="81"/>
        <v>1802.63655</v>
      </c>
      <c r="L1098" s="23">
        <f t="shared" si="82"/>
        <v>1802.63655</v>
      </c>
      <c r="M1098" s="39" t="s">
        <v>159</v>
      </c>
    </row>
    <row r="1099" s="1" customFormat="1" ht="22.5" outlineLevel="1" spans="1:13">
      <c r="A1099" s="24">
        <v>2</v>
      </c>
      <c r="B1099" s="25" t="s">
        <v>641</v>
      </c>
      <c r="C1099" s="25" t="s">
        <v>642</v>
      </c>
      <c r="D1099" s="26" t="s">
        <v>51</v>
      </c>
      <c r="E1099" s="27">
        <v>1</v>
      </c>
      <c r="F1099" s="24">
        <v>500</v>
      </c>
      <c r="G1099" s="24">
        <v>5940</v>
      </c>
      <c r="H1099" s="24">
        <v>45.6</v>
      </c>
      <c r="I1099" s="29">
        <f t="shared" si="83"/>
        <v>648.56</v>
      </c>
      <c r="J1099" s="29">
        <f t="shared" si="84"/>
        <v>642.0744</v>
      </c>
      <c r="K1099" s="29">
        <f t="shared" si="81"/>
        <v>7776.2344</v>
      </c>
      <c r="L1099" s="23">
        <f t="shared" si="82"/>
        <v>7776.2344</v>
      </c>
      <c r="M1099" s="39" t="s">
        <v>159</v>
      </c>
    </row>
    <row r="1100" s="1" customFormat="1" outlineLevel="1" spans="1:13">
      <c r="A1100" s="24">
        <v>3</v>
      </c>
      <c r="B1100" s="25" t="s">
        <v>643</v>
      </c>
      <c r="C1100" s="25" t="s">
        <v>644</v>
      </c>
      <c r="D1100" s="26" t="s">
        <v>51</v>
      </c>
      <c r="E1100" s="27">
        <v>1</v>
      </c>
      <c r="F1100" s="24">
        <v>500</v>
      </c>
      <c r="G1100" s="24">
        <v>2850</v>
      </c>
      <c r="H1100" s="24">
        <v>46.6</v>
      </c>
      <c r="I1100" s="29">
        <f t="shared" si="83"/>
        <v>339.66</v>
      </c>
      <c r="J1100" s="29">
        <f t="shared" si="84"/>
        <v>336.2634</v>
      </c>
      <c r="K1100" s="29">
        <f t="shared" si="81"/>
        <v>4072.5234</v>
      </c>
      <c r="L1100" s="23">
        <f t="shared" si="82"/>
        <v>4072.5234</v>
      </c>
      <c r="M1100" s="39" t="s">
        <v>202</v>
      </c>
    </row>
    <row r="1101" s="1" customFormat="1" ht="22.5" outlineLevel="1" spans="1:13">
      <c r="A1101" s="24">
        <v>4</v>
      </c>
      <c r="B1101" s="25" t="s">
        <v>645</v>
      </c>
      <c r="C1101" s="25" t="s">
        <v>646</v>
      </c>
      <c r="D1101" s="26" t="s">
        <v>51</v>
      </c>
      <c r="E1101" s="27">
        <v>1</v>
      </c>
      <c r="F1101" s="24">
        <v>1500</v>
      </c>
      <c r="G1101" s="24">
        <v>12125.06</v>
      </c>
      <c r="H1101" s="24">
        <v>121</v>
      </c>
      <c r="I1101" s="29">
        <f t="shared" si="83"/>
        <v>1374.606</v>
      </c>
      <c r="J1101" s="29">
        <f t="shared" si="84"/>
        <v>1360.85994</v>
      </c>
      <c r="K1101" s="29">
        <f t="shared" si="81"/>
        <v>16481.52594</v>
      </c>
      <c r="L1101" s="23">
        <f t="shared" si="82"/>
        <v>16481.52594</v>
      </c>
      <c r="M1101" s="39" t="s">
        <v>159</v>
      </c>
    </row>
    <row r="1102" s="1" customFormat="1" ht="22.5" outlineLevel="1" spans="1:13">
      <c r="A1102" s="24">
        <v>5</v>
      </c>
      <c r="B1102" s="25" t="s">
        <v>647</v>
      </c>
      <c r="C1102" s="25" t="s">
        <v>648</v>
      </c>
      <c r="D1102" s="26" t="s">
        <v>51</v>
      </c>
      <c r="E1102" s="27">
        <v>1</v>
      </c>
      <c r="F1102" s="24">
        <v>500</v>
      </c>
      <c r="G1102" s="24">
        <v>272.6</v>
      </c>
      <c r="H1102" s="24">
        <v>121</v>
      </c>
      <c r="I1102" s="29">
        <f t="shared" si="83"/>
        <v>89.36</v>
      </c>
      <c r="J1102" s="29">
        <f t="shared" si="84"/>
        <v>88.4664</v>
      </c>
      <c r="K1102" s="29">
        <f t="shared" si="81"/>
        <v>1071.4264</v>
      </c>
      <c r="L1102" s="23">
        <f t="shared" si="82"/>
        <v>1071.4264</v>
      </c>
      <c r="M1102" s="39" t="s">
        <v>159</v>
      </c>
    </row>
    <row r="1103" s="1" customFormat="1" ht="22.5" outlineLevel="1" spans="1:13">
      <c r="A1103" s="24">
        <v>6</v>
      </c>
      <c r="B1103" s="25" t="s">
        <v>649</v>
      </c>
      <c r="C1103" s="25" t="s">
        <v>650</v>
      </c>
      <c r="D1103" s="26" t="s">
        <v>51</v>
      </c>
      <c r="E1103" s="27">
        <v>1</v>
      </c>
      <c r="F1103" s="24">
        <v>850</v>
      </c>
      <c r="G1103" s="24">
        <v>836.6</v>
      </c>
      <c r="H1103" s="24">
        <v>125</v>
      </c>
      <c r="I1103" s="29">
        <f t="shared" si="83"/>
        <v>181.16</v>
      </c>
      <c r="J1103" s="29">
        <f t="shared" si="84"/>
        <v>179.3484</v>
      </c>
      <c r="K1103" s="29">
        <f t="shared" si="81"/>
        <v>2172.1084</v>
      </c>
      <c r="L1103" s="23">
        <f t="shared" si="82"/>
        <v>2172.1084</v>
      </c>
      <c r="M1103" s="39" t="s">
        <v>159</v>
      </c>
    </row>
    <row r="1104" s="1" customFormat="1" outlineLevel="1" spans="1:13">
      <c r="A1104" s="24">
        <v>7</v>
      </c>
      <c r="B1104" s="25" t="s">
        <v>651</v>
      </c>
      <c r="C1104" s="25" t="s">
        <v>652</v>
      </c>
      <c r="D1104" s="26" t="s">
        <v>51</v>
      </c>
      <c r="E1104" s="27">
        <v>1</v>
      </c>
      <c r="F1104" s="24">
        <v>400</v>
      </c>
      <c r="G1104" s="24">
        <v>1128</v>
      </c>
      <c r="H1104" s="24">
        <v>3500</v>
      </c>
      <c r="I1104" s="29">
        <f t="shared" si="83"/>
        <v>502.8</v>
      </c>
      <c r="J1104" s="29">
        <f t="shared" si="84"/>
        <v>497.772</v>
      </c>
      <c r="K1104" s="29">
        <f t="shared" si="81"/>
        <v>6028.572</v>
      </c>
      <c r="L1104" s="23">
        <f t="shared" si="82"/>
        <v>6028.572</v>
      </c>
      <c r="M1104" s="57" t="s">
        <v>653</v>
      </c>
    </row>
    <row r="1105" s="1" customFormat="1" ht="22.5" outlineLevel="1" spans="1:13">
      <c r="A1105" s="24">
        <v>8</v>
      </c>
      <c r="B1105" s="25" t="s">
        <v>654</v>
      </c>
      <c r="C1105" s="25" t="s">
        <v>655</v>
      </c>
      <c r="D1105" s="26" t="s">
        <v>51</v>
      </c>
      <c r="E1105" s="27">
        <v>1</v>
      </c>
      <c r="F1105" s="24">
        <v>1200</v>
      </c>
      <c r="G1105" s="24">
        <v>2000</v>
      </c>
      <c r="H1105" s="24">
        <v>351.2</v>
      </c>
      <c r="I1105" s="29">
        <f t="shared" si="83"/>
        <v>355.12</v>
      </c>
      <c r="J1105" s="29">
        <f t="shared" si="84"/>
        <v>351.5688</v>
      </c>
      <c r="K1105" s="29">
        <f t="shared" si="81"/>
        <v>4257.8888</v>
      </c>
      <c r="L1105" s="23">
        <f t="shared" si="82"/>
        <v>4257.8888</v>
      </c>
      <c r="M1105" s="39" t="s">
        <v>159</v>
      </c>
    </row>
    <row r="1106" s="1" customFormat="1" ht="22.5" outlineLevel="1" spans="1:13">
      <c r="A1106" s="24">
        <v>9</v>
      </c>
      <c r="B1106" s="25" t="s">
        <v>656</v>
      </c>
      <c r="C1106" s="25" t="s">
        <v>657</v>
      </c>
      <c r="D1106" s="26" t="s">
        <v>51</v>
      </c>
      <c r="E1106" s="27">
        <v>1</v>
      </c>
      <c r="F1106" s="24">
        <v>1201</v>
      </c>
      <c r="G1106" s="24">
        <v>2000</v>
      </c>
      <c r="H1106" s="24">
        <v>352.2</v>
      </c>
      <c r="I1106" s="29">
        <f t="shared" si="83"/>
        <v>355.32</v>
      </c>
      <c r="J1106" s="29">
        <f t="shared" si="84"/>
        <v>351.7668</v>
      </c>
      <c r="K1106" s="29">
        <f t="shared" si="81"/>
        <v>4260.2868</v>
      </c>
      <c r="L1106" s="23">
        <f t="shared" si="82"/>
        <v>4260.2868</v>
      </c>
      <c r="M1106" s="39" t="s">
        <v>159</v>
      </c>
    </row>
    <row r="1107" s="1" customFormat="1" ht="22.5" outlineLevel="1" spans="1:13">
      <c r="A1107" s="24">
        <v>10</v>
      </c>
      <c r="B1107" s="25" t="s">
        <v>658</v>
      </c>
      <c r="C1107" s="25" t="s">
        <v>659</v>
      </c>
      <c r="D1107" s="26" t="s">
        <v>51</v>
      </c>
      <c r="E1107" s="27">
        <v>1</v>
      </c>
      <c r="F1107" s="24">
        <v>1202</v>
      </c>
      <c r="G1107" s="24">
        <v>2000</v>
      </c>
      <c r="H1107" s="24">
        <v>353.2</v>
      </c>
      <c r="I1107" s="29">
        <f t="shared" si="83"/>
        <v>355.52</v>
      </c>
      <c r="J1107" s="29">
        <f t="shared" si="84"/>
        <v>351.9648</v>
      </c>
      <c r="K1107" s="29">
        <f t="shared" si="81"/>
        <v>4262.6848</v>
      </c>
      <c r="L1107" s="23">
        <f t="shared" si="82"/>
        <v>4262.6848</v>
      </c>
      <c r="M1107" s="39" t="s">
        <v>159</v>
      </c>
    </row>
    <row r="1108" s="1" customFormat="1" ht="22.5" outlineLevel="1" spans="1:13">
      <c r="A1108" s="24">
        <v>11</v>
      </c>
      <c r="B1108" s="25" t="s">
        <v>660</v>
      </c>
      <c r="C1108" s="25" t="s">
        <v>661</v>
      </c>
      <c r="D1108" s="26" t="s">
        <v>51</v>
      </c>
      <c r="E1108" s="27">
        <v>1</v>
      </c>
      <c r="F1108" s="24">
        <v>803</v>
      </c>
      <c r="G1108" s="24">
        <v>2000</v>
      </c>
      <c r="H1108" s="24">
        <v>354.2</v>
      </c>
      <c r="I1108" s="29">
        <f t="shared" si="83"/>
        <v>315.72</v>
      </c>
      <c r="J1108" s="29">
        <f t="shared" si="84"/>
        <v>312.5628</v>
      </c>
      <c r="K1108" s="29">
        <f t="shared" si="81"/>
        <v>3785.4828</v>
      </c>
      <c r="L1108" s="23">
        <f t="shared" si="82"/>
        <v>3785.4828</v>
      </c>
      <c r="M1108" s="39" t="s">
        <v>159</v>
      </c>
    </row>
    <row r="1109" s="1" customFormat="1" outlineLevel="1" spans="1:13">
      <c r="A1109" s="24">
        <v>12</v>
      </c>
      <c r="B1109" s="25" t="s">
        <v>662</v>
      </c>
      <c r="C1109" s="25" t="s">
        <v>663</v>
      </c>
      <c r="D1109" s="26" t="s">
        <v>116</v>
      </c>
      <c r="E1109" s="27">
        <v>59.37</v>
      </c>
      <c r="F1109" s="24">
        <v>35.49</v>
      </c>
      <c r="G1109" s="24">
        <v>409.27</v>
      </c>
      <c r="H1109" s="24">
        <v>35.8</v>
      </c>
      <c r="I1109" s="29">
        <f t="shared" si="83"/>
        <v>48.056</v>
      </c>
      <c r="J1109" s="29">
        <f t="shared" si="84"/>
        <v>47.57544</v>
      </c>
      <c r="K1109" s="29">
        <f t="shared" si="81"/>
        <v>576.19144</v>
      </c>
      <c r="L1109" s="23">
        <f t="shared" si="82"/>
        <v>34208.4857928</v>
      </c>
      <c r="M1109" s="39" t="s">
        <v>664</v>
      </c>
    </row>
    <row r="1110" s="1" customFormat="1" ht="22.5" outlineLevel="1" spans="1:13">
      <c r="A1110" s="24">
        <v>13</v>
      </c>
      <c r="B1110" s="25" t="s">
        <v>665</v>
      </c>
      <c r="C1110" s="25" t="s">
        <v>666</v>
      </c>
      <c r="D1110" s="26" t="s">
        <v>71</v>
      </c>
      <c r="E1110" s="27">
        <v>1</v>
      </c>
      <c r="F1110" s="24">
        <v>500</v>
      </c>
      <c r="G1110" s="24">
        <v>3000</v>
      </c>
      <c r="H1110" s="24">
        <v>350</v>
      </c>
      <c r="I1110" s="29">
        <f t="shared" si="83"/>
        <v>385</v>
      </c>
      <c r="J1110" s="29">
        <f t="shared" si="84"/>
        <v>381.15</v>
      </c>
      <c r="K1110" s="29">
        <f t="shared" si="81"/>
        <v>4616.15</v>
      </c>
      <c r="L1110" s="23">
        <f t="shared" si="82"/>
        <v>4616.15</v>
      </c>
      <c r="M1110" s="39"/>
    </row>
    <row r="1111" s="4" customFormat="1" spans="1:13">
      <c r="A1111" s="40" t="s">
        <v>667</v>
      </c>
      <c r="B1111" s="41" t="s">
        <v>668</v>
      </c>
      <c r="C1111" s="41"/>
      <c r="D1111" s="40"/>
      <c r="E1111" s="40"/>
      <c r="F1111" s="40"/>
      <c r="G1111" s="40"/>
      <c r="H1111" s="40"/>
      <c r="I1111" s="42"/>
      <c r="J1111" s="42"/>
      <c r="K1111" s="42"/>
      <c r="L1111" s="44">
        <f>SUM(L913:L1110)</f>
        <v>3000587.7723503</v>
      </c>
      <c r="M1111" s="45"/>
    </row>
    <row r="1112" s="1" customFormat="1" outlineLevel="1" spans="1:13">
      <c r="A1112" s="20" t="s">
        <v>38</v>
      </c>
      <c r="B1112" s="21" t="s">
        <v>17</v>
      </c>
      <c r="C1112" s="21"/>
      <c r="D1112" s="22"/>
      <c r="E1112" s="51"/>
      <c r="F1112" s="20"/>
      <c r="G1112" s="20"/>
      <c r="H1112" s="20"/>
      <c r="I1112" s="29"/>
      <c r="J1112" s="29"/>
      <c r="K1112" s="29"/>
      <c r="L1112" s="23"/>
      <c r="M1112" s="38"/>
    </row>
    <row r="1113" s="1" customFormat="1" ht="33.75" outlineLevel="1" spans="1:13">
      <c r="A1113" s="24">
        <v>1</v>
      </c>
      <c r="B1113" s="25" t="s">
        <v>17</v>
      </c>
      <c r="C1113" s="25" t="s">
        <v>669</v>
      </c>
      <c r="D1113" s="26" t="s">
        <v>71</v>
      </c>
      <c r="E1113" s="27">
        <v>1</v>
      </c>
      <c r="F1113" s="24">
        <v>0</v>
      </c>
      <c r="G1113" s="24">
        <v>71677</v>
      </c>
      <c r="H1113" s="24">
        <v>0</v>
      </c>
      <c r="I1113" s="29">
        <f t="shared" si="83"/>
        <v>7167.7</v>
      </c>
      <c r="J1113" s="29">
        <f t="shared" si="84"/>
        <v>7096.023</v>
      </c>
      <c r="K1113" s="29">
        <f t="shared" ref="K1111:K1140" si="85">F1113+G1113+H1113+I1113+J1113</f>
        <v>85940.723</v>
      </c>
      <c r="L1113" s="23">
        <f t="shared" ref="L1111:L1140" si="86">K1113*E1113</f>
        <v>85940.723</v>
      </c>
      <c r="M1113" s="39"/>
    </row>
    <row r="1114" s="1" customFormat="1" spans="1:13">
      <c r="A1114" s="20" t="s">
        <v>74</v>
      </c>
      <c r="B1114" s="53" t="s">
        <v>670</v>
      </c>
      <c r="C1114" s="53"/>
      <c r="D1114" s="20"/>
      <c r="E1114" s="20"/>
      <c r="F1114" s="20"/>
      <c r="G1114" s="20"/>
      <c r="H1114" s="20"/>
      <c r="I1114" s="29"/>
      <c r="J1114" s="29"/>
      <c r="K1114" s="29"/>
      <c r="L1114" s="23">
        <f>L1113</f>
        <v>85940.723</v>
      </c>
      <c r="M1114" s="38"/>
    </row>
    <row r="1115" s="1" customFormat="1" outlineLevel="1" spans="1:13">
      <c r="A1115" s="20" t="s">
        <v>38</v>
      </c>
      <c r="B1115" s="47" t="s">
        <v>671</v>
      </c>
      <c r="C1115" s="47"/>
      <c r="D1115" s="48"/>
      <c r="E1115" s="48"/>
      <c r="F1115" s="20"/>
      <c r="G1115" s="20"/>
      <c r="H1115" s="20"/>
      <c r="I1115" s="29"/>
      <c r="J1115" s="29"/>
      <c r="K1115" s="29"/>
      <c r="L1115" s="23"/>
      <c r="M1115" s="38"/>
    </row>
    <row r="1116" s="1" customFormat="1" ht="78.75" outlineLevel="1" spans="1:13">
      <c r="A1116" s="50">
        <v>1</v>
      </c>
      <c r="B1116" s="30" t="s">
        <v>430</v>
      </c>
      <c r="C1116" s="30" t="s">
        <v>476</v>
      </c>
      <c r="D1116" s="31" t="s">
        <v>42</v>
      </c>
      <c r="E1116" s="49">
        <f>615.88+15.26</f>
        <v>631.14</v>
      </c>
      <c r="F1116" s="50">
        <v>36.52</v>
      </c>
      <c r="G1116" s="24">
        <f>80.67+10</f>
        <v>90.67</v>
      </c>
      <c r="H1116" s="50">
        <v>2.81</v>
      </c>
      <c r="I1116" s="29">
        <f t="shared" si="83"/>
        <v>13</v>
      </c>
      <c r="J1116" s="29">
        <f t="shared" si="84"/>
        <v>12.87</v>
      </c>
      <c r="K1116" s="29">
        <f t="shared" si="85"/>
        <v>155.87</v>
      </c>
      <c r="L1116" s="23">
        <f t="shared" si="86"/>
        <v>98375.7918</v>
      </c>
      <c r="M1116" s="39" t="s">
        <v>43</v>
      </c>
    </row>
    <row r="1117" s="1" customFormat="1" ht="78.75" outlineLevel="1" spans="1:13">
      <c r="A1117" s="54">
        <v>2</v>
      </c>
      <c r="B1117" s="30" t="s">
        <v>430</v>
      </c>
      <c r="C1117" s="30" t="s">
        <v>77</v>
      </c>
      <c r="D1117" s="31" t="s">
        <v>42</v>
      </c>
      <c r="E1117" s="49">
        <f>76.86+144.17</f>
        <v>221.03</v>
      </c>
      <c r="F1117" s="28">
        <v>29.46</v>
      </c>
      <c r="G1117" s="29">
        <f>46.5+10</f>
        <v>56.5</v>
      </c>
      <c r="H1117" s="29">
        <v>1.31</v>
      </c>
      <c r="I1117" s="29">
        <f t="shared" si="83"/>
        <v>8.727</v>
      </c>
      <c r="J1117" s="29">
        <f t="shared" si="84"/>
        <v>8.63973</v>
      </c>
      <c r="K1117" s="29">
        <f t="shared" si="85"/>
        <v>104.63673</v>
      </c>
      <c r="L1117" s="23">
        <f t="shared" si="86"/>
        <v>23127.8564319</v>
      </c>
      <c r="M1117" s="39" t="s">
        <v>43</v>
      </c>
    </row>
    <row r="1118" s="1" customFormat="1" ht="45" outlineLevel="1" spans="1:13">
      <c r="A1118" s="50">
        <v>3</v>
      </c>
      <c r="B1118" s="25" t="s">
        <v>45</v>
      </c>
      <c r="C1118" s="25" t="s">
        <v>46</v>
      </c>
      <c r="D1118" s="26" t="s">
        <v>47</v>
      </c>
      <c r="E1118" s="49">
        <v>435.66</v>
      </c>
      <c r="F1118" s="28">
        <v>12.5</v>
      </c>
      <c r="G1118" s="29">
        <v>3.92</v>
      </c>
      <c r="H1118" s="29">
        <v>4.5</v>
      </c>
      <c r="I1118" s="29">
        <f t="shared" si="83"/>
        <v>2.092</v>
      </c>
      <c r="J1118" s="29">
        <f t="shared" si="84"/>
        <v>2.07108</v>
      </c>
      <c r="K1118" s="29">
        <f t="shared" si="85"/>
        <v>25.08308</v>
      </c>
      <c r="L1118" s="23">
        <f t="shared" si="86"/>
        <v>10927.6946328</v>
      </c>
      <c r="M1118" s="39" t="s">
        <v>48</v>
      </c>
    </row>
    <row r="1119" s="1" customFormat="1" ht="45" outlineLevel="1" spans="1:13">
      <c r="A1119" s="50">
        <v>4</v>
      </c>
      <c r="B1119" s="30" t="s">
        <v>58</v>
      </c>
      <c r="C1119" s="30" t="s">
        <v>485</v>
      </c>
      <c r="D1119" s="26" t="s">
        <v>60</v>
      </c>
      <c r="E1119" s="49">
        <v>6</v>
      </c>
      <c r="F1119" s="24">
        <v>121.32</v>
      </c>
      <c r="G1119" s="24">
        <v>80</v>
      </c>
      <c r="H1119" s="24">
        <v>29.52</v>
      </c>
      <c r="I1119" s="29">
        <f t="shared" si="83"/>
        <v>23.084</v>
      </c>
      <c r="J1119" s="29">
        <f t="shared" si="84"/>
        <v>22.85316</v>
      </c>
      <c r="K1119" s="29">
        <f t="shared" si="85"/>
        <v>276.77716</v>
      </c>
      <c r="L1119" s="29">
        <f t="shared" si="86"/>
        <v>1660.66296</v>
      </c>
      <c r="M1119" s="39" t="s">
        <v>61</v>
      </c>
    </row>
    <row r="1120" s="1" customFormat="1" ht="45" outlineLevel="1" spans="1:13">
      <c r="A1120" s="54">
        <v>5</v>
      </c>
      <c r="B1120" s="30" t="s">
        <v>58</v>
      </c>
      <c r="C1120" s="30" t="s">
        <v>486</v>
      </c>
      <c r="D1120" s="26" t="s">
        <v>60</v>
      </c>
      <c r="E1120" s="49">
        <v>9</v>
      </c>
      <c r="F1120" s="24">
        <v>79.59</v>
      </c>
      <c r="G1120" s="24">
        <v>60</v>
      </c>
      <c r="H1120" s="29">
        <v>18.2</v>
      </c>
      <c r="I1120" s="29">
        <f t="shared" si="83"/>
        <v>15.779</v>
      </c>
      <c r="J1120" s="29">
        <f t="shared" si="84"/>
        <v>15.62121</v>
      </c>
      <c r="K1120" s="29">
        <f t="shared" si="85"/>
        <v>189.19021</v>
      </c>
      <c r="L1120" s="29">
        <f t="shared" si="86"/>
        <v>1702.71189</v>
      </c>
      <c r="M1120" s="39" t="s">
        <v>61</v>
      </c>
    </row>
    <row r="1121" s="1" customFormat="1" ht="33.75" outlineLevel="1" spans="1:13">
      <c r="A1121" s="50">
        <v>6</v>
      </c>
      <c r="B1121" s="25" t="s">
        <v>62</v>
      </c>
      <c r="C1121" s="25" t="s">
        <v>487</v>
      </c>
      <c r="D1121" s="26" t="s">
        <v>64</v>
      </c>
      <c r="E1121" s="49">
        <f>E1119</f>
        <v>6</v>
      </c>
      <c r="F1121" s="24">
        <v>93.91</v>
      </c>
      <c r="G1121" s="24">
        <v>23</v>
      </c>
      <c r="H1121" s="24">
        <v>63.5</v>
      </c>
      <c r="I1121" s="29">
        <f t="shared" si="83"/>
        <v>18.041</v>
      </c>
      <c r="J1121" s="29">
        <f t="shared" si="84"/>
        <v>17.86059</v>
      </c>
      <c r="K1121" s="29">
        <f t="shared" si="85"/>
        <v>216.31159</v>
      </c>
      <c r="L1121" s="29">
        <f t="shared" si="86"/>
        <v>1297.86954</v>
      </c>
      <c r="M1121" s="39" t="s">
        <v>61</v>
      </c>
    </row>
    <row r="1122" s="1" customFormat="1" ht="33.75" outlineLevel="1" spans="1:13">
      <c r="A1122" s="50">
        <v>7</v>
      </c>
      <c r="B1122" s="25" t="s">
        <v>62</v>
      </c>
      <c r="C1122" s="25" t="s">
        <v>63</v>
      </c>
      <c r="D1122" s="26" t="s">
        <v>64</v>
      </c>
      <c r="E1122" s="49">
        <f>E1120</f>
        <v>9</v>
      </c>
      <c r="F1122" s="24">
        <v>65.22</v>
      </c>
      <c r="G1122" s="24">
        <v>15</v>
      </c>
      <c r="H1122" s="29">
        <v>36.25</v>
      </c>
      <c r="I1122" s="29">
        <f t="shared" si="83"/>
        <v>11.647</v>
      </c>
      <c r="J1122" s="29">
        <f t="shared" si="84"/>
        <v>11.53053</v>
      </c>
      <c r="K1122" s="29">
        <f t="shared" si="85"/>
        <v>139.64753</v>
      </c>
      <c r="L1122" s="29">
        <f t="shared" si="86"/>
        <v>1256.82777</v>
      </c>
      <c r="M1122" s="39" t="s">
        <v>61</v>
      </c>
    </row>
    <row r="1123" s="1" customFormat="1" ht="56.25" outlineLevel="1" spans="1:13">
      <c r="A1123" s="50">
        <v>8</v>
      </c>
      <c r="B1123" s="30" t="s">
        <v>672</v>
      </c>
      <c r="C1123" s="30" t="s">
        <v>673</v>
      </c>
      <c r="D1123" s="31" t="s">
        <v>51</v>
      </c>
      <c r="E1123" s="49">
        <v>9</v>
      </c>
      <c r="F1123" s="24">
        <v>215</v>
      </c>
      <c r="G1123" s="24">
        <v>330</v>
      </c>
      <c r="H1123" s="24">
        <v>12.3</v>
      </c>
      <c r="I1123" s="29">
        <f t="shared" si="83"/>
        <v>55.73</v>
      </c>
      <c r="J1123" s="29">
        <f t="shared" si="84"/>
        <v>55.1727</v>
      </c>
      <c r="K1123" s="29">
        <f t="shared" si="85"/>
        <v>668.2027</v>
      </c>
      <c r="L1123" s="29">
        <f t="shared" si="86"/>
        <v>6013.8243</v>
      </c>
      <c r="M1123" s="39" t="s">
        <v>61</v>
      </c>
    </row>
    <row r="1124" s="1" customFormat="1" ht="45" outlineLevel="1" spans="1:13">
      <c r="A1124" s="50">
        <v>9</v>
      </c>
      <c r="B1124" s="30" t="s">
        <v>674</v>
      </c>
      <c r="C1124" s="30" t="s">
        <v>675</v>
      </c>
      <c r="D1124" s="31" t="s">
        <v>51</v>
      </c>
      <c r="E1124" s="49">
        <v>4</v>
      </c>
      <c r="F1124" s="24">
        <v>317.05</v>
      </c>
      <c r="G1124" s="24">
        <v>180</v>
      </c>
      <c r="H1124" s="24">
        <v>219</v>
      </c>
      <c r="I1124" s="29">
        <f t="shared" si="83"/>
        <v>71.605</v>
      </c>
      <c r="J1124" s="29">
        <f t="shared" si="84"/>
        <v>70.88895</v>
      </c>
      <c r="K1124" s="29">
        <f t="shared" si="85"/>
        <v>858.54395</v>
      </c>
      <c r="L1124" s="29">
        <f t="shared" si="86"/>
        <v>3434.1758</v>
      </c>
      <c r="M1124" s="39" t="s">
        <v>61</v>
      </c>
    </row>
    <row r="1125" s="1" customFormat="1" ht="45" outlineLevel="1" spans="1:13">
      <c r="A1125" s="50">
        <v>10</v>
      </c>
      <c r="B1125" s="30" t="s">
        <v>676</v>
      </c>
      <c r="C1125" s="30" t="s">
        <v>677</v>
      </c>
      <c r="D1125" s="31" t="s">
        <v>51</v>
      </c>
      <c r="E1125" s="49">
        <v>5</v>
      </c>
      <c r="F1125" s="24">
        <v>317.05</v>
      </c>
      <c r="G1125" s="24">
        <v>230</v>
      </c>
      <c r="H1125" s="24">
        <v>219</v>
      </c>
      <c r="I1125" s="29">
        <f t="shared" si="83"/>
        <v>76.605</v>
      </c>
      <c r="J1125" s="29">
        <f t="shared" si="84"/>
        <v>75.83895</v>
      </c>
      <c r="K1125" s="29">
        <f t="shared" si="85"/>
        <v>918.49395</v>
      </c>
      <c r="L1125" s="29">
        <f t="shared" si="86"/>
        <v>4592.46975</v>
      </c>
      <c r="M1125" s="39" t="s">
        <v>61</v>
      </c>
    </row>
    <row r="1126" s="1" customFormat="1" ht="45" outlineLevel="1" spans="1:13">
      <c r="A1126" s="50">
        <v>11</v>
      </c>
      <c r="B1126" s="30" t="s">
        <v>678</v>
      </c>
      <c r="C1126" s="30" t="s">
        <v>679</v>
      </c>
      <c r="D1126" s="31" t="s">
        <v>680</v>
      </c>
      <c r="E1126" s="49">
        <v>1</v>
      </c>
      <c r="F1126" s="24"/>
      <c r="G1126" s="24">
        <v>3000</v>
      </c>
      <c r="H1126" s="24"/>
      <c r="I1126" s="29">
        <f t="shared" si="83"/>
        <v>300</v>
      </c>
      <c r="J1126" s="29">
        <f t="shared" si="84"/>
        <v>297</v>
      </c>
      <c r="K1126" s="29">
        <f t="shared" si="85"/>
        <v>3597</v>
      </c>
      <c r="L1126" s="29">
        <f t="shared" si="86"/>
        <v>3597</v>
      </c>
      <c r="M1126" s="39" t="s">
        <v>61</v>
      </c>
    </row>
    <row r="1127" s="1" customFormat="1" outlineLevel="1" spans="1:13">
      <c r="A1127" s="50">
        <v>12</v>
      </c>
      <c r="B1127" s="30" t="s">
        <v>97</v>
      </c>
      <c r="C1127" s="30" t="s">
        <v>98</v>
      </c>
      <c r="D1127" s="31" t="s">
        <v>71</v>
      </c>
      <c r="E1127" s="49">
        <v>1</v>
      </c>
      <c r="F1127" s="24">
        <v>366.15</v>
      </c>
      <c r="G1127" s="24">
        <v>0</v>
      </c>
      <c r="H1127" s="29">
        <v>185</v>
      </c>
      <c r="I1127" s="29">
        <f t="shared" si="83"/>
        <v>55.115</v>
      </c>
      <c r="J1127" s="29">
        <f t="shared" si="84"/>
        <v>54.56385</v>
      </c>
      <c r="K1127" s="29">
        <f t="shared" si="85"/>
        <v>660.82885</v>
      </c>
      <c r="L1127" s="29">
        <f t="shared" si="86"/>
        <v>660.82885</v>
      </c>
      <c r="M1127" s="39"/>
    </row>
    <row r="1128" s="4" customFormat="1" spans="1:13">
      <c r="A1128" s="40" t="s">
        <v>74</v>
      </c>
      <c r="B1128" s="41" t="s">
        <v>681</v>
      </c>
      <c r="C1128" s="41"/>
      <c r="D1128" s="40"/>
      <c r="E1128" s="40"/>
      <c r="F1128" s="40"/>
      <c r="G1128" s="40"/>
      <c r="H1128" s="40"/>
      <c r="I1128" s="42"/>
      <c r="J1128" s="42"/>
      <c r="K1128" s="42"/>
      <c r="L1128" s="44">
        <f>SUM(L1116:L1127)</f>
        <v>156647.7137247</v>
      </c>
      <c r="M1128" s="45"/>
    </row>
    <row r="1129" s="1" customFormat="1" outlineLevel="1" spans="1:13">
      <c r="A1129" s="20" t="s">
        <v>38</v>
      </c>
      <c r="B1129" s="47" t="s">
        <v>682</v>
      </c>
      <c r="C1129" s="47"/>
      <c r="D1129" s="48"/>
      <c r="E1129" s="48"/>
      <c r="F1129" s="20"/>
      <c r="G1129" s="20"/>
      <c r="H1129" s="20"/>
      <c r="I1129" s="29"/>
      <c r="J1129" s="29"/>
      <c r="K1129" s="29"/>
      <c r="L1129" s="23"/>
      <c r="M1129" s="38"/>
    </row>
    <row r="1130" s="1" customFormat="1" ht="33.75" outlineLevel="1" spans="1:13">
      <c r="A1130" s="24">
        <v>1</v>
      </c>
      <c r="B1130" s="25" t="s">
        <v>198</v>
      </c>
      <c r="C1130" s="25" t="s">
        <v>245</v>
      </c>
      <c r="D1130" s="26" t="s">
        <v>103</v>
      </c>
      <c r="E1130" s="24">
        <v>1</v>
      </c>
      <c r="F1130" s="24">
        <v>90.73</v>
      </c>
      <c r="G1130" s="29">
        <v>360</v>
      </c>
      <c r="H1130" s="29">
        <v>19.3</v>
      </c>
      <c r="I1130" s="29">
        <f>(F1130+G1130+H1130)*$I$4</f>
        <v>47.003</v>
      </c>
      <c r="J1130" s="29">
        <f>(F1130+G1130+H1130+I1130)*$J$4</f>
        <v>46.53297</v>
      </c>
      <c r="K1130" s="29">
        <f t="shared" si="85"/>
        <v>563.56597</v>
      </c>
      <c r="L1130" s="29">
        <f t="shared" si="86"/>
        <v>563.56597</v>
      </c>
      <c r="M1130" s="39" t="s">
        <v>202</v>
      </c>
    </row>
    <row r="1131" s="1" customFormat="1" ht="56.25" outlineLevel="1" spans="1:13">
      <c r="A1131" s="24">
        <v>2</v>
      </c>
      <c r="B1131" s="25" t="s">
        <v>200</v>
      </c>
      <c r="C1131" s="25" t="s">
        <v>549</v>
      </c>
      <c r="D1131" s="26" t="s">
        <v>51</v>
      </c>
      <c r="E1131" s="24">
        <v>6</v>
      </c>
      <c r="F1131" s="28">
        <v>26.59</v>
      </c>
      <c r="G1131" s="24">
        <v>33</v>
      </c>
      <c r="H1131" s="29">
        <v>22.37</v>
      </c>
      <c r="I1131" s="29">
        <f>(F1131+G1131+H1131)*$I$4</f>
        <v>8.196</v>
      </c>
      <c r="J1131" s="29">
        <f>(F1131+G1131+H1131+I1131)*$J$4</f>
        <v>8.11404</v>
      </c>
      <c r="K1131" s="29">
        <f t="shared" si="85"/>
        <v>98.27004</v>
      </c>
      <c r="L1131" s="29">
        <f t="shared" si="86"/>
        <v>589.62024</v>
      </c>
      <c r="M1131" s="39" t="s">
        <v>202</v>
      </c>
    </row>
    <row r="1132" s="1" customFormat="1" ht="67.5" outlineLevel="1" spans="1:13">
      <c r="A1132" s="24">
        <v>3</v>
      </c>
      <c r="B1132" s="25" t="s">
        <v>200</v>
      </c>
      <c r="C1132" s="25" t="s">
        <v>367</v>
      </c>
      <c r="D1132" s="26" t="s">
        <v>51</v>
      </c>
      <c r="E1132" s="24">
        <v>19</v>
      </c>
      <c r="F1132" s="28">
        <v>26.59</v>
      </c>
      <c r="G1132" s="24">
        <v>33</v>
      </c>
      <c r="H1132" s="29">
        <v>22.37</v>
      </c>
      <c r="I1132" s="29">
        <f>(F1132+G1132+H1132)*$I$4</f>
        <v>8.196</v>
      </c>
      <c r="J1132" s="29">
        <f>(F1132+G1132+H1132+I1132)*$J$4</f>
        <v>8.11404</v>
      </c>
      <c r="K1132" s="29">
        <f t="shared" si="85"/>
        <v>98.27004</v>
      </c>
      <c r="L1132" s="29">
        <f t="shared" si="86"/>
        <v>1867.13076</v>
      </c>
      <c r="M1132" s="39" t="s">
        <v>202</v>
      </c>
    </row>
    <row r="1133" s="1" customFormat="1" ht="56.25" outlineLevel="1" spans="1:13">
      <c r="A1133" s="24">
        <v>4</v>
      </c>
      <c r="B1133" s="25" t="s">
        <v>154</v>
      </c>
      <c r="C1133" s="25" t="s">
        <v>206</v>
      </c>
      <c r="D1133" s="26" t="s">
        <v>42</v>
      </c>
      <c r="E1133" s="24">
        <f>(17.79+13+1.1+9.5+12.2+22.25+22.77+4.45+10.96+13.34+(4.4-1.5)*3+(4.4-2.2)*6*2+(4.4-2.3)*19*2)*2</f>
        <v>484.52</v>
      </c>
      <c r="F1133" s="28">
        <v>0.92</v>
      </c>
      <c r="G1133" s="29">
        <v>1.93</v>
      </c>
      <c r="H1133" s="29">
        <v>0.85</v>
      </c>
      <c r="I1133" s="29">
        <f>(F1133+G1133+H1133)*$I$4</f>
        <v>0.37</v>
      </c>
      <c r="J1133" s="29">
        <f>(F1133+G1133+H1133+I1133)*$J$4</f>
        <v>0.3663</v>
      </c>
      <c r="K1133" s="29">
        <f t="shared" si="85"/>
        <v>4.4363</v>
      </c>
      <c r="L1133" s="29">
        <f t="shared" si="86"/>
        <v>2149.476076</v>
      </c>
      <c r="M1133" s="39" t="s">
        <v>142</v>
      </c>
    </row>
    <row r="1134" s="1" customFormat="1" spans="1:13">
      <c r="A1134" s="20" t="s">
        <v>74</v>
      </c>
      <c r="B1134" s="53" t="s">
        <v>683</v>
      </c>
      <c r="C1134" s="25"/>
      <c r="D1134" s="26"/>
      <c r="E1134" s="24"/>
      <c r="F1134" s="20"/>
      <c r="G1134" s="20"/>
      <c r="H1134" s="20"/>
      <c r="I1134" s="29"/>
      <c r="J1134" s="29"/>
      <c r="K1134" s="29"/>
      <c r="L1134" s="29">
        <f>SUM(L1130:L1133)</f>
        <v>5169.793046</v>
      </c>
      <c r="M1134" s="38"/>
    </row>
    <row r="1135" s="1" customFormat="1" outlineLevel="1" spans="1:13">
      <c r="A1135" s="20" t="s">
        <v>38</v>
      </c>
      <c r="B1135" s="47" t="s">
        <v>684</v>
      </c>
      <c r="C1135" s="47"/>
      <c r="D1135" s="48"/>
      <c r="E1135" s="48"/>
      <c r="F1135" s="20"/>
      <c r="G1135" s="20"/>
      <c r="H1135" s="20"/>
      <c r="I1135" s="29"/>
      <c r="J1135" s="29"/>
      <c r="K1135" s="29"/>
      <c r="L1135" s="29"/>
      <c r="M1135" s="38"/>
    </row>
    <row r="1136" s="1" customFormat="1" ht="33.75" outlineLevel="1" spans="1:13">
      <c r="A1136" s="24">
        <v>1</v>
      </c>
      <c r="B1136" s="25" t="s">
        <v>198</v>
      </c>
      <c r="C1136" s="25" t="s">
        <v>245</v>
      </c>
      <c r="D1136" s="26" t="s">
        <v>103</v>
      </c>
      <c r="E1136" s="24">
        <v>1</v>
      </c>
      <c r="F1136" s="24">
        <v>90.73</v>
      </c>
      <c r="G1136" s="29">
        <v>360</v>
      </c>
      <c r="H1136" s="29">
        <v>19.3</v>
      </c>
      <c r="I1136" s="29">
        <f>(F1136+G1136+H1136)*$I$4</f>
        <v>47.003</v>
      </c>
      <c r="J1136" s="29">
        <f>(F1136+G1136+H1136+I1136)*$J$4</f>
        <v>46.53297</v>
      </c>
      <c r="K1136" s="29">
        <f t="shared" si="85"/>
        <v>563.56597</v>
      </c>
      <c r="L1136" s="29">
        <f t="shared" si="86"/>
        <v>563.56597</v>
      </c>
      <c r="M1136" s="39" t="s">
        <v>202</v>
      </c>
    </row>
    <row r="1137" s="1" customFormat="1" ht="56.25" outlineLevel="1" spans="1:13">
      <c r="A1137" s="24">
        <v>2</v>
      </c>
      <c r="B1137" s="25" t="s">
        <v>200</v>
      </c>
      <c r="C1137" s="25" t="s">
        <v>550</v>
      </c>
      <c r="D1137" s="26" t="s">
        <v>51</v>
      </c>
      <c r="E1137" s="24">
        <v>2</v>
      </c>
      <c r="F1137" s="28">
        <v>26.59</v>
      </c>
      <c r="G1137" s="24">
        <v>33</v>
      </c>
      <c r="H1137" s="29">
        <v>22.37</v>
      </c>
      <c r="I1137" s="29">
        <f>(F1137+G1137+H1137)*$I$4</f>
        <v>8.196</v>
      </c>
      <c r="J1137" s="29">
        <f>(F1137+G1137+H1137+I1137)*$J$4</f>
        <v>8.11404</v>
      </c>
      <c r="K1137" s="29">
        <f t="shared" si="85"/>
        <v>98.27004</v>
      </c>
      <c r="L1137" s="29">
        <f t="shared" si="86"/>
        <v>196.54008</v>
      </c>
      <c r="M1137" s="39" t="s">
        <v>202</v>
      </c>
    </row>
    <row r="1138" s="1" customFormat="1" ht="56.25" outlineLevel="1" spans="1:13">
      <c r="A1138" s="24">
        <v>3</v>
      </c>
      <c r="B1138" s="25" t="s">
        <v>200</v>
      </c>
      <c r="C1138" s="25" t="s">
        <v>549</v>
      </c>
      <c r="D1138" s="26" t="s">
        <v>51</v>
      </c>
      <c r="E1138" s="24">
        <v>3</v>
      </c>
      <c r="F1138" s="28">
        <v>26.59</v>
      </c>
      <c r="G1138" s="24">
        <v>33</v>
      </c>
      <c r="H1138" s="29">
        <v>22.37</v>
      </c>
      <c r="I1138" s="29">
        <f>(F1138+G1138+H1138)*$I$4</f>
        <v>8.196</v>
      </c>
      <c r="J1138" s="29">
        <f>(F1138+G1138+H1138+I1138)*$J$4</f>
        <v>8.11404</v>
      </c>
      <c r="K1138" s="29">
        <f t="shared" si="85"/>
        <v>98.27004</v>
      </c>
      <c r="L1138" s="29">
        <f t="shared" si="86"/>
        <v>294.81012</v>
      </c>
      <c r="M1138" s="39" t="s">
        <v>202</v>
      </c>
    </row>
    <row r="1139" s="1" customFormat="1" ht="67.5" outlineLevel="1" spans="1:13">
      <c r="A1139" s="24">
        <v>4</v>
      </c>
      <c r="B1139" s="25" t="s">
        <v>200</v>
      </c>
      <c r="C1139" s="25" t="s">
        <v>367</v>
      </c>
      <c r="D1139" s="26" t="s">
        <v>51</v>
      </c>
      <c r="E1139" s="24">
        <v>8</v>
      </c>
      <c r="F1139" s="28">
        <v>26.59</v>
      </c>
      <c r="G1139" s="24">
        <v>34</v>
      </c>
      <c r="H1139" s="29">
        <v>22.37</v>
      </c>
      <c r="I1139" s="29">
        <f>(F1139+G1139+H1139)*$I$4</f>
        <v>8.296</v>
      </c>
      <c r="J1139" s="29">
        <f>(F1139+G1139+H1139+I1139)*$J$4</f>
        <v>8.21304</v>
      </c>
      <c r="K1139" s="29">
        <f t="shared" si="85"/>
        <v>99.46904</v>
      </c>
      <c r="L1139" s="29">
        <f t="shared" si="86"/>
        <v>795.75232</v>
      </c>
      <c r="M1139" s="39" t="s">
        <v>202</v>
      </c>
    </row>
    <row r="1140" s="1" customFormat="1" ht="56.25" outlineLevel="1" spans="1:13">
      <c r="A1140" s="24">
        <v>5</v>
      </c>
      <c r="B1140" s="25" t="s">
        <v>154</v>
      </c>
      <c r="C1140" s="25" t="s">
        <v>206</v>
      </c>
      <c r="D1140" s="26" t="s">
        <v>42</v>
      </c>
      <c r="E1140" s="24">
        <f>(7.26+8.22+27.37+12.58+(4.4-1.5)*3+(4.4-0.5)*2+(4.4-2.2)*3+(4.4-2.3)*6)*2</f>
        <v>182.26</v>
      </c>
      <c r="F1140" s="28">
        <v>0.92</v>
      </c>
      <c r="G1140" s="29">
        <v>1.93</v>
      </c>
      <c r="H1140" s="29">
        <v>0.85</v>
      </c>
      <c r="I1140" s="29">
        <f>(F1140+G1140+H1140)*$I$4</f>
        <v>0.37</v>
      </c>
      <c r="J1140" s="29">
        <f>(F1140+G1140+H1140+I1140)*$J$4</f>
        <v>0.3663</v>
      </c>
      <c r="K1140" s="29">
        <f t="shared" si="85"/>
        <v>4.4363</v>
      </c>
      <c r="L1140" s="29">
        <f t="shared" si="86"/>
        <v>808.560038</v>
      </c>
      <c r="M1140" s="39" t="s">
        <v>142</v>
      </c>
    </row>
    <row r="1141" s="4" customFormat="1" spans="1:13">
      <c r="A1141" s="40" t="s">
        <v>74</v>
      </c>
      <c r="B1141" s="41" t="s">
        <v>685</v>
      </c>
      <c r="C1141" s="55"/>
      <c r="D1141" s="40"/>
      <c r="E1141" s="56"/>
      <c r="F1141" s="40"/>
      <c r="G1141" s="40"/>
      <c r="H1141" s="40"/>
      <c r="I1141" s="42"/>
      <c r="J1141" s="42"/>
      <c r="K1141" s="44"/>
      <c r="L1141" s="44">
        <f>SUM(L1136:L1140)</f>
        <v>2659.228528</v>
      </c>
      <c r="M1141" s="45"/>
    </row>
    <row r="1142" s="1" customFormat="1" spans="1:13">
      <c r="A1142" s="20" t="s">
        <v>22</v>
      </c>
      <c r="B1142" s="53"/>
      <c r="C1142" s="53"/>
      <c r="D1142" s="20"/>
      <c r="E1142" s="20"/>
      <c r="F1142" s="20"/>
      <c r="G1142" s="20"/>
      <c r="H1142" s="20"/>
      <c r="I1142" s="29"/>
      <c r="J1142" s="29"/>
      <c r="K1142" s="23"/>
      <c r="L1142" s="23">
        <f>L101+L163+L243+L323+L409+L511+L604+L707+L819+L911+L1111+L1114+L1128+L1134+L1141</f>
        <v>7390000.0006851</v>
      </c>
      <c r="M1142" s="38"/>
    </row>
  </sheetData>
  <autoFilter xmlns:etc="http://www.wps.cn/officeDocument/2017/etCustomData" ref="A4:M1142" etc:filterBottomFollowUsedRange="0">
    <extLst/>
  </autoFilter>
  <mergeCells count="14">
    <mergeCell ref="A1:M1"/>
    <mergeCell ref="F2:J2"/>
    <mergeCell ref="A1142:B1142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275" right="0.196527777777778" top="0.236111111111111" bottom="0.0388888888888889" header="0.236111111111111" footer="0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汇总表及编制说明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</cp:lastModifiedBy>
  <dcterms:created xsi:type="dcterms:W3CDTF">2022-06-30T01:27:00Z</dcterms:created>
  <dcterms:modified xsi:type="dcterms:W3CDTF">2024-11-26T07:24:00Z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4E5FEF8F790348788FBA2C5A3F396ECF_13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