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tabRatio="630"/>
  </bookViews>
  <sheets>
    <sheet name="结算目录" sheetId="16" r:id="rId1"/>
    <sheet name="结算汇总表" sheetId="17" r:id="rId2"/>
    <sheet name="结算明细汇总表" sheetId="9" r:id="rId3"/>
    <sheet name="一层大堂精装工程-装饰" sheetId="12" r:id="rId4"/>
    <sheet name="一层大堂精装工程-安装" sheetId="11" r:id="rId5"/>
    <sheet name="公共区域装修工程" sheetId="15" r:id="rId6"/>
    <sheet name="单元门头装修工程" sheetId="14" r:id="rId7"/>
    <sheet name="门头钢结构工程量计算" sheetId="13" r:id="rId8"/>
    <sheet name="公区计算底稿" sheetId="18" r:id="rId9"/>
  </sheets>
  <externalReferences>
    <externalReference r:id="rId10"/>
    <externalReference r:id="rId11"/>
    <externalReference r:id="rId12"/>
  </externalReferences>
  <definedNames>
    <definedName name="_xlnm._FilterDatabase" localSheetId="3" hidden="1">'一层大堂精装工程-装饰'!$A$6:$O$84</definedName>
    <definedName name="_xlnm._FilterDatabase" localSheetId="4" hidden="1">'一层大堂精装工程-安装'!$A$3:$O$81</definedName>
    <definedName name="_xlnm._FilterDatabase" localSheetId="5" hidden="1">公共区域装修工程!$A$2:$O$17</definedName>
    <definedName name="_xlnm._FilterDatabase" localSheetId="6" hidden="1">单元门头装修工程!$A$2:$O$54</definedName>
    <definedName name="_xlnm._FilterDatabase" localSheetId="7" hidden="1">门头钢结构工程量计算!$A$2:$G$25</definedName>
    <definedName name="_xlnm.Print_Area" localSheetId="4">'一层大堂精装工程-安装'!$A$1:$O$81</definedName>
    <definedName name="_xlnm.Print_Area" localSheetId="3">'一层大堂精装工程-装饰'!$A$1:$O$84</definedName>
    <definedName name="_xlnm.Print_Area" localSheetId="2">结算明细汇总表!$A$1:$G$24</definedName>
    <definedName name="a">EVALUATE([2]计算底稿!$D:$D)</definedName>
    <definedName name="aa">EVALUATE(#REF!)</definedName>
    <definedName name="as">EVALUATE(#REF!)</definedName>
    <definedName name="ad">EVALUATE('[1]4二层办公司硬装'!XFD1)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<sst xmlns="http://schemas.openxmlformats.org/spreadsheetml/2006/main" count="1985" uniqueCount="403">
  <si>
    <t>栾川山水文苑s1地块1-11#楼一层大堂装修、公共区域装修、单元门头装修工程（不含5#大堂及单元门头）工程结算资料存档目录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</si>
  <si>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</si>
  <si>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</si>
  <si>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</si>
  <si>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</si>
  <si>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</si>
  <si>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</si>
  <si>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栾川山水文苑s1地块1-11#楼一层大堂装修、公共区域装修、单元门头装修工程（不含5#大堂及单元门头）结算审批表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</si>
  <si>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</si>
  <si>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</si>
  <si>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</si>
  <si>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</si>
  <si>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</si>
  <si>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</si>
  <si>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</si>
  <si>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</si>
  <si>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</si>
  <si>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</si>
  <si>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1份12页</t>
  </si>
  <si>
    <t>第5-16页</t>
  </si>
  <si>
    <t>结算申请单</t>
  </si>
  <si>
    <t>第17页</t>
  </si>
  <si>
    <t>结算通知书</t>
  </si>
  <si>
    <t>第18页</t>
  </si>
  <si>
    <t>授权委托书</t>
  </si>
  <si>
    <t>第19页</t>
  </si>
  <si>
    <t>工程资料核对确认单</t>
  </si>
  <si>
    <t>1份2页</t>
  </si>
  <si>
    <t>第20页</t>
  </si>
  <si>
    <t>工程往来账目明细</t>
  </si>
  <si>
    <t>第21-22页</t>
  </si>
  <si>
    <t>验收单</t>
  </si>
  <si>
    <t>第23页</t>
  </si>
  <si>
    <t>工程结算工作交接单</t>
  </si>
  <si>
    <t>第24-25页</t>
  </si>
  <si>
    <t>水电费证明</t>
  </si>
  <si>
    <t>第26页</t>
  </si>
  <si>
    <t>签证单</t>
  </si>
  <si>
    <t>1份15页</t>
  </si>
  <si>
    <t>第27-41页</t>
  </si>
  <si>
    <t>栾川山水文苑s1地块1-11#楼一层大堂装修、公共区域装修、单元门头装修工程（不含5#大堂及单元门头）合同及补充协议书审批表</t>
  </si>
  <si>
    <t>1份20页</t>
  </si>
  <si>
    <t>第42-66页</t>
  </si>
  <si>
    <t>工作联系单</t>
  </si>
  <si>
    <t>第67页</t>
  </si>
  <si>
    <t>竣工图</t>
  </si>
  <si>
    <t>本</t>
  </si>
  <si>
    <t>一本</t>
  </si>
  <si>
    <t>施工单位报送资料</t>
  </si>
  <si>
    <t>若干</t>
  </si>
  <si>
    <t>造价师：</t>
  </si>
  <si>
    <t>日期：</t>
  </si>
  <si>
    <t>栾川山水文苑s1地块1-11#楼一层大堂装修、公共区域装修、单元门头装修工程（不含5#大堂及单元门头）结算汇总表</t>
  </si>
  <si>
    <t xml:space="preserve">合同编号：LCS1-JA-064                              合同金额：4000000.00元 </t>
  </si>
  <si>
    <t>合同名称：栾川山水文苑s1地块1-11#楼一层大堂装修、公共区域装修、单元门头装修工程（不含5#大堂及单元门头）</t>
  </si>
  <si>
    <t>甲    方：栾川县浩德颐康文旅有限公司</t>
  </si>
  <si>
    <t>乙    方： 河南专晶建筑工程有限公司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</si>
  <si>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</si>
  <si>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</si>
  <si>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</si>
  <si>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</si>
  <si>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</si>
  <si>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</si>
  <si>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</si>
  <si>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</si>
  <si>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</si>
  <si>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</si>
  <si>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</si>
  <si>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</si>
  <si>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</si>
  <si>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</si>
  <si>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</si>
  <si>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</si>
  <si>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</si>
  <si>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</si>
  <si>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</si>
  <si>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</si>
  <si>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</si>
  <si>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</si>
  <si>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</si>
  <si>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</si>
  <si>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</si>
  <si>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</si>
  <si>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</si>
  <si>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</si>
  <si>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</si>
  <si>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</si>
  <si>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</si>
  <si>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</si>
  <si>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</si>
  <si>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</si>
  <si>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栾川山水文苑s1地块1-11#楼一层大堂装修、公共区域装修、单元门头装修工程（不含5#大堂及单元门头）结算明细</t>
  </si>
  <si>
    <t>序 号</t>
  </si>
  <si>
    <t>单位</t>
  </si>
  <si>
    <t>单元数量</t>
  </si>
  <si>
    <t>金额 (元)</t>
  </si>
  <si>
    <t>合计(元)</t>
  </si>
  <si>
    <t>精装大堂</t>
  </si>
  <si>
    <t>1#、6#、9#、11#楼精装大堂硬质装修部分</t>
  </si>
  <si>
    <t>个</t>
  </si>
  <si>
    <t>1#、6#、9#、11#楼一层大堂精装工程-安装部分</t>
  </si>
  <si>
    <t>2#、3#楼精装大堂硬质装修部分</t>
  </si>
  <si>
    <t>2#、3#楼一层大堂精装工程-安装部分</t>
  </si>
  <si>
    <t>7#楼精装大堂硬质装修部分</t>
  </si>
  <si>
    <t>7#楼一层大堂精装工程-安装部分</t>
  </si>
  <si>
    <t>8#、10#楼精装大堂硬质装修部分</t>
  </si>
  <si>
    <t>8#、10#楼一层大堂精装工程-安装部分</t>
  </si>
  <si>
    <t>1-3#及5-11#楼公共区域精装修</t>
  </si>
  <si>
    <t>项</t>
  </si>
  <si>
    <t>门头部分</t>
  </si>
  <si>
    <t>小计(元)</t>
  </si>
  <si>
    <t>水电费</t>
  </si>
  <si>
    <t>已经结清</t>
  </si>
  <si>
    <t>八</t>
  </si>
  <si>
    <t>其他扣款</t>
  </si>
  <si>
    <t>垃圾清理</t>
  </si>
  <si>
    <t>九</t>
  </si>
  <si>
    <t>大堂地砖品牌调整 冠珠调整为精誉陶</t>
  </si>
  <si>
    <t>m2</t>
  </si>
  <si>
    <t>十</t>
  </si>
  <si>
    <t>结算</t>
  </si>
  <si>
    <t>十一</t>
  </si>
  <si>
    <t>取整结算额</t>
  </si>
  <si>
    <t>价格清单（一层大堂精装工程-装饰）</t>
  </si>
  <si>
    <t>工程项目名称</t>
  </si>
  <si>
    <t>工程内容</t>
  </si>
  <si>
    <t>工程量
g</t>
  </si>
  <si>
    <t>其中：综合单价构成（元）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</si>
  <si>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</si>
  <si>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</si>
  <si>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</si>
  <si>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</si>
  <si>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</si>
  <si>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</si>
  <si>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</si>
  <si>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</si>
  <si>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</si>
  <si>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</si>
  <si>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</si>
  <si>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</si>
  <si>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</si>
  <si>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%</t>
  </si>
  <si>
    <t>一个单元工程量清单</t>
  </si>
  <si>
    <t>地面</t>
  </si>
  <si>
    <t xml:space="preserve">瓷砖地面 </t>
  </si>
  <si>
    <t>1、清理施工表面；
2、素水泥结合层一道                           3、40-60厚1:3干硬性水泥砂浆结合层；
3、砖充分浸水                               
4、ct1瓷砖铺贴、留1mm分封，同色填料剂处理;
6、满足施工规范及设计图纸要求；</t>
  </si>
  <si>
    <t>冠珠</t>
  </si>
  <si>
    <t xml:space="preserve">    品牌更换手续</t>
  </si>
  <si>
    <t>瓷砖过门石</t>
  </si>
  <si>
    <t>1、清理施工表面；
2、素水泥结合层一道                           3、40-60厚1:3干硬性水泥砂浆结合层；
3、砖充分浸水                               
4、ct2瓷砖铺贴、留1mm分封，同色填料剂处理;
6、满足施工规范及设计图纸要求；</t>
  </si>
  <si>
    <t>过门石取消砖通铺</t>
  </si>
  <si>
    <t>墙面</t>
  </si>
  <si>
    <t>瓷砖墙面</t>
  </si>
  <si>
    <t>1. 5~7厚面砖,白水泥擦缝或填缝剂填缝
2. 4~5厚1∶1水泥砂浆加水重20%建筑胶(或配套专用胶粘剂)粘结层
3. 素水泥浆一道(用专用胶粘剂粘贴时无此道工序)
4. 详见施工图及节点详图TD-03/01图；</t>
  </si>
  <si>
    <t>精誉陶/广东</t>
  </si>
  <si>
    <t>世纪印象</t>
  </si>
  <si>
    <t>单元门</t>
  </si>
  <si>
    <t>1、规格：DYM2000*2900、WM1121
2、材质：1.0mm厚不锈钢框、8mm厚钢化玻璃
3、设计详细确定</t>
  </si>
  <si>
    <t>木饰面柜子</t>
  </si>
  <si>
    <t>1.木饰面
2.尺寸：1.07m长*1.6m高*0.25m宽
3.材质：18mm厚阻燃胶合板（实测17mm厚）
4、部位：楼梯间</t>
  </si>
  <si>
    <t>电梯门套</t>
  </si>
  <si>
    <t>1、规格：1040*2350
2、材质：0.7mm厚MT-01金属
3、基层：18mm阻燃胶合板（实测17mm厚）
4、含电梯门框与电梯封堵</t>
  </si>
  <si>
    <t>樘</t>
  </si>
  <si>
    <t>墙面金属收口</t>
  </si>
  <si>
    <t>1、MT01金属
2、部位：楼梯口
3、详见施工图及节点详图TD-03/03图；</t>
  </si>
  <si>
    <t>m</t>
  </si>
  <si>
    <t>现场取消</t>
  </si>
  <si>
    <t>天花</t>
  </si>
  <si>
    <t>大堂吊顶</t>
  </si>
  <si>
    <t xml:space="preserve">
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</si>
  <si>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M2</t>
  </si>
  <si>
    <t>龙骨、石膏板：泰山</t>
  </si>
  <si>
    <t>金属M01</t>
  </si>
  <si>
    <t>1、金属M01吊顶金属条收口 厚度0.7mm
2、具体做法详见节点详图TD-01/01图及施工图。
3、部位：大堂</t>
  </si>
  <si>
    <t>大堂吊顶涂料</t>
  </si>
  <si>
    <t>1.无机涂料两遍
2.封底漆一道(干燥后再做面涂
3.满刮2厚面层耐水腻子找平
4、部位：大堂</t>
  </si>
  <si>
    <t>清单项重复</t>
  </si>
  <si>
    <t>平吊天花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</si>
  <si>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</si>
  <si>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平吊天花部分涂料</t>
  </si>
  <si>
    <t xml:space="preserve">1.无机涂料两遍
2.封底漆一道(干燥后再做面涂
3.满刮2厚面层耐水腻子找平
</t>
  </si>
  <si>
    <t>白色无机涂料原顶</t>
  </si>
  <si>
    <t>基层清理；
2、满刮腻子两道、砂纸磨平；
3、白色无极涂料天棚；
4、满足施工规范及设计图纸要求；
5、楼梯板顶面</t>
  </si>
  <si>
    <t>立邦</t>
  </si>
  <si>
    <t>1、基层清理；
2、满刮腻子两道、砂纸磨平；
3、白色无极涂料天棚；
4、满足施工规范及设计图纸要求；
5、侯梯厅</t>
  </si>
  <si>
    <t>04天花造型</t>
  </si>
  <si>
    <t>1、白色无机涂料
2、石膏板造型
3、18mm阻燃胶合板
4、具体做法详见节点详图TD-01/04图及施工图；
5、部位：侯梯厅</t>
  </si>
  <si>
    <t>小计</t>
  </si>
  <si>
    <t>元</t>
  </si>
  <si>
    <t>1、规格：DYM3400*2900
2、材质：1.0mm厚不锈钢框、8mm厚钢化玻璃
3、设计详细确定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</si>
  <si>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</si>
  <si>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基层清理；
2、满刮腻子两道、砂纸磨平；
3、白色无级涂料天棚；
4、满足施工规范及设计图纸要求；
5、楼梯板底面</t>
  </si>
  <si>
    <t>1、白色无机涂料
2、石膏板造型
3、18mm阻燃胶合板（实测17mm厚）
4、具体做法详见节点详图TD-01/04图及施工图；
5、部位：侯梯厅</t>
  </si>
  <si>
    <t>1. 5~7厚面砖,白水泥擦缝或填缝剂填缝CT04
2. 4~5厚1∶1水泥砂浆加水重20%建筑胶(或配套专用胶粘剂)粘结层
3. 素水泥浆一道(用专用胶粘剂粘贴时无此道工序)
4. 详见施工图及节点详图TD-03/01图；</t>
  </si>
  <si>
    <t>墙面乳胶漆</t>
  </si>
  <si>
    <t>玻璃大门</t>
  </si>
  <si>
    <t>1.单元门
2、材质：1.0mm厚不锈钢框、8mm厚钢化玻璃
3、设计详细确定</t>
  </si>
  <si>
    <t>基层清理；
2、满刮腻子两道、砂纸磨平；
3、白色无极涂料天棚；
4、满足施工规范及设计图纸要求；</t>
  </si>
  <si>
    <t>前室地面</t>
  </si>
  <si>
    <t>CT03瓷砖墙面</t>
  </si>
  <si>
    <t>1. 5~7厚面砖,白水泥擦缝或填缝剂填缝CT03
2. 4~5厚1∶1水泥砂浆加水重20%建筑胶(或配套专用胶粘剂)粘结层
3. 素水泥浆一道(用专用胶粘剂粘贴时无此道工序)
4. 详见施工图及节点详图TD-03/01图；</t>
  </si>
  <si>
    <t>成品艺术画</t>
  </si>
  <si>
    <t>1.成品艺术画
2.部位:门厅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</si>
  <si>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5、标高2780mm，具体做法详见施工图</t>
  </si>
  <si>
    <t>1.无机涂料两遍
2.封底漆一道(干燥后再做面涂
3.满刮2厚面层耐水腻子找平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</si>
  <si>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5、标高2400mm，具体做法详见施工图，含支撑处理</t>
  </si>
  <si>
    <t xml:space="preserve">基层清理；
2、满刮腻子两道、砂纸磨平；
3、白色无极涂料天棚；
4、满足施工规范及设计图纸要求；
</t>
  </si>
  <si>
    <t>价格清单（一层大堂精装工程-安装）</t>
  </si>
  <si>
    <t>结算工程量</t>
  </si>
  <si>
    <t>其中：各子项构成（元）</t>
  </si>
  <si>
    <t>LED人体红外感应+光控</t>
  </si>
  <si>
    <t xml:space="preserve">1、名称:LED人体红外感应+光控  
2、规格:,2.5W/LED自带电池
正常时12W,火灾时5W 500lm
3、未详尽处满足图纸设计、相关规范要求                    </t>
  </si>
  <si>
    <t>雷士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</si>
  <si>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</si>
  <si>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</si>
  <si>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</si>
  <si>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</si>
  <si>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装饰吊灯</t>
  </si>
  <si>
    <t xml:space="preserve">1、名称:装饰吊灯
2、规格:详见图纸要求
3、未详尽处满足图纸设计、相关规范要求                    </t>
  </si>
  <si>
    <t>感应筒灯</t>
  </si>
  <si>
    <t>壁灯</t>
  </si>
  <si>
    <t xml:space="preserve">1、名称:壁灯
2、安装位置:大堂外门头外侧
3、未详尽处满足图纸设计、相关规范要求                    </t>
  </si>
  <si>
    <t>灯带</t>
  </si>
  <si>
    <t xml:space="preserve">1、名称:灯带
2、规格:4000k
3、未详尽处满足图纸设计、相关规范要求                    </t>
  </si>
  <si>
    <t>欧普</t>
  </si>
  <si>
    <t>三联单控开关</t>
  </si>
  <si>
    <t xml:space="preserve">1、名称:三联单控开关
2、安装位置:底边距地1300mm
3、未详尽处满足图纸设计、相关规范要求                    </t>
  </si>
  <si>
    <t>施耐德</t>
  </si>
  <si>
    <t>单联单控开关</t>
  </si>
  <si>
    <t xml:space="preserve">1、名称:单联单控开关
2、安装位置:底边距地1300mm
3、未详尽处满足图纸设计、相关规范要求                    </t>
  </si>
  <si>
    <t>单项安全型二、三孔插座</t>
  </si>
  <si>
    <t xml:space="preserve">1、名称:单项安全型二、三孔插座
2、规格:(2100V,10A)
3、距地1.3m
4、未详尽处满足图纸设计、相关规范要求                    </t>
  </si>
  <si>
    <t>单网络插座</t>
  </si>
  <si>
    <t xml:space="preserve">1、名称:单网络插座
2、H=1300MM
3、未详尽处满足图纸设计、相关规范要求                    </t>
  </si>
  <si>
    <t>配管</t>
  </si>
  <si>
    <t xml:space="preserve">1、名称:配管
2、PC20
3、吊顶内敷设
4、未详尽处满足图纸设计、相关规范要求                    </t>
  </si>
  <si>
    <t xml:space="preserve">1、名称:配管
2、PC16
3、吊顶内敷设
4、未详尽处满足图纸设计、相关规范要求                    </t>
  </si>
  <si>
    <t xml:space="preserve">1、名称:配管
2、JDG20
3、吊顶内敷设
4、未详尽处满足图纸设计、相关规范要求                    </t>
  </si>
  <si>
    <t>网线</t>
  </si>
  <si>
    <t xml:space="preserve">1、名称:网线
2、管内敷设
3、未详尽处满足图纸设计、相关规范要求                    </t>
  </si>
  <si>
    <t>电线</t>
  </si>
  <si>
    <t xml:space="preserve">1、名称:电线WDZ-BYJ-4
2、管内敷设
3、未详尽处满足图纸设计、相关规范要求                    </t>
  </si>
  <si>
    <t>郑州三厂</t>
  </si>
  <si>
    <t xml:space="preserve">1、名称:电线WDZ-BYJ-2.5
2、管内敷设
3、未详尽处满足图纸设计、相关规范要求                    </t>
  </si>
  <si>
    <t>明装筒灯(超薄)</t>
  </si>
  <si>
    <t xml:space="preserve">1、名称:明装筒灯(超薄)
2、规格:4000k
3、未详尽处满足图纸设计、相关规范要求                    </t>
  </si>
  <si>
    <t>价格清单（公共区域装修工程）</t>
  </si>
  <si>
    <t>含税综合单价(元)
f=(a+b+c+d+e)</t>
  </si>
  <si>
    <t>含损耗主材费小计</t>
  </si>
  <si>
    <t xml:space="preserve">主材费
</t>
  </si>
  <si>
    <t>主材损耗率</t>
  </si>
  <si>
    <t>侯梯厅、前室、走廊</t>
  </si>
  <si>
    <t>精誉陶/世纪印象</t>
  </si>
  <si>
    <t>楼梯间</t>
  </si>
  <si>
    <t xml:space="preserve">楼梯平台地面 </t>
  </si>
  <si>
    <t>楼梯踏步地面</t>
  </si>
  <si>
    <t>1、清理施工表面；
2、素水泥结合层一道                           3、40-60厚1:3干硬性水泥砂浆结合层；
3、砖充分浸水                               
4、ct5瓷砖铺贴(开防滑槽)，同色填料剂处理;
5、计算规则：按水平投影面积计算
6、满足施工规范及设计图纸要求；</t>
  </si>
  <si>
    <t xml:space="preserve">楼梯踢脚线 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</si>
  <si>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</si>
  <si>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石膏线</t>
  </si>
  <si>
    <t>1、成品石膏线
2、部位：侯梯厅</t>
  </si>
  <si>
    <t xml:space="preserve">金属线条 </t>
  </si>
  <si>
    <t>1、成品金属线条造型
2、部位：墙砖收口</t>
  </si>
  <si>
    <t>价格清单（单元门头装修工程）</t>
  </si>
  <si>
    <t>1#、6#、9#、11#门头部分</t>
  </si>
  <si>
    <t>因最终板图纸未定，此项工程量为暂定量</t>
  </si>
  <si>
    <t>钢架钢构</t>
  </si>
  <si>
    <t>1、200*5热浸镀锌钢方管
2、8#热浸镀锌槽钢
3、L50x4热浸镀锌角钢
4、10#热浸镀锌槽钢
5、80*60*5mm镀锌钢管
6、l20*3封边角钢等详见施工图
7、其它满足规范和设计图纸要求</t>
  </si>
  <si>
    <t>t</t>
  </si>
  <si>
    <t>预埋件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</si>
  <si>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</t>
    </r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  <r>
      <rPr>
        <sz val="10"/>
        <rFont val="Arial"/>
        <charset val="134"/>
      </rPr>
      <t xml:space="preserve">
2</t>
    </r>
    <r>
      <rPr>
        <sz val="10"/>
        <rFont val="宋体"/>
        <charset val="134"/>
      </rPr>
      <t>、其它满足规范和设计图纸要求</t>
    </r>
  </si>
  <si>
    <t>套</t>
  </si>
  <si>
    <t>1、300x200x8mm热浸镀锌后置埋件
2、M12特殊倒锥型化学锚栓
3、其它满足规范和设计图纸要求</t>
  </si>
  <si>
    <t>柱面石材</t>
  </si>
  <si>
    <t>1、25mm厚花岗岩（芝麻黑，冷色系石材）
2、M8x30不锈钢螺栓组
3、泡沫棒&amp;硅酮耐候密封胶
4、不锈钢石材挂件
6、其它满足规范和设计图纸要求</t>
  </si>
  <si>
    <t>造型铝板</t>
  </si>
  <si>
    <t>1、2.5mm铝单板氟碳喷涂
2、其它满足规范和设计图纸要求
3、门头立面造型部分</t>
  </si>
  <si>
    <t>顶板铝板</t>
  </si>
  <si>
    <t>1、2.5mm铝单板氟碳喷涂
2、其它满足规范和设计图纸要求
3、门头平面部分</t>
  </si>
  <si>
    <t>防水钢板</t>
  </si>
  <si>
    <t>1、1.5mm镀锌钢板防水层
2、其它满足规范和设计图纸要求</t>
  </si>
  <si>
    <t>防水涂料</t>
  </si>
  <si>
    <t>1、铝板外侧刷防水涂料
2、其它满足规范和设计图纸要求
3、投标约谈修改为改为防水卷材</t>
  </si>
  <si>
    <t>铝方管造型</t>
  </si>
  <si>
    <t>40*2铝方管(氟碳喷涂)
@220mm布置</t>
  </si>
  <si>
    <t>A向造型和铝方管造型</t>
  </si>
  <si>
    <t>1、20*2铝方管（氟碳漆喷刷）
2、其它满足规范和设计图纸要求</t>
  </si>
  <si>
    <t>成品灯箱</t>
  </si>
  <si>
    <t>按图纸意向效果匹配灯具</t>
  </si>
  <si>
    <t>楼栋牌匾</t>
  </si>
  <si>
    <t>铝板+不锈钢成品加工（施工单位深化报价）</t>
  </si>
  <si>
    <t>2#、3#门头部分</t>
  </si>
  <si>
    <t>7#门头部分</t>
  </si>
  <si>
    <t>8#、10#门头部分</t>
  </si>
  <si>
    <r>
      <rPr>
        <sz val="20"/>
        <rFont val="Arial"/>
        <charset val="134"/>
      </rPr>
      <t>5#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</si>
  <si>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2#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</si>
  <si>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7#</t>
    </r>
    <r>
      <rPr>
        <sz val="20"/>
        <rFont val="宋体"/>
        <charset val="134"/>
      </rPr>
      <t>楼门计算工程量</t>
    </r>
  </si>
  <si>
    <r>
      <rPr>
        <sz val="20"/>
        <rFont val="Arial"/>
        <charset val="134"/>
      </rPr>
      <t>8#</t>
    </r>
    <r>
      <rPr>
        <sz val="20"/>
        <rFont val="宋体"/>
        <charset val="134"/>
      </rPr>
      <t>楼门计算工程量</t>
    </r>
  </si>
  <si>
    <t>工程量</t>
  </si>
  <si>
    <t>理论重量</t>
  </si>
  <si>
    <t>合计</t>
  </si>
  <si>
    <t>柱子及墙面</t>
  </si>
  <si>
    <r>
      <rPr>
        <sz val="10"/>
        <rFont val="Arial"/>
        <charset val="134"/>
      </rPr>
      <t>300x300x20mm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  M20</t>
    </r>
    <r>
      <rPr>
        <sz val="10"/>
        <rFont val="宋体"/>
        <charset val="134"/>
      </rPr>
      <t>不锈钢化学螺栓</t>
    </r>
  </si>
  <si>
    <t>块</t>
  </si>
  <si>
    <r>
      <rPr>
        <sz val="10"/>
        <rFont val="Arial"/>
        <charset val="134"/>
      </rPr>
      <t>200*5</t>
    </r>
    <r>
      <rPr>
        <sz val="10"/>
        <rFont val="宋体"/>
        <charset val="134"/>
      </rPr>
      <t>热浸镀锌钢方管</t>
    </r>
  </si>
  <si>
    <r>
      <rPr>
        <sz val="10"/>
        <rFont val="Arial"/>
        <charset val="134"/>
      </rPr>
      <t>8#</t>
    </r>
    <r>
      <rPr>
        <sz val="10"/>
        <rFont val="宋体"/>
        <charset val="134"/>
      </rPr>
      <t>热浸镀锌槽钢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</si>
  <si>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热浸镀锌角钢（石材）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</si>
  <si>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热浸镀锌角钢（铝板）</t>
    </r>
  </si>
  <si>
    <r>
      <rPr>
        <sz val="10"/>
        <rFont val="Arial"/>
        <charset val="1"/>
      </rPr>
      <t>8#</t>
    </r>
    <r>
      <rPr>
        <sz val="10"/>
        <rFont val="宋体"/>
        <charset val="1"/>
      </rPr>
      <t>热浸镀锌槽钢（柱子上连接件）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</si>
  <si>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</si>
  <si>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"/>
      </rPr>
      <t>8#</t>
    </r>
    <r>
      <rPr>
        <sz val="10"/>
        <rFont val="宋体"/>
        <charset val="1"/>
      </rPr>
      <t>热浸镀锌槽钢（链接件）</t>
    </r>
  </si>
  <si>
    <r>
      <rPr>
        <sz val="10"/>
        <color rgb="FFFF0000"/>
        <rFont val="Arial"/>
        <charset val="134"/>
      </rPr>
      <t>L50x4</t>
    </r>
    <r>
      <rPr>
        <sz val="10"/>
        <color rgb="FFFF0000"/>
        <rFont val="宋体"/>
        <charset val="134"/>
      </rPr>
      <t>热浸镀锌角钢（墙岩口）</t>
    </r>
  </si>
  <si>
    <r>
      <rPr>
        <sz val="10"/>
        <rFont val="Arial"/>
        <charset val="134"/>
      </rPr>
      <t>L50x4</t>
    </r>
    <r>
      <rPr>
        <sz val="10"/>
        <rFont val="宋体"/>
        <charset val="134"/>
      </rPr>
      <t>热浸镀锌角钢（墙岩口）</t>
    </r>
  </si>
  <si>
    <r>
      <rPr>
        <sz val="10"/>
        <color rgb="FFFF0000"/>
        <rFont val="宋体"/>
        <charset val="134"/>
      </rPr>
      <t>（</t>
    </r>
    <r>
      <rPr>
        <sz val="10"/>
        <color rgb="FFFF0000"/>
        <rFont val="Arial"/>
        <charset val="134"/>
      </rPr>
      <t>1-1</t>
    </r>
    <r>
      <rPr>
        <sz val="10"/>
        <color rgb="FFFF0000"/>
        <rFont val="宋体"/>
        <charset val="134"/>
      </rPr>
      <t>）（2-2）三角钢架</t>
    </r>
  </si>
  <si>
    <r>
      <rPr>
        <sz val="10"/>
        <rFont val="宋体"/>
        <charset val="134"/>
      </rPr>
      <t>（</t>
    </r>
    <r>
      <rPr>
        <sz val="10"/>
        <rFont val="Arial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</si>
  <si>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</t>
    </r>
  </si>
  <si>
    <r>
      <rPr>
        <sz val="10"/>
        <rFont val="Arial"/>
        <charset val="134"/>
      </rPr>
      <t>300x200x8mm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</t>
    </r>
    <r>
      <rPr>
        <sz val="10"/>
        <rFont val="宋体"/>
        <charset val="134"/>
      </rPr>
      <t>不锈钢对穿螺栓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</si>
  <si>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热浸镀锌角钢（横向链接靠墙部分）</t>
    </r>
  </si>
  <si>
    <t>架空部分</t>
  </si>
  <si>
    <t>（2-2）</t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</si>
  <si>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热浸镀锌角钢（竖向）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</si>
  <si>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热浸镀锌角钢（内收边）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</si>
  <si>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热浸镀锌角钢（横向）</t>
    </r>
  </si>
  <si>
    <t>顶钢架</t>
  </si>
  <si>
    <r>
      <rPr>
        <sz val="10"/>
        <rFont val="Arial"/>
        <charset val="134"/>
      </rPr>
      <t xml:space="preserve">80*60*5mm
</t>
    </r>
    <r>
      <rPr>
        <sz val="10"/>
        <rFont val="宋体"/>
        <charset val="134"/>
      </rPr>
      <t>镀锌钢管</t>
    </r>
  </si>
  <si>
    <r>
      <rPr>
        <sz val="10"/>
        <rFont val="Arial"/>
        <charset val="134"/>
      </rPr>
      <t xml:space="preserve">300x200x8mm
</t>
    </r>
    <r>
      <rPr>
        <sz val="10"/>
        <rFont val="宋体"/>
        <charset val="134"/>
      </rPr>
      <t>热浸镀锌后置埋件</t>
    </r>
    <r>
      <rPr>
        <sz val="10"/>
        <rFont val="Arial"/>
        <charset val="134"/>
      </rPr>
      <t xml:space="preserve">
M12
</t>
    </r>
    <r>
      <rPr>
        <sz val="10"/>
        <rFont val="宋体"/>
        <charset val="134"/>
      </rPr>
      <t>特殊倒锥型化学锚栓</t>
    </r>
  </si>
  <si>
    <r>
      <rPr>
        <sz val="10"/>
        <rFont val="Arial"/>
        <charset val="1"/>
      </rPr>
      <t>L50x4</t>
    </r>
    <r>
      <rPr>
        <sz val="10"/>
        <rFont val="宋体"/>
        <charset val="1"/>
      </rPr>
      <t>热浸镀锌角钢封边角钢</t>
    </r>
  </si>
  <si>
    <t>kg</t>
  </si>
  <si>
    <r>
      <rPr>
        <sz val="10"/>
        <color rgb="FFFF0000"/>
        <rFont val="Arial"/>
        <charset val="1"/>
      </rPr>
      <t>1</t>
    </r>
    <r>
      <rPr>
        <sz val="10"/>
        <color rgb="FFFF0000"/>
        <rFont val="宋体"/>
        <charset val="1"/>
      </rPr>
      <t>、铝板平面</t>
    </r>
  </si>
  <si>
    <t>下沉屋面竖向</t>
  </si>
  <si>
    <t>侧墙立面</t>
  </si>
  <si>
    <t>主体头与墙面交界处</t>
  </si>
  <si>
    <r>
      <rPr>
        <sz val="10"/>
        <rFont val="宋体"/>
        <charset val="1"/>
      </rPr>
      <t>柱子头部</t>
    </r>
    <r>
      <rPr>
        <sz val="10"/>
        <rFont val="Arial"/>
        <charset val="1"/>
      </rPr>
      <t xml:space="preserve"> </t>
    </r>
    <r>
      <rPr>
        <sz val="10"/>
        <rFont val="宋体"/>
        <charset val="1"/>
      </rPr>
      <t>三角部分（正、背面）</t>
    </r>
  </si>
  <si>
    <t>柱子头部 三角部分（侧面）</t>
  </si>
  <si>
    <t>柱子头下</t>
  </si>
  <si>
    <t>门头正面</t>
  </si>
  <si>
    <t>门边造型</t>
  </si>
  <si>
    <t>门头室内上翻</t>
  </si>
  <si>
    <t>门宝吊顶</t>
  </si>
  <si>
    <t>墙面堵头</t>
  </si>
  <si>
    <t>山水文苑S1地块1-3号楼、5-11号楼标准层工程量</t>
  </si>
  <si>
    <t>楼号</t>
  </si>
  <si>
    <t>地面、墙面</t>
  </si>
  <si>
    <t>部位</t>
  </si>
  <si>
    <t>规格</t>
  </si>
  <si>
    <t>面积</t>
  </si>
  <si>
    <t>层数</t>
  </si>
  <si>
    <t>单元数</t>
  </si>
  <si>
    <t>标准层</t>
  </si>
  <si>
    <t>1#</t>
  </si>
  <si>
    <t>楼梯平台</t>
  </si>
  <si>
    <t>CT1  800*800</t>
  </si>
  <si>
    <t>梯段</t>
  </si>
  <si>
    <t>CT5</t>
  </si>
  <si>
    <t>踢脚</t>
  </si>
  <si>
    <t xml:space="preserve">CT1 </t>
  </si>
  <si>
    <t>过门石</t>
  </si>
  <si>
    <t>CT2</t>
  </si>
  <si>
    <t>最后二层少一个窗户</t>
  </si>
  <si>
    <t>单量侧面增加</t>
  </si>
  <si>
    <t>金属线条收口</t>
  </si>
  <si>
    <t>2#</t>
  </si>
  <si>
    <t>二层平台</t>
  </si>
  <si>
    <t>二层梯段</t>
  </si>
  <si>
    <t>3#</t>
  </si>
  <si>
    <t>5#</t>
  </si>
  <si>
    <t>6#</t>
  </si>
  <si>
    <t>7#</t>
  </si>
  <si>
    <t>金属线条</t>
  </si>
  <si>
    <t>8#标准层(2-8层）</t>
  </si>
  <si>
    <t>9#</t>
  </si>
  <si>
    <t>10#标准层(2-8层）</t>
  </si>
  <si>
    <t>CT01瓷砖</t>
  </si>
  <si>
    <t>CT05瓷砖(开防滑槽)</t>
  </si>
  <si>
    <t>CT02瓷砖</t>
  </si>
  <si>
    <t>CT04瓷砖</t>
  </si>
  <si>
    <t>MT01金属</t>
  </si>
  <si>
    <t>11#</t>
  </si>
  <si>
    <t>地下</t>
  </si>
  <si>
    <t>东单元</t>
  </si>
  <si>
    <t>负一层</t>
  </si>
  <si>
    <t>墙面增加40cm高</t>
  </si>
  <si>
    <t>西单元</t>
  </si>
  <si>
    <t>东西单元</t>
  </si>
  <si>
    <t>西</t>
  </si>
  <si>
    <t>CT1  800*801</t>
  </si>
  <si>
    <t>m3</t>
  </si>
  <si>
    <t>中</t>
  </si>
  <si>
    <t>CT1  800*802</t>
  </si>
  <si>
    <t>m4</t>
  </si>
  <si>
    <t>东</t>
  </si>
  <si>
    <t>东、西单元</t>
  </si>
  <si>
    <t>负一层、二层</t>
  </si>
  <si>
    <t>7#地下一层</t>
  </si>
  <si>
    <t>调整储藏室</t>
  </si>
  <si>
    <t>7#地下二层</t>
  </si>
  <si>
    <t>8#地下一层</t>
  </si>
  <si>
    <t>楼梯平台入口处</t>
  </si>
  <si>
    <t>8#地下2层</t>
  </si>
  <si>
    <t>楼梯间地面</t>
  </si>
  <si>
    <t>10#地下一层</t>
  </si>
  <si>
    <t>侯梯厅、前室、走廊(负一)</t>
  </si>
  <si>
    <t>11#负二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</si>
</sst>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;[Red]0.00"/>
    <numFmt numFmtId="180" formatCode="[DBNum2][$RMB]General;[Red][DBNum2][$RMB]General"/>
    <numFmt numFmtId="181" formatCode="#,##0.00&quot;元&quot;"/>
  </numFmts>
  <fonts count="61">
    <font>
      <sz val="10"/>
      <name val="Arial"/>
      <charset val="1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20"/>
      <name val="Arial"/>
      <charset val="1"/>
    </font>
    <font>
      <sz val="10"/>
      <name val="宋体"/>
      <charset val="134"/>
    </font>
    <font>
      <b/>
      <sz val="10"/>
      <color rgb="FFFF0000"/>
      <name val="Arial"/>
      <charset val="1"/>
    </font>
    <font>
      <sz val="10"/>
      <color rgb="FFFF0000"/>
      <name val="Arial"/>
      <charset val="1"/>
    </font>
    <font>
      <sz val="10"/>
      <color rgb="FFFF0000"/>
      <name val="宋体"/>
      <charset val="1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name val="宋体"/>
      <charset val="1"/>
    </font>
    <font>
      <sz val="20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4"/>
      <name val="宋体"/>
      <charset val="134"/>
      <scheme val="minor"/>
    </font>
    <font>
      <sz val="8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2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14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9" fillId="10" borderId="14" applyNumberFormat="0" applyAlignment="0" applyProtection="0">
      <alignment vertical="center"/>
    </xf>
    <xf numFmtId="0" fontId="50" fillId="11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0" borderId="0">
      <alignment vertical="center"/>
    </xf>
    <xf numFmtId="0" fontId="15" fillId="0" borderId="0">
      <alignment vertical="center"/>
    </xf>
    <xf numFmtId="176" fontId="59" fillId="0" borderId="1">
      <alignment horizontal="right" vertical="center" wrapText="1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0" borderId="0">
      <alignment vertical="center"/>
    </xf>
    <xf numFmtId="176" fontId="59" fillId="0" borderId="1">
      <alignment horizontal="right" vertical="center" wrapText="1"/>
    </xf>
    <xf numFmtId="0" fontId="1" fillId="0" borderId="0">
      <alignment vertical="center"/>
    </xf>
    <xf numFmtId="0" fontId="15" fillId="0" borderId="0"/>
    <xf numFmtId="0" fontId="59" fillId="0" borderId="0" applyProtection="0">
      <alignment vertical="center"/>
    </xf>
    <xf numFmtId="0" fontId="18" fillId="0" borderId="0"/>
  </cellStyleXfs>
  <cellXfs count="26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51" applyFont="1" applyBorder="1" applyAlignment="1">
      <alignment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0" fontId="2" fillId="0" borderId="1" xfId="51" applyFont="1" applyBorder="1" applyAlignment="1">
      <alignment horizontal="left" vertical="center" wrapText="1"/>
    </xf>
    <xf numFmtId="0" fontId="2" fillId="0" borderId="1" xfId="5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 applyProtection="1">
      <alignment horizontal="center" vertical="center" wrapText="1"/>
    </xf>
    <xf numFmtId="0" fontId="2" fillId="0" borderId="2" xfId="5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51" applyFont="1" applyFill="1" applyBorder="1" applyAlignment="1">
      <alignment horizontal="center" vertical="center" wrapText="1"/>
    </xf>
    <xf numFmtId="0" fontId="2" fillId="5" borderId="1" xfId="51" applyFont="1" applyFill="1" applyBorder="1" applyAlignment="1">
      <alignment horizontal="center" vertical="center" wrapText="1"/>
    </xf>
    <xf numFmtId="0" fontId="2" fillId="6" borderId="1" xfId="51" applyFont="1" applyFill="1" applyBorder="1" applyAlignment="1">
      <alignment horizontal="center" vertical="center" wrapText="1"/>
    </xf>
    <xf numFmtId="176" fontId="2" fillId="4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76" fontId="5" fillId="2" borderId="1" xfId="81" applyNumberFormat="1" applyFont="1" applyFill="1" applyBorder="1" applyAlignment="1">
      <alignment horizontal="center" vertical="center" wrapText="1"/>
    </xf>
    <xf numFmtId="176" fontId="5" fillId="3" borderId="1" xfId="81" applyNumberFormat="1" applyFont="1" applyFill="1" applyBorder="1" applyAlignment="1">
      <alignment horizontal="center" vertical="center" wrapText="1"/>
    </xf>
    <xf numFmtId="176" fontId="5" fillId="2" borderId="1" xfId="68" applyNumberFormat="1" applyFont="1" applyFill="1" applyBorder="1" applyAlignment="1" applyProtection="1">
      <alignment horizontal="center" vertical="center" wrapText="1"/>
    </xf>
    <xf numFmtId="176" fontId="5" fillId="3" borderId="1" xfId="81" applyNumberFormat="1" applyFont="1" applyFill="1" applyBorder="1" applyAlignment="1" applyProtection="1">
      <alignment horizontal="center"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176" fontId="5" fillId="4" borderId="1" xfId="81" applyNumberFormat="1" applyFont="1" applyFill="1" applyBorder="1" applyAlignment="1">
      <alignment horizontal="center" vertical="center" wrapText="1"/>
    </xf>
    <xf numFmtId="176" fontId="5" fillId="5" borderId="1" xfId="81" applyNumberFormat="1" applyFont="1" applyFill="1" applyBorder="1" applyAlignment="1">
      <alignment horizontal="center" vertical="center" wrapText="1"/>
    </xf>
    <xf numFmtId="176" fontId="5" fillId="6" borderId="1" xfId="81" applyNumberFormat="1" applyFont="1" applyFill="1" applyBorder="1" applyAlignment="1">
      <alignment horizontal="center" vertical="center" wrapText="1"/>
    </xf>
    <xf numFmtId="176" fontId="5" fillId="2" borderId="1" xfId="81" applyNumberFormat="1" applyFont="1" applyFill="1" applyBorder="1" applyAlignment="1" applyProtection="1">
      <alignment horizontal="center" vertical="center" wrapText="1"/>
    </xf>
    <xf numFmtId="0" fontId="2" fillId="3" borderId="2" xfId="51" applyFont="1" applyFill="1" applyBorder="1" applyAlignment="1">
      <alignment horizontal="center" vertical="center" wrapText="1"/>
    </xf>
    <xf numFmtId="0" fontId="2" fillId="3" borderId="2" xfId="51" applyFont="1" applyFill="1" applyBorder="1" applyAlignment="1">
      <alignment vertical="center" wrapText="1"/>
    </xf>
    <xf numFmtId="0" fontId="2" fillId="3" borderId="1" xfId="5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4" xfId="51" applyFont="1" applyFill="1" applyBorder="1" applyAlignment="1">
      <alignment horizontal="center" vertical="center" wrapText="1"/>
    </xf>
    <xf numFmtId="0" fontId="2" fillId="3" borderId="1" xfId="51" applyFont="1" applyFill="1" applyBorder="1" applyAlignment="1">
      <alignment horizontal="left" vertical="center" wrapText="1"/>
    </xf>
    <xf numFmtId="176" fontId="5" fillId="3" borderId="1" xfId="51" applyNumberFormat="1" applyFont="1" applyFill="1" applyBorder="1" applyAlignment="1" applyProtection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7" fillId="0" borderId="1" xfId="0" applyFont="1" applyBorder="1"/>
    <xf numFmtId="0" fontId="0" fillId="0" borderId="1" xfId="0" applyBorder="1"/>
    <xf numFmtId="0" fontId="0" fillId="7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0" fillId="7" borderId="1" xfId="0" applyFont="1" applyFill="1" applyBorder="1" applyAlignment="1">
      <alignment wrapText="1"/>
    </xf>
    <xf numFmtId="0" fontId="0" fillId="0" borderId="1" xfId="0" applyFill="1" applyBorder="1"/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0" fillId="7" borderId="1" xfId="0" applyFill="1" applyBorder="1"/>
    <xf numFmtId="0" fontId="12" fillId="0" borderId="1" xfId="0" applyFont="1" applyFill="1" applyBorder="1"/>
    <xf numFmtId="0" fontId="0" fillId="0" borderId="1" xfId="0" applyFont="1" applyFill="1" applyBorder="1"/>
    <xf numFmtId="0" fontId="7" fillId="0" borderId="1" xfId="0" applyFont="1" applyFill="1" applyBorder="1"/>
    <xf numFmtId="0" fontId="9" fillId="0" borderId="0" xfId="0" applyFont="1" applyFill="1"/>
    <xf numFmtId="0" fontId="9" fillId="0" borderId="0" xfId="0" applyFont="1"/>
    <xf numFmtId="0" fontId="10" fillId="0" borderId="0" xfId="0" applyFont="1" applyFill="1"/>
    <xf numFmtId="0" fontId="13" fillId="0" borderId="0" xfId="0" applyFont="1" applyFill="1"/>
    <xf numFmtId="0" fontId="10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1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176" fontId="16" fillId="3" borderId="0" xfId="0" applyNumberFormat="1" applyFont="1" applyFill="1" applyAlignment="1">
      <alignment horizontal="center" vertical="center"/>
    </xf>
    <xf numFmtId="0" fontId="17" fillId="3" borderId="0" xfId="0" applyNumberFormat="1" applyFont="1" applyFill="1" applyBorder="1" applyAlignment="1" applyProtection="1">
      <alignment horizontal="center" vertical="center" wrapText="1"/>
    </xf>
    <xf numFmtId="0" fontId="17" fillId="3" borderId="0" xfId="0" applyNumberFormat="1" applyFont="1" applyFill="1" applyBorder="1" applyAlignment="1" applyProtection="1">
      <alignment horizontal="left" vertical="center" wrapText="1"/>
    </xf>
    <xf numFmtId="176" fontId="17" fillId="3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5" fillId="3" borderId="1" xfId="68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176" fontId="5" fillId="7" borderId="1" xfId="0" applyNumberFormat="1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7" borderId="1" xfId="0" applyFont="1" applyFill="1" applyBorder="1" applyAlignment="1" applyProtection="1">
      <alignment horizontal="left" vertical="center" wrapText="1"/>
    </xf>
    <xf numFmtId="0" fontId="5" fillId="3" borderId="1" xfId="68" applyNumberFormat="1" applyFont="1" applyFill="1" applyBorder="1" applyAlignment="1" applyProtection="1">
      <alignment horizontal="center" vertical="center" wrapText="1"/>
    </xf>
    <xf numFmtId="0" fontId="5" fillId="3" borderId="1" xfId="68" applyFont="1" applyFill="1" applyBorder="1" applyAlignment="1" applyProtection="1">
      <alignment horizontal="center" vertical="center" wrapText="1"/>
    </xf>
    <xf numFmtId="176" fontId="5" fillId="3" borderId="1" xfId="68" applyNumberFormat="1" applyFont="1" applyFill="1" applyBorder="1" applyAlignment="1" applyProtection="1">
      <alignment horizontal="center" vertical="center" wrapText="1"/>
    </xf>
    <xf numFmtId="176" fontId="5" fillId="3" borderId="1" xfId="68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/>
    </xf>
    <xf numFmtId="0" fontId="0" fillId="3" borderId="1" xfId="0" applyFont="1" applyFill="1" applyBorder="1"/>
    <xf numFmtId="10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7" fillId="3" borderId="0" xfId="68" applyNumberFormat="1" applyFont="1" applyFill="1" applyBorder="1" applyAlignment="1" applyProtection="1">
      <alignment horizontal="center" vertical="center" wrapText="1"/>
    </xf>
    <xf numFmtId="0" fontId="17" fillId="3" borderId="0" xfId="68" applyNumberFormat="1" applyFont="1" applyFill="1" applyBorder="1" applyAlignment="1" applyProtection="1">
      <alignment horizontal="left" vertical="center" wrapText="1"/>
    </xf>
    <xf numFmtId="176" fontId="17" fillId="3" borderId="0" xfId="68" applyNumberFormat="1" applyFont="1" applyFill="1" applyBorder="1" applyAlignment="1" applyProtection="1">
      <alignment horizontal="center" vertical="center" wrapText="1"/>
    </xf>
    <xf numFmtId="176" fontId="5" fillId="3" borderId="1" xfId="0" applyNumberFormat="1" applyFont="1" applyFill="1" applyBorder="1" applyAlignment="1">
      <alignment vertical="center" wrapText="1"/>
    </xf>
    <xf numFmtId="0" fontId="5" fillId="3" borderId="5" xfId="68" applyNumberFormat="1" applyFont="1" applyFill="1" applyBorder="1" applyAlignment="1" applyProtection="1">
      <alignment horizontal="left" vertical="center" wrapText="1"/>
    </xf>
    <xf numFmtId="0" fontId="5" fillId="3" borderId="6" xfId="68" applyNumberFormat="1" applyFont="1" applyFill="1" applyBorder="1" applyAlignment="1" applyProtection="1">
      <alignment horizontal="left" vertical="center" wrapText="1"/>
    </xf>
    <xf numFmtId="0" fontId="5" fillId="3" borderId="1" xfId="68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center" vertical="center"/>
    </xf>
    <xf numFmtId="0" fontId="5" fillId="3" borderId="1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76" fontId="21" fillId="0" borderId="0" xfId="0" applyNumberFormat="1" applyFont="1" applyFill="1" applyAlignment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76" fontId="5" fillId="0" borderId="3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76" fontId="7" fillId="3" borderId="0" xfId="0" applyNumberFormat="1" applyFont="1" applyFill="1" applyAlignment="1">
      <alignment horizontal="center" vertical="center"/>
    </xf>
    <xf numFmtId="0" fontId="23" fillId="3" borderId="0" xfId="0" applyNumberFormat="1" applyFont="1" applyFill="1" applyBorder="1" applyAlignment="1" applyProtection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 wrapText="1"/>
    </xf>
    <xf numFmtId="176" fontId="23" fillId="3" borderId="0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176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68" applyNumberFormat="1" applyFont="1" applyFill="1" applyBorder="1" applyAlignment="1" applyProtection="1">
      <alignment horizontal="center" vertical="center" wrapText="1"/>
    </xf>
    <xf numFmtId="0" fontId="7" fillId="3" borderId="1" xfId="68" applyNumberFormat="1" applyFont="1" applyFill="1" applyBorder="1" applyAlignment="1" applyProtection="1">
      <alignment horizontal="left" vertical="center" wrapText="1"/>
    </xf>
    <xf numFmtId="176" fontId="7" fillId="3" borderId="1" xfId="68" applyNumberFormat="1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68" applyFont="1" applyFill="1" applyBorder="1" applyAlignment="1">
      <alignment horizontal="center" vertical="center"/>
    </xf>
    <xf numFmtId="0" fontId="7" fillId="3" borderId="1" xfId="68" applyFont="1" applyFill="1" applyBorder="1" applyAlignment="1">
      <alignment vertical="center" wrapText="1"/>
    </xf>
    <xf numFmtId="0" fontId="7" fillId="2" borderId="1" xfId="68" applyNumberFormat="1" applyFont="1" applyFill="1" applyBorder="1" applyAlignment="1" applyProtection="1">
      <alignment horizontal="center" vertical="center" wrapText="1"/>
    </xf>
    <xf numFmtId="0" fontId="7" fillId="2" borderId="1" xfId="68" applyNumberFormat="1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76" fontId="7" fillId="3" borderId="1" xfId="68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23" fillId="3" borderId="0" xfId="0" applyFont="1" applyFill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176" fontId="27" fillId="3" borderId="1" xfId="0" applyNumberFormat="1" applyFont="1" applyFill="1" applyBorder="1" applyAlignment="1">
      <alignment horizontal="center" vertical="center" wrapText="1"/>
    </xf>
    <xf numFmtId="176" fontId="26" fillId="3" borderId="1" xfId="0" applyNumberFormat="1" applyFont="1" applyFill="1" applyBorder="1" applyAlignment="1">
      <alignment horizontal="center" vertical="center"/>
    </xf>
    <xf numFmtId="176" fontId="2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8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68" applyFont="1" applyFill="1" applyBorder="1" applyAlignment="1" applyProtection="1">
      <alignment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80" fontId="15" fillId="0" borderId="0" xfId="0" applyNumberFormat="1" applyFont="1" applyFill="1" applyAlignment="1">
      <alignment vertical="center"/>
    </xf>
    <xf numFmtId="180" fontId="15" fillId="0" borderId="0" xfId="0" applyNumberFormat="1" applyFont="1" applyFill="1" applyAlignment="1">
      <alignment horizontal="center" vertical="center"/>
    </xf>
    <xf numFmtId="180" fontId="29" fillId="0" borderId="0" xfId="0" applyNumberFormat="1" applyFont="1" applyFill="1" applyAlignment="1">
      <alignment horizontal="center" vertical="center" wrapText="1"/>
    </xf>
    <xf numFmtId="180" fontId="30" fillId="0" borderId="0" xfId="0" applyNumberFormat="1" applyFont="1" applyFill="1" applyAlignment="1">
      <alignment horizontal="left" vertical="center" wrapText="1"/>
    </xf>
    <xf numFmtId="180" fontId="30" fillId="0" borderId="0" xfId="0" applyNumberFormat="1" applyFont="1" applyFill="1" applyBorder="1" applyAlignment="1">
      <alignment horizontal="left" vertical="center" wrapText="1"/>
    </xf>
    <xf numFmtId="180" fontId="31" fillId="0" borderId="1" xfId="0" applyNumberFormat="1" applyFont="1" applyFill="1" applyBorder="1" applyAlignment="1">
      <alignment horizontal="center" vertical="center" wrapText="1"/>
    </xf>
    <xf numFmtId="180" fontId="32" fillId="0" borderId="1" xfId="0" applyNumberFormat="1" applyFont="1" applyFill="1" applyBorder="1" applyAlignment="1">
      <alignment horizontal="center" vertical="center" wrapText="1"/>
    </xf>
    <xf numFmtId="180" fontId="32" fillId="0" borderId="1" xfId="0" applyNumberFormat="1" applyFont="1" applyFill="1" applyBorder="1" applyAlignment="1">
      <alignment horizontal="justify" vertical="top" wrapText="1"/>
    </xf>
    <xf numFmtId="176" fontId="33" fillId="0" borderId="1" xfId="0" applyNumberFormat="1" applyFont="1" applyFill="1" applyBorder="1" applyAlignment="1">
      <alignment horizontal="justify" vertical="top" wrapText="1"/>
    </xf>
    <xf numFmtId="176" fontId="33" fillId="0" borderId="1" xfId="0" applyNumberFormat="1" applyFont="1" applyFill="1" applyBorder="1" applyAlignment="1">
      <alignment horizontal="center" vertical="top" wrapText="1"/>
    </xf>
    <xf numFmtId="180" fontId="33" fillId="0" borderId="1" xfId="0" applyNumberFormat="1" applyFont="1" applyFill="1" applyBorder="1" applyAlignment="1">
      <alignment horizontal="justify" vertical="top" wrapText="1"/>
    </xf>
    <xf numFmtId="181" fontId="33" fillId="0" borderId="1" xfId="0" applyNumberFormat="1" applyFont="1" applyFill="1" applyBorder="1" applyAlignment="1">
      <alignment horizontal="justify" vertical="top" wrapText="1"/>
    </xf>
    <xf numFmtId="180" fontId="30" fillId="0" borderId="1" xfId="0" applyNumberFormat="1" applyFont="1" applyFill="1" applyBorder="1" applyAlignment="1">
      <alignment horizontal="left" vertical="top" wrapText="1"/>
    </xf>
    <xf numFmtId="180" fontId="34" fillId="0" borderId="0" xfId="0" applyNumberFormat="1" applyFont="1" applyFill="1" applyAlignment="1">
      <alignment vertical="center" wrapText="1"/>
    </xf>
    <xf numFmtId="180" fontId="35" fillId="0" borderId="0" xfId="0" applyNumberFormat="1" applyFont="1" applyFill="1" applyAlignment="1">
      <alignment horizontal="left" vertical="center"/>
    </xf>
    <xf numFmtId="180" fontId="32" fillId="0" borderId="0" xfId="0" applyNumberFormat="1" applyFont="1" applyFill="1" applyAlignment="1">
      <alignment horizontal="justify" vertical="center"/>
    </xf>
    <xf numFmtId="180" fontId="32" fillId="0" borderId="0" xfId="0" applyNumberFormat="1" applyFont="1" applyFill="1" applyAlignment="1">
      <alignment horizontal="left" vertical="center" wrapText="1"/>
    </xf>
    <xf numFmtId="180" fontId="7" fillId="0" borderId="0" xfId="0" applyNumberFormat="1" applyFont="1" applyFill="1" applyAlignment="1">
      <alignment vertical="center"/>
    </xf>
    <xf numFmtId="180" fontId="36" fillId="0" borderId="0" xfId="0" applyNumberFormat="1" applyFont="1" applyFill="1" applyBorder="1" applyAlignment="1">
      <alignment vertical="center"/>
    </xf>
    <xf numFmtId="180" fontId="36" fillId="0" borderId="0" xfId="0" applyNumberFormat="1" applyFont="1" applyFill="1" applyAlignment="1">
      <alignment vertical="center"/>
    </xf>
    <xf numFmtId="180" fontId="37" fillId="0" borderId="0" xfId="0" applyNumberFormat="1" applyFont="1" applyFill="1" applyAlignment="1">
      <alignment vertical="center"/>
    </xf>
    <xf numFmtId="180" fontId="15" fillId="0" borderId="0" xfId="0" applyNumberFormat="1" applyFont="1" applyFill="1" applyAlignment="1">
      <alignment horizontal="center" vertical="center" wrapText="1"/>
    </xf>
    <xf numFmtId="180" fontId="15" fillId="0" borderId="0" xfId="0" applyNumberFormat="1" applyFont="1" applyFill="1" applyAlignment="1">
      <alignment vertical="center" wrapText="1"/>
    </xf>
    <xf numFmtId="180" fontId="15" fillId="0" borderId="0" xfId="0" applyNumberFormat="1" applyFont="1" applyFill="1" applyAlignment="1">
      <alignment horizontal="left" vertical="center" wrapText="1"/>
    </xf>
    <xf numFmtId="180" fontId="38" fillId="0" borderId="0" xfId="0" applyNumberFormat="1" applyFont="1" applyFill="1" applyAlignment="1">
      <alignment horizontal="center" vertical="center" wrapText="1"/>
    </xf>
    <xf numFmtId="180" fontId="38" fillId="0" borderId="0" xfId="0" applyNumberFormat="1" applyFont="1" applyFill="1" applyAlignment="1">
      <alignment vertical="center" wrapText="1"/>
    </xf>
    <xf numFmtId="180" fontId="38" fillId="0" borderId="1" xfId="0" applyNumberFormat="1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180" fontId="1" fillId="0" borderId="1" xfId="22" applyNumberFormat="1" applyFont="1" applyFill="1" applyBorder="1" applyAlignment="1">
      <alignment vertical="center" wrapText="1"/>
    </xf>
    <xf numFmtId="180" fontId="1" fillId="0" borderId="1" xfId="22" applyNumberFormat="1" applyFont="1" applyFill="1" applyBorder="1" applyAlignment="1">
      <alignment horizontal="center" vertical="center" wrapText="1"/>
    </xf>
    <xf numFmtId="180" fontId="7" fillId="0" borderId="0" xfId="0" applyNumberFormat="1" applyFont="1" applyFill="1" applyAlignment="1">
      <alignment vertical="center" wrapText="1"/>
    </xf>
    <xf numFmtId="180" fontId="12" fillId="0" borderId="0" xfId="0" applyNumberFormat="1" applyFont="1" applyFill="1" applyAlignment="1">
      <alignment vertical="center" wrapText="1"/>
    </xf>
    <xf numFmtId="180" fontId="12" fillId="0" borderId="0" xfId="0" applyNumberFormat="1" applyFont="1" applyFill="1" applyBorder="1" applyAlignment="1">
      <alignment vertical="center" wrapText="1"/>
    </xf>
    <xf numFmtId="180" fontId="15" fillId="0" borderId="1" xfId="0" applyNumberFormat="1" applyFont="1" applyFill="1" applyBorder="1" applyAlignment="1">
      <alignment horizontal="left" vertical="top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3232 2 2" xfId="50"/>
    <cellStyle name="常规 5 2" xfId="51"/>
    <cellStyle name="常规 3 2 2" xfId="52"/>
    <cellStyle name="常规 5 2 2" xfId="53"/>
    <cellStyle name="3232 2" xfId="54"/>
    <cellStyle name="3232 3" xfId="55"/>
    <cellStyle name="常规 3 2" xfId="56"/>
    <cellStyle name="常规 3 3" xfId="57"/>
    <cellStyle name="常规 53 2" xfId="58"/>
    <cellStyle name="常规 3 4" xfId="59"/>
    <cellStyle name="常规 53 3" xfId="60"/>
    <cellStyle name="3232" xfId="61"/>
    <cellStyle name="常规 2" xfId="62"/>
    <cellStyle name="常规 3" xfId="63"/>
    <cellStyle name="表体数字 3 2 6 5 3 2" xfId="64"/>
    <cellStyle name="常规 3 2 2 2" xfId="65"/>
    <cellStyle name="常规 3 2 3" xfId="66"/>
    <cellStyle name="常规 3 3 2" xfId="67"/>
    <cellStyle name="常规 4" xfId="68"/>
    <cellStyle name="常规 5" xfId="69"/>
    <cellStyle name="常规 5 3" xfId="70"/>
    <cellStyle name="常规 53" xfId="71"/>
    <cellStyle name="常规 53 2 2" xfId="72"/>
    <cellStyle name="常规 7" xfId="73"/>
    <cellStyle name="常规 7 2" xfId="74"/>
    <cellStyle name="常规 7 2 2" xfId="75"/>
    <cellStyle name="常规 10" xfId="76"/>
    <cellStyle name="表体数字 3 2 6 6" xfId="77"/>
    <cellStyle name="常规 144 4" xfId="78"/>
    <cellStyle name="常规 11" xfId="79"/>
    <cellStyle name="?餑_x005f_x005f_x005f_x000c_睨_x005f_x005f_x005f_x0017__x005f_x005f_x005f_x000d_帼U_x005f_x005f_x005f_x0001_0_x005f_x005f_x005f_x0005_j'_x005f_x005f_x005f_x0007__x005f_x005f_x005f_x0001__x005f_x005f_x005f_x0001_ 3" xfId="80"/>
    <cellStyle name="常规 6" xfId="81"/>
  </cellStyles>
  <dxfs count="1">
    <dxf>
      <font>
        <b val="0"/>
        <i val="0"/>
        <strike val="0"/>
        <u val="none"/>
        <sz val="12"/>
        <color theme="0"/>
      </font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86;&#24029;&#39033;&#30446;\&#32467;&#31639;\s1&#22320;&#22359;&#32467;&#31639;\20#&#27004;&#26679;&#26495;&#38388;&#32467;&#31639;\2024.4.1&#23665;&#27700;&#25991;&#33489;S1&#22320;&#22359;20&#21495;&#27004;&#19996;&#21333;&#20803;&#31934;&#35013;&#26679;&#26495;&#38388;&#32467;&#31639;&#65288;&#19987;&#2623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-11#&#20844;&#21306;&#31934;&#35013;&#32467;&#31639;\&#32467;&#31639;&#36164;&#26009;\&#22359;&#26009;&#38754;&#23618;-&#23665;&#27700;&#25991;&#33489;S1&#22320;&#22359;-1-3&#21495;&#27004;&#12289;5-11&#21495;&#27004;&#35745;&#31639;&#24037;&#31243;&#3732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汇总表"/>
      <sheetName val="结算明细表"/>
      <sheetName val="户内精装修"/>
      <sheetName val="安装清单（结算）"/>
      <sheetName val="安装清单 (合同)"/>
      <sheetName val="计算底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标准层及地下"/>
      <sheetName val="Sheet2"/>
    </sheetNames>
    <sheetDataSet>
      <sheetData sheetId="0" refreshError="1">
        <row r="4">
          <cell r="J4">
            <v>43.75</v>
          </cell>
        </row>
        <row r="5">
          <cell r="J5">
            <v>69.888</v>
          </cell>
        </row>
        <row r="11">
          <cell r="J11">
            <v>387.52</v>
          </cell>
        </row>
        <row r="13">
          <cell r="J13">
            <v>58.5</v>
          </cell>
        </row>
        <row r="14">
          <cell r="J14">
            <v>21.63</v>
          </cell>
        </row>
        <row r="15">
          <cell r="J15">
            <v>89.856</v>
          </cell>
        </row>
        <row r="16">
          <cell r="J16">
            <v>14.148</v>
          </cell>
        </row>
        <row r="22">
          <cell r="J22">
            <v>294.42</v>
          </cell>
        </row>
        <row r="24">
          <cell r="J24">
            <v>58.5</v>
          </cell>
        </row>
        <row r="25">
          <cell r="J25">
            <v>21.63</v>
          </cell>
        </row>
        <row r="26">
          <cell r="J26">
            <v>89.856</v>
          </cell>
        </row>
        <row r="27">
          <cell r="J27">
            <v>14.148</v>
          </cell>
        </row>
        <row r="33">
          <cell r="J33">
            <v>294.42</v>
          </cell>
        </row>
        <row r="35">
          <cell r="J35">
            <v>43.75</v>
          </cell>
        </row>
        <row r="36">
          <cell r="J36">
            <v>69.888</v>
          </cell>
        </row>
        <row r="42">
          <cell r="J42">
            <v>387.52</v>
          </cell>
        </row>
        <row r="44">
          <cell r="J44">
            <v>50</v>
          </cell>
        </row>
        <row r="45">
          <cell r="J45">
            <v>79.872</v>
          </cell>
        </row>
        <row r="51">
          <cell r="J51">
            <v>442.88</v>
          </cell>
        </row>
        <row r="53">
          <cell r="J53">
            <v>43.75</v>
          </cell>
        </row>
        <row r="54">
          <cell r="J54">
            <v>70</v>
          </cell>
        </row>
        <row r="59">
          <cell r="J59">
            <v>196.84</v>
          </cell>
        </row>
        <row r="62">
          <cell r="J62">
            <v>45.85</v>
          </cell>
        </row>
        <row r="63">
          <cell r="J63">
            <v>69.888</v>
          </cell>
        </row>
        <row r="69">
          <cell r="J69">
            <v>117.6</v>
          </cell>
        </row>
        <row r="71">
          <cell r="J71">
            <v>50</v>
          </cell>
        </row>
        <row r="72">
          <cell r="J72">
            <v>79.872</v>
          </cell>
        </row>
        <row r="78">
          <cell r="J78">
            <v>442.88</v>
          </cell>
        </row>
        <row r="80">
          <cell r="J80">
            <v>45.85</v>
          </cell>
        </row>
        <row r="81">
          <cell r="J81">
            <v>69.888</v>
          </cell>
        </row>
        <row r="87">
          <cell r="J87">
            <v>117.6</v>
          </cell>
        </row>
        <row r="89">
          <cell r="J89">
            <v>50</v>
          </cell>
        </row>
        <row r="90">
          <cell r="J90">
            <v>79.872</v>
          </cell>
        </row>
        <row r="96">
          <cell r="J96">
            <v>442.88</v>
          </cell>
        </row>
        <row r="100">
          <cell r="J100">
            <v>10.113</v>
          </cell>
        </row>
        <row r="101">
          <cell r="J101">
            <v>7.8</v>
          </cell>
        </row>
        <row r="110">
          <cell r="J110">
            <v>10.113</v>
          </cell>
        </row>
        <row r="111">
          <cell r="J111">
            <v>7.8</v>
          </cell>
        </row>
        <row r="120">
          <cell r="J120">
            <v>23.703</v>
          </cell>
        </row>
        <row r="121">
          <cell r="J121">
            <v>24.336</v>
          </cell>
        </row>
        <row r="130">
          <cell r="J130">
            <v>23.703</v>
          </cell>
        </row>
        <row r="131">
          <cell r="J131">
            <v>24.336</v>
          </cell>
        </row>
        <row r="146">
          <cell r="J146">
            <v>3</v>
          </cell>
        </row>
        <row r="147">
          <cell r="J147">
            <v>10.608</v>
          </cell>
        </row>
        <row r="153">
          <cell r="J153">
            <v>46</v>
          </cell>
        </row>
        <row r="156">
          <cell r="J156">
            <v>31.8</v>
          </cell>
        </row>
        <row r="157">
          <cell r="J157">
            <v>26.304</v>
          </cell>
        </row>
        <row r="163">
          <cell r="J163">
            <v>62.94</v>
          </cell>
        </row>
        <row r="165">
          <cell r="J165">
            <v>33.1</v>
          </cell>
        </row>
        <row r="166">
          <cell r="J166">
            <v>25.584</v>
          </cell>
        </row>
        <row r="172">
          <cell r="J172">
            <v>45</v>
          </cell>
        </row>
        <row r="174">
          <cell r="J174">
            <v>0</v>
          </cell>
        </row>
        <row r="175">
          <cell r="J175">
            <v>0</v>
          </cell>
        </row>
        <row r="183">
          <cell r="J183">
            <v>31.55</v>
          </cell>
        </row>
        <row r="184">
          <cell r="J184">
            <v>4.6</v>
          </cell>
        </row>
        <row r="185">
          <cell r="J185">
            <v>25.584</v>
          </cell>
        </row>
        <row r="190">
          <cell r="J190">
            <v>30.398</v>
          </cell>
        </row>
        <row r="192">
          <cell r="J192">
            <v>0</v>
          </cell>
        </row>
        <row r="193">
          <cell r="J193">
            <v>0</v>
          </cell>
        </row>
        <row r="203">
          <cell r="J203">
            <v>20.226</v>
          </cell>
        </row>
        <row r="204">
          <cell r="J204">
            <v>15.6</v>
          </cell>
        </row>
        <row r="212">
          <cell r="J212">
            <v>31.95</v>
          </cell>
        </row>
        <row r="213">
          <cell r="J213">
            <v>4.6</v>
          </cell>
        </row>
        <row r="214">
          <cell r="J214">
            <v>18.8448</v>
          </cell>
        </row>
        <row r="223">
          <cell r="J223">
            <v>31.8</v>
          </cell>
        </row>
        <row r="224">
          <cell r="J224">
            <v>26.832</v>
          </cell>
        </row>
        <row r="229">
          <cell r="J229">
            <v>41.378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B8" sqref="B8"/>
    </sheetView>
  </sheetViews>
  <sheetFormatPr defaultColWidth="10.2857142857143" defaultRowHeight="14.25" outlineLevelCol="6"/>
  <cols>
    <col min="1" max="1" width="5.57142857142857" style="249" customWidth="1"/>
    <col min="2" max="2" width="44.8571428571429" style="250" customWidth="1"/>
    <col min="3" max="3" width="10.1428571428571" style="249" customWidth="1"/>
    <col min="4" max="4" width="11" style="249" customWidth="1"/>
    <col min="5" max="5" width="9" style="250" customWidth="1"/>
    <col min="6" max="6" width="7.42857142857143" style="251" customWidth="1"/>
    <col min="7" max="7" width="9.71428571428571" style="250" customWidth="1"/>
    <col min="8" max="8" width="13.4285714285714" style="228"/>
    <col min="9" max="16384" width="10.2857142857143" style="228"/>
  </cols>
  <sheetData>
    <row r="1" s="228" customFormat="1" ht="45" customHeight="1" spans="1:7">
      <c r="A1" s="252" t="s">
        <v>0</v>
      </c>
      <c r="B1" s="252"/>
      <c r="C1" s="252"/>
      <c r="D1" s="252"/>
      <c r="E1" s="252"/>
      <c r="F1" s="252"/>
      <c r="G1" s="253"/>
    </row>
    <row r="2" s="228" customFormat="1" ht="39" customHeight="1" spans="1:7">
      <c r="A2" s="254" t="s">
        <v>1</v>
      </c>
      <c r="B2" s="254" t="s">
        <v>2</v>
      </c>
      <c r="C2" s="254" t="s">
        <v>3</v>
      </c>
      <c r="D2" s="254" t="s">
        <v>4</v>
      </c>
      <c r="E2" s="254" t="s">
        <v>5</v>
      </c>
      <c r="F2" s="254" t="s">
        <v>6</v>
      </c>
      <c r="G2" s="250"/>
    </row>
    <row r="3" s="245" customFormat="1" ht="40.5" spans="1:7">
      <c r="A3" s="255">
        <v>1</v>
      </c>
      <c r="B3" s="256" t="s">
        <v>7</v>
      </c>
      <c r="C3" s="257" t="s">
        <v>8</v>
      </c>
      <c r="D3" s="257" t="s">
        <v>9</v>
      </c>
      <c r="E3" s="256" t="s">
        <v>10</v>
      </c>
      <c r="F3" s="256"/>
      <c r="G3" s="258"/>
    </row>
    <row r="4" s="245" customFormat="1" ht="27" customHeight="1" spans="1:7">
      <c r="A4" s="255">
        <v>2</v>
      </c>
      <c r="B4" s="256" t="s">
        <v>11</v>
      </c>
      <c r="C4" s="257" t="s">
        <v>8</v>
      </c>
      <c r="D4" s="257" t="s">
        <v>12</v>
      </c>
      <c r="E4" s="256" t="s">
        <v>10</v>
      </c>
      <c r="F4" s="256"/>
      <c r="G4" s="258"/>
    </row>
    <row r="5" s="245" customFormat="1" ht="27" customHeight="1" spans="1:7">
      <c r="A5" s="255">
        <v>3</v>
      </c>
      <c r="B5" s="256" t="s">
        <v>13</v>
      </c>
      <c r="C5" s="257" t="s">
        <v>8</v>
      </c>
      <c r="D5" s="257" t="s">
        <v>14</v>
      </c>
      <c r="E5" s="256" t="s">
        <v>10</v>
      </c>
      <c r="F5" s="256"/>
      <c r="G5" s="258"/>
    </row>
    <row r="6" s="245" customFormat="1" ht="27" customHeight="1" spans="1:7">
      <c r="A6" s="255">
        <v>4</v>
      </c>
      <c r="B6" s="256" t="s">
        <v>15</v>
      </c>
      <c r="C6" s="257" t="s">
        <v>8</v>
      </c>
      <c r="D6" s="257" t="s">
        <v>16</v>
      </c>
      <c r="E6" s="256" t="s">
        <v>10</v>
      </c>
      <c r="F6" s="256"/>
      <c r="G6" s="258"/>
    </row>
    <row r="7" s="245" customFormat="1" ht="27" customHeight="1" spans="1:7">
      <c r="A7" s="255">
        <v>5</v>
      </c>
      <c r="B7" s="256" t="s">
        <v>17</v>
      </c>
      <c r="C7" s="257" t="s">
        <v>18</v>
      </c>
      <c r="D7" s="257" t="s">
        <v>19</v>
      </c>
      <c r="E7" s="256" t="s">
        <v>10</v>
      </c>
      <c r="F7" s="256"/>
      <c r="G7" s="258"/>
    </row>
    <row r="8" s="245" customFormat="1" ht="32.1" customHeight="1" spans="1:7">
      <c r="A8" s="255">
        <v>6</v>
      </c>
      <c r="B8" s="256" t="s">
        <v>20</v>
      </c>
      <c r="C8" s="257" t="s">
        <v>8</v>
      </c>
      <c r="D8" s="257" t="s">
        <v>21</v>
      </c>
      <c r="E8" s="256" t="s">
        <v>10</v>
      </c>
      <c r="F8" s="256"/>
      <c r="G8" s="259"/>
    </row>
    <row r="9" s="245" customFormat="1" ht="32.1" customHeight="1" spans="1:7">
      <c r="A9" s="255">
        <v>7</v>
      </c>
      <c r="B9" s="256" t="s">
        <v>22</v>
      </c>
      <c r="C9" s="257" t="s">
        <v>8</v>
      </c>
      <c r="D9" s="257" t="s">
        <v>23</v>
      </c>
      <c r="E9" s="256" t="s">
        <v>10</v>
      </c>
      <c r="F9" s="256"/>
      <c r="G9" s="259"/>
    </row>
    <row r="10" s="246" customFormat="1" ht="32.1" customHeight="1" spans="1:7">
      <c r="A10" s="255">
        <v>8</v>
      </c>
      <c r="B10" s="256" t="s">
        <v>24</v>
      </c>
      <c r="C10" s="257" t="s">
        <v>8</v>
      </c>
      <c r="D10" s="257" t="s">
        <v>25</v>
      </c>
      <c r="E10" s="256" t="s">
        <v>10</v>
      </c>
      <c r="F10" s="256"/>
      <c r="G10" s="260"/>
    </row>
    <row r="11" s="247" customFormat="1" ht="32.1" customHeight="1" spans="1:7">
      <c r="A11" s="255">
        <v>9</v>
      </c>
      <c r="B11" s="256" t="s">
        <v>26</v>
      </c>
      <c r="C11" s="257" t="s">
        <v>27</v>
      </c>
      <c r="D11" s="257" t="s">
        <v>28</v>
      </c>
      <c r="E11" s="256" t="s">
        <v>10</v>
      </c>
      <c r="F11" s="256"/>
      <c r="G11" s="259"/>
    </row>
    <row r="12" s="247" customFormat="1" ht="32.1" customHeight="1" spans="1:7">
      <c r="A12" s="255">
        <v>10</v>
      </c>
      <c r="B12" s="256" t="s">
        <v>29</v>
      </c>
      <c r="C12" s="257" t="s">
        <v>27</v>
      </c>
      <c r="D12" s="257" t="s">
        <v>30</v>
      </c>
      <c r="E12" s="256" t="s">
        <v>10</v>
      </c>
      <c r="F12" s="256"/>
      <c r="G12" s="259"/>
    </row>
    <row r="13" s="247" customFormat="1" ht="32.1" customHeight="1" spans="1:7">
      <c r="A13" s="255">
        <v>11</v>
      </c>
      <c r="B13" s="256" t="s">
        <v>31</v>
      </c>
      <c r="C13" s="257" t="s">
        <v>8</v>
      </c>
      <c r="D13" s="257" t="s">
        <v>32</v>
      </c>
      <c r="E13" s="256" t="s">
        <v>10</v>
      </c>
      <c r="F13" s="256"/>
      <c r="G13" s="259"/>
    </row>
    <row r="14" s="247" customFormat="1" ht="32.1" customHeight="1" spans="1:7">
      <c r="A14" s="255">
        <v>12</v>
      </c>
      <c r="B14" s="256" t="s">
        <v>33</v>
      </c>
      <c r="C14" s="257" t="s">
        <v>27</v>
      </c>
      <c r="D14" s="257" t="s">
        <v>34</v>
      </c>
      <c r="E14" s="256" t="s">
        <v>10</v>
      </c>
      <c r="F14" s="256"/>
      <c r="G14" s="259"/>
    </row>
    <row r="15" s="247" customFormat="1" ht="32.1" customHeight="1" spans="1:7">
      <c r="A15" s="255">
        <v>13</v>
      </c>
      <c r="B15" s="256" t="s">
        <v>35</v>
      </c>
      <c r="C15" s="257" t="s">
        <v>8</v>
      </c>
      <c r="D15" s="257" t="s">
        <v>36</v>
      </c>
      <c r="E15" s="256" t="s">
        <v>10</v>
      </c>
      <c r="F15" s="256"/>
      <c r="G15" s="259"/>
    </row>
    <row r="16" s="247" customFormat="1" ht="32.1" customHeight="1" spans="1:7">
      <c r="A16" s="255">
        <v>14</v>
      </c>
      <c r="B16" s="256" t="s">
        <v>37</v>
      </c>
      <c r="C16" s="257" t="s">
        <v>38</v>
      </c>
      <c r="D16" s="257" t="s">
        <v>39</v>
      </c>
      <c r="E16" s="256" t="s">
        <v>10</v>
      </c>
      <c r="F16" s="256"/>
      <c r="G16" s="259"/>
    </row>
    <row r="17" s="248" customFormat="1" ht="52" customHeight="1" spans="1:7">
      <c r="A17" s="255">
        <v>15</v>
      </c>
      <c r="B17" s="256" t="s">
        <v>40</v>
      </c>
      <c r="C17" s="257" t="s">
        <v>41</v>
      </c>
      <c r="D17" s="257" t="s">
        <v>42</v>
      </c>
      <c r="E17" s="256" t="s">
        <v>10</v>
      </c>
      <c r="F17" s="256"/>
      <c r="G17" s="259"/>
    </row>
    <row r="18" s="248" customFormat="1" ht="21" customHeight="1" spans="1:7">
      <c r="A18" s="255">
        <v>16</v>
      </c>
      <c r="B18" s="256" t="s">
        <v>43</v>
      </c>
      <c r="C18" s="257" t="s">
        <v>8</v>
      </c>
      <c r="D18" s="257" t="s">
        <v>44</v>
      </c>
      <c r="E18" s="256" t="s">
        <v>10</v>
      </c>
      <c r="F18" s="256"/>
      <c r="G18" s="259"/>
    </row>
    <row r="19" s="248" customFormat="1" ht="21" customHeight="1" spans="1:7">
      <c r="A19" s="255">
        <v>17</v>
      </c>
      <c r="B19" s="256" t="s">
        <v>45</v>
      </c>
      <c r="C19" s="257" t="s">
        <v>46</v>
      </c>
      <c r="D19" s="257" t="s">
        <v>47</v>
      </c>
      <c r="E19" s="256"/>
      <c r="F19" s="256"/>
      <c r="G19" s="259"/>
    </row>
    <row r="20" s="248" customFormat="1" ht="21" customHeight="1" spans="1:7">
      <c r="A20" s="255">
        <v>18</v>
      </c>
      <c r="B20" s="256" t="s">
        <v>48</v>
      </c>
      <c r="C20" s="257" t="s">
        <v>49</v>
      </c>
      <c r="D20" s="257"/>
      <c r="E20" s="256"/>
      <c r="F20" s="256"/>
      <c r="G20" s="259"/>
    </row>
    <row r="21" s="228" customFormat="1" ht="33.95" customHeight="1" spans="1:7">
      <c r="A21" s="261" t="s">
        <v>50</v>
      </c>
      <c r="B21" s="261"/>
      <c r="C21" s="261" t="s">
        <v>51</v>
      </c>
      <c r="D21" s="261"/>
      <c r="E21" s="261"/>
      <c r="F21" s="261"/>
      <c r="G21" s="250"/>
    </row>
    <row r="22" s="228" customFormat="1" ht="26.1" customHeight="1" spans="1:7">
      <c r="A22" s="261"/>
      <c r="B22" s="261"/>
      <c r="C22" s="261"/>
      <c r="D22" s="261"/>
      <c r="E22" s="261"/>
      <c r="F22" s="261"/>
      <c r="G22" s="250"/>
    </row>
    <row r="23" s="228" customFormat="1" spans="1:7">
      <c r="A23" s="249"/>
      <c r="B23" s="250"/>
      <c r="C23" s="249"/>
      <c r="D23" s="249"/>
      <c r="E23" s="250"/>
      <c r="F23" s="251"/>
      <c r="G23" s="250"/>
    </row>
    <row r="24" s="228" customFormat="1" spans="1:7">
      <c r="A24" s="249"/>
      <c r="B24" s="250"/>
      <c r="C24" s="249"/>
      <c r="D24" s="249"/>
      <c r="E24" s="250"/>
      <c r="F24" s="251"/>
      <c r="G24" s="250"/>
    </row>
    <row r="25" s="228" customFormat="1" spans="1:7">
      <c r="A25" s="249"/>
      <c r="B25" s="250"/>
      <c r="C25" s="249"/>
      <c r="D25" s="249"/>
      <c r="E25" s="250"/>
      <c r="F25" s="251"/>
      <c r="G25" s="250"/>
    </row>
    <row r="26" s="228" customFormat="1" spans="1:7">
      <c r="A26" s="249"/>
      <c r="B26" s="250"/>
      <c r="C26" s="249"/>
      <c r="D26" s="249"/>
      <c r="E26" s="250"/>
      <c r="F26" s="251"/>
      <c r="G26" s="250"/>
    </row>
    <row r="27" s="228" customFormat="1" spans="1:7">
      <c r="A27" s="249"/>
      <c r="B27" s="250"/>
      <c r="C27" s="249"/>
      <c r="D27" s="249"/>
      <c r="E27" s="250"/>
      <c r="F27" s="251"/>
      <c r="G27" s="250"/>
    </row>
    <row r="28" s="228" customFormat="1" spans="1:7">
      <c r="A28" s="249"/>
      <c r="B28" s="250"/>
      <c r="C28" s="249"/>
      <c r="D28" s="249"/>
      <c r="E28" s="250"/>
      <c r="F28" s="251"/>
      <c r="G28" s="250"/>
    </row>
    <row r="29" s="228" customFormat="1" spans="1:7">
      <c r="A29" s="249"/>
      <c r="B29" s="250"/>
      <c r="C29" s="249"/>
      <c r="D29" s="249"/>
      <c r="E29" s="250"/>
      <c r="F29" s="251"/>
      <c r="G29" s="250"/>
    </row>
    <row r="30" s="228" customFormat="1" spans="1:7">
      <c r="A30" s="249"/>
      <c r="B30" s="250"/>
      <c r="C30" s="249"/>
      <c r="D30" s="249"/>
      <c r="E30" s="250"/>
      <c r="F30" s="251"/>
      <c r="G30" s="250"/>
    </row>
    <row r="31" s="228" customFormat="1" spans="1:7">
      <c r="A31" s="249"/>
      <c r="B31" s="250"/>
      <c r="C31" s="249"/>
      <c r="D31" s="249"/>
      <c r="E31" s="250"/>
      <c r="F31" s="251"/>
      <c r="G31" s="250"/>
    </row>
    <row r="32" s="228" customFormat="1" spans="1:7">
      <c r="A32" s="249"/>
      <c r="B32" s="250"/>
      <c r="C32" s="249"/>
      <c r="D32" s="249"/>
      <c r="E32" s="250"/>
      <c r="F32" s="251"/>
      <c r="G32" s="250"/>
    </row>
    <row r="33" s="228" customFormat="1" spans="1:7">
      <c r="A33" s="249"/>
      <c r="B33" s="250"/>
      <c r="C33" s="249"/>
      <c r="D33" s="249"/>
      <c r="E33" s="250"/>
      <c r="F33" s="251"/>
      <c r="G33" s="250"/>
    </row>
    <row r="34" s="228" customFormat="1" spans="1:7">
      <c r="A34" s="249"/>
      <c r="B34" s="250"/>
      <c r="C34" s="249"/>
      <c r="D34" s="249"/>
      <c r="E34" s="250"/>
      <c r="F34" s="251"/>
      <c r="G34" s="250"/>
    </row>
    <row r="35" s="228" customFormat="1" spans="1:7">
      <c r="A35" s="249"/>
      <c r="B35" s="250"/>
      <c r="C35" s="249"/>
      <c r="D35" s="249"/>
      <c r="E35" s="250"/>
      <c r="F35" s="251"/>
      <c r="G35" s="250"/>
    </row>
    <row r="36" s="228" customFormat="1" spans="1:7">
      <c r="A36" s="249"/>
      <c r="B36" s="250"/>
      <c r="C36" s="249"/>
      <c r="D36" s="249"/>
      <c r="E36" s="250"/>
      <c r="F36" s="251"/>
      <c r="G36" s="250"/>
    </row>
    <row r="37" s="228" customFormat="1" ht="43.5" customHeight="1" spans="1:7">
      <c r="A37" s="249"/>
      <c r="B37" s="250"/>
      <c r="C37" s="249"/>
      <c r="D37" s="249"/>
      <c r="E37" s="250"/>
      <c r="F37" s="251"/>
      <c r="G37" s="250"/>
    </row>
  </sheetData>
  <mergeCells count="3">
    <mergeCell ref="A1:F1"/>
    <mergeCell ref="A21:B22"/>
    <mergeCell ref="C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view="pageBreakPreview" zoomScaleNormal="100" topLeftCell="A8" workbookViewId="0">
      <selection activeCell="E17" sqref="E17:H17"/>
    </sheetView>
  </sheetViews>
  <sheetFormatPr defaultColWidth="10.2857142857143" defaultRowHeight="14.25" outlineLevelCol="7"/>
  <cols>
    <col min="1" max="1" width="11.5714285714286" style="228" customWidth="1"/>
    <col min="2" max="2" width="12" style="228" customWidth="1"/>
    <col min="3" max="3" width="5.14285714285714" style="228" customWidth="1"/>
    <col min="4" max="4" width="10.5714285714286" style="228" customWidth="1"/>
    <col min="5" max="5" width="12.1428571428571" style="228" customWidth="1"/>
    <col min="6" max="6" width="13.7142857142857" style="228" customWidth="1"/>
    <col min="7" max="7" width="14.5714285714286" style="228" customWidth="1"/>
    <col min="8" max="8" width="14" style="228" customWidth="1"/>
    <col min="9" max="16384" width="10.2857142857143" style="228"/>
  </cols>
  <sheetData>
    <row r="1" s="228" customFormat="1" ht="54" customHeight="1" spans="1:8">
      <c r="A1" s="230" t="s">
        <v>52</v>
      </c>
      <c r="B1" s="230"/>
      <c r="C1" s="230"/>
      <c r="D1" s="230"/>
      <c r="E1" s="230"/>
      <c r="F1" s="230"/>
      <c r="G1" s="230"/>
      <c r="H1" s="230"/>
    </row>
    <row r="2" s="228" customFormat="1" ht="31.9" customHeight="1" spans="1:8">
      <c r="A2" s="231" t="s">
        <v>53</v>
      </c>
      <c r="B2" s="231"/>
      <c r="C2" s="231"/>
      <c r="D2" s="231"/>
      <c r="E2" s="231"/>
      <c r="F2" s="231"/>
      <c r="G2" s="231"/>
      <c r="H2" s="231"/>
    </row>
    <row r="3" s="228" customFormat="1" ht="52" customHeight="1" spans="1:8">
      <c r="A3" s="231" t="s">
        <v>54</v>
      </c>
      <c r="B3" s="231"/>
      <c r="C3" s="231"/>
      <c r="D3" s="231"/>
      <c r="E3" s="231"/>
      <c r="F3" s="231"/>
      <c r="G3" s="231"/>
      <c r="H3" s="231"/>
    </row>
    <row r="4" s="228" customFormat="1" ht="25.5" customHeight="1" spans="1:8">
      <c r="A4" s="231" t="s">
        <v>55</v>
      </c>
      <c r="B4" s="231"/>
      <c r="C4" s="231"/>
      <c r="D4" s="231"/>
      <c r="E4" s="231"/>
      <c r="F4" s="231"/>
      <c r="G4" s="231"/>
      <c r="H4" s="231"/>
    </row>
    <row r="5" s="228" customFormat="1" ht="30" customHeight="1" spans="1:8">
      <c r="A5" s="232" t="s">
        <v>56</v>
      </c>
      <c r="B5" s="232"/>
      <c r="C5" s="232"/>
      <c r="D5" s="232"/>
      <c r="E5" s="232"/>
      <c r="F5" s="232"/>
      <c r="G5" s="232"/>
      <c r="H5" s="232"/>
    </row>
    <row r="6" s="229" customFormat="1" ht="24" customHeight="1" spans="1:8">
      <c r="A6" s="233" t="s">
        <v>1</v>
      </c>
      <c r="B6" s="233" t="s">
        <v>57</v>
      </c>
      <c r="C6" s="233"/>
      <c r="D6" s="233"/>
      <c r="E6" s="233" t="s">
        <v>58</v>
      </c>
      <c r="F6" s="233" t="s">
        <v>59</v>
      </c>
      <c r="G6" s="233" t="s">
        <v>60</v>
      </c>
      <c r="H6" s="233" t="s">
        <v>61</v>
      </c>
    </row>
    <row r="7" s="228" customFormat="1" ht="20.25" customHeight="1" spans="1:8">
      <c r="A7" s="234" t="s">
        <v>62</v>
      </c>
      <c r="B7" s="235" t="s">
        <v>63</v>
      </c>
      <c r="C7" s="235"/>
      <c r="D7" s="235"/>
      <c r="E7" s="236">
        <f>E8+E9+E10+E11</f>
        <v>0</v>
      </c>
      <c r="F7" s="236">
        <v>0</v>
      </c>
      <c r="G7" s="236">
        <f>G8+G9+G10+G11</f>
        <v>0</v>
      </c>
      <c r="H7" s="236">
        <f>H8+H102+H10+H9+H11+H12</f>
        <v>4065000</v>
      </c>
    </row>
    <row r="8" s="228" customFormat="1" ht="20.25" customHeight="1" spans="1:8">
      <c r="A8" s="237">
        <v>1.1</v>
      </c>
      <c r="B8" s="238" t="s">
        <v>64</v>
      </c>
      <c r="C8" s="238"/>
      <c r="D8" s="238"/>
      <c r="E8" s="236">
        <v>0</v>
      </c>
      <c r="F8" s="236">
        <v>0</v>
      </c>
      <c r="G8" s="236">
        <v>0</v>
      </c>
      <c r="H8" s="236">
        <f>结算明细汇总表!F18</f>
        <v>4039775.49588156</v>
      </c>
    </row>
    <row r="9" s="228" customFormat="1" ht="20.25" customHeight="1" spans="1:8">
      <c r="A9" s="237">
        <v>1.2</v>
      </c>
      <c r="B9" s="238" t="s">
        <v>65</v>
      </c>
      <c r="C9" s="238"/>
      <c r="D9" s="238"/>
      <c r="E9" s="236">
        <v>0</v>
      </c>
      <c r="F9" s="236">
        <v>0</v>
      </c>
      <c r="G9" s="236">
        <v>0</v>
      </c>
      <c r="H9" s="236"/>
    </row>
    <row r="10" s="228" customFormat="1" ht="20.25" customHeight="1" spans="1:8">
      <c r="A10" s="237">
        <v>1.3</v>
      </c>
      <c r="B10" s="238" t="s">
        <v>66</v>
      </c>
      <c r="C10" s="238"/>
      <c r="D10" s="238"/>
      <c r="E10" s="236">
        <v>0</v>
      </c>
      <c r="F10" s="236">
        <v>0</v>
      </c>
      <c r="G10" s="236">
        <v>0</v>
      </c>
      <c r="H10" s="236">
        <f>结算明细汇总表!F19</f>
        <v>56000</v>
      </c>
    </row>
    <row r="11" s="228" customFormat="1" ht="20.25" customHeight="1" spans="1:8">
      <c r="A11" s="237">
        <v>1.4</v>
      </c>
      <c r="B11" s="238" t="s">
        <v>67</v>
      </c>
      <c r="C11" s="238"/>
      <c r="D11" s="238"/>
      <c r="E11" s="236">
        <v>0</v>
      </c>
      <c r="F11" s="236">
        <v>0</v>
      </c>
      <c r="G11" s="236">
        <v>0</v>
      </c>
      <c r="H11" s="236">
        <f>结算明细汇总表!F21+结算明细汇总表!F22</f>
        <v>-30601.52149968</v>
      </c>
    </row>
    <row r="12" s="228" customFormat="1" ht="20.25" customHeight="1" spans="1:8">
      <c r="A12" s="237">
        <v>1.5</v>
      </c>
      <c r="B12" s="238" t="s">
        <v>68</v>
      </c>
      <c r="C12" s="238"/>
      <c r="D12" s="238"/>
      <c r="E12" s="238"/>
      <c r="F12" s="238"/>
      <c r="G12" s="238"/>
      <c r="H12" s="236">
        <f>结算明细汇总表!F24-结算明细汇总表!F23</f>
        <v>-173.974381879903</v>
      </c>
    </row>
    <row r="13" s="228" customFormat="1" ht="20.25" customHeight="1" spans="1:8">
      <c r="A13" s="234" t="s">
        <v>69</v>
      </c>
      <c r="B13" s="235" t="s">
        <v>70</v>
      </c>
      <c r="C13" s="235"/>
      <c r="D13" s="235"/>
      <c r="E13" s="236">
        <v>0</v>
      </c>
      <c r="F13" s="236"/>
      <c r="G13" s="236">
        <v>0</v>
      </c>
      <c r="H13" s="236">
        <v>0</v>
      </c>
    </row>
    <row r="14" s="228" customFormat="1" ht="20.25" customHeight="1" spans="1:8">
      <c r="A14" s="237">
        <v>2.1</v>
      </c>
      <c r="B14" s="238" t="s">
        <v>71</v>
      </c>
      <c r="C14" s="238"/>
      <c r="D14" s="238"/>
      <c r="E14" s="236">
        <v>0</v>
      </c>
      <c r="F14" s="236"/>
      <c r="G14" s="236">
        <v>0</v>
      </c>
      <c r="H14" s="236">
        <v>0</v>
      </c>
    </row>
    <row r="15" s="228" customFormat="1" ht="20.25" customHeight="1" spans="1:8">
      <c r="A15" s="237">
        <v>2.2</v>
      </c>
      <c r="B15" s="238" t="s">
        <v>71</v>
      </c>
      <c r="C15" s="238"/>
      <c r="D15" s="238"/>
      <c r="E15" s="236">
        <v>0</v>
      </c>
      <c r="F15" s="236"/>
      <c r="G15" s="236">
        <v>0</v>
      </c>
      <c r="H15" s="236">
        <v>0</v>
      </c>
    </row>
    <row r="16" s="228" customFormat="1" ht="20.25" customHeight="1" spans="1:8">
      <c r="A16" s="234" t="s">
        <v>72</v>
      </c>
      <c r="B16" s="235" t="s">
        <v>73</v>
      </c>
      <c r="C16" s="235"/>
      <c r="D16" s="238" t="s">
        <v>74</v>
      </c>
      <c r="E16" s="239">
        <f>H7</f>
        <v>4065000</v>
      </c>
      <c r="F16" s="239"/>
      <c r="G16" s="239"/>
      <c r="H16" s="239"/>
    </row>
    <row r="17" s="228" customFormat="1" ht="20.25" customHeight="1" spans="1:8">
      <c r="A17" s="234"/>
      <c r="B17" s="235"/>
      <c r="C17" s="235"/>
      <c r="D17" s="238" t="s">
        <v>75</v>
      </c>
      <c r="E17" s="240">
        <f>E16</f>
        <v>4065000</v>
      </c>
      <c r="F17" s="240"/>
      <c r="G17" s="240"/>
      <c r="H17" s="240"/>
    </row>
    <row r="18" s="228" customFormat="1" ht="20.25" customHeight="1" spans="1:8">
      <c r="A18" s="234" t="s">
        <v>76</v>
      </c>
      <c r="B18" s="235" t="s">
        <v>77</v>
      </c>
      <c r="C18" s="235"/>
      <c r="D18" s="235"/>
      <c r="E18" s="236">
        <v>0</v>
      </c>
      <c r="F18" s="236"/>
      <c r="G18" s="236"/>
      <c r="H18" s="236"/>
    </row>
    <row r="19" s="228" customFormat="1" ht="20.25" customHeight="1" spans="1:8">
      <c r="A19" s="237">
        <v>4.1</v>
      </c>
      <c r="B19" s="238" t="s">
        <v>78</v>
      </c>
      <c r="C19" s="238"/>
      <c r="D19" s="238"/>
      <c r="E19" s="236">
        <v>0</v>
      </c>
      <c r="F19" s="236"/>
      <c r="G19" s="236"/>
      <c r="H19" s="236"/>
    </row>
    <row r="20" s="228" customFormat="1" ht="20.25" customHeight="1" spans="1:8">
      <c r="A20" s="237">
        <v>4.2</v>
      </c>
      <c r="B20" s="238" t="s">
        <v>79</v>
      </c>
      <c r="C20" s="238"/>
      <c r="D20" s="238"/>
      <c r="E20" s="236">
        <v>0</v>
      </c>
      <c r="F20" s="236"/>
      <c r="G20" s="236"/>
      <c r="H20" s="236"/>
    </row>
    <row r="21" s="228" customFormat="1" ht="20.25" customHeight="1" spans="1:8">
      <c r="A21" s="234" t="s">
        <v>80</v>
      </c>
      <c r="B21" s="235" t="s">
        <v>81</v>
      </c>
      <c r="C21" s="235"/>
      <c r="D21" s="235"/>
      <c r="E21" s="236">
        <v>0</v>
      </c>
      <c r="F21" s="236"/>
      <c r="G21" s="236"/>
      <c r="H21" s="236"/>
    </row>
    <row r="22" s="228" customFormat="1" ht="20.25" customHeight="1" spans="1:8">
      <c r="A22" s="237">
        <v>5.1</v>
      </c>
      <c r="B22" s="238" t="s">
        <v>82</v>
      </c>
      <c r="C22" s="238"/>
      <c r="D22" s="238"/>
      <c r="E22" s="238" t="s">
        <v>83</v>
      </c>
      <c r="F22" s="238"/>
      <c r="G22" s="238"/>
      <c r="H22" s="238"/>
    </row>
    <row r="23" s="228" customFormat="1" ht="20.25" customHeight="1" spans="1:8">
      <c r="A23" s="237">
        <v>5.2</v>
      </c>
      <c r="B23" s="238" t="s">
        <v>84</v>
      </c>
      <c r="C23" s="238"/>
      <c r="D23" s="238"/>
      <c r="E23" s="238" t="s">
        <v>83</v>
      </c>
      <c r="F23" s="238"/>
      <c r="G23" s="238"/>
      <c r="H23" s="238"/>
    </row>
    <row r="24" s="228" customFormat="1" ht="20.25" customHeight="1" spans="1:8">
      <c r="A24" s="234" t="s">
        <v>85</v>
      </c>
      <c r="B24" s="235" t="s">
        <v>86</v>
      </c>
      <c r="C24" s="238" t="s">
        <v>74</v>
      </c>
      <c r="D24" s="238"/>
      <c r="E24" s="239">
        <f>E16</f>
        <v>4065000</v>
      </c>
      <c r="F24" s="239"/>
      <c r="G24" s="239"/>
      <c r="H24" s="239"/>
    </row>
    <row r="25" s="228" customFormat="1" ht="20.25" customHeight="1" spans="1:8">
      <c r="A25" s="234"/>
      <c r="B25" s="235"/>
      <c r="C25" s="238" t="s">
        <v>75</v>
      </c>
      <c r="D25" s="238"/>
      <c r="E25" s="240">
        <f>E17</f>
        <v>4065000</v>
      </c>
      <c r="F25" s="240"/>
      <c r="G25" s="240"/>
      <c r="H25" s="240"/>
    </row>
    <row r="26" s="228" customFormat="1" ht="20.25" customHeight="1" spans="1:8">
      <c r="A26" s="234" t="s">
        <v>87</v>
      </c>
      <c r="B26" s="235" t="s">
        <v>88</v>
      </c>
      <c r="C26" s="238" t="s">
        <v>74</v>
      </c>
      <c r="D26" s="238"/>
      <c r="E26" s="239">
        <f>E24</f>
        <v>4065000</v>
      </c>
      <c r="F26" s="239"/>
      <c r="G26" s="239"/>
      <c r="H26" s="239"/>
    </row>
    <row r="27" s="228" customFormat="1" ht="20.25" customHeight="1" spans="1:8">
      <c r="A27" s="234"/>
      <c r="B27" s="235"/>
      <c r="C27" s="238" t="s">
        <v>75</v>
      </c>
      <c r="D27" s="238"/>
      <c r="E27" s="240">
        <f>E17</f>
        <v>4065000</v>
      </c>
      <c r="F27" s="240"/>
      <c r="G27" s="240"/>
      <c r="H27" s="240"/>
    </row>
    <row r="28" s="228" customFormat="1" spans="1:8">
      <c r="A28" s="241"/>
      <c r="B28" s="241"/>
      <c r="C28" s="241"/>
      <c r="D28" s="241"/>
      <c r="E28" s="241"/>
      <c r="F28" s="241"/>
      <c r="G28" s="241"/>
      <c r="H28" s="241"/>
    </row>
    <row r="29" s="228" customFormat="1" spans="1:8">
      <c r="A29" s="242" t="s">
        <v>89</v>
      </c>
      <c r="B29" s="242"/>
      <c r="C29" s="242"/>
      <c r="D29" s="242"/>
      <c r="E29" s="242"/>
      <c r="F29" s="242"/>
      <c r="G29" s="242"/>
      <c r="H29" s="242"/>
    </row>
    <row r="30" s="228" customFormat="1" spans="1:1">
      <c r="A30" s="243"/>
    </row>
    <row r="31" s="228" customFormat="1" spans="1:1">
      <c r="A31" s="243"/>
    </row>
    <row r="32" s="228" customFormat="1" spans="1:8">
      <c r="A32" s="242" t="s">
        <v>90</v>
      </c>
      <c r="B32" s="242"/>
      <c r="C32" s="242"/>
      <c r="D32" s="242"/>
      <c r="E32" s="242"/>
      <c r="F32" s="242"/>
      <c r="G32" s="242"/>
      <c r="H32" s="242"/>
    </row>
    <row r="33" s="228" customFormat="1" spans="1:1">
      <c r="A33" s="243"/>
    </row>
    <row r="34" s="228" customFormat="1" ht="27" customHeight="1" spans="1:8">
      <c r="A34" s="244"/>
      <c r="B34" s="244"/>
      <c r="C34" s="244"/>
      <c r="D34" s="244"/>
      <c r="E34" s="244"/>
      <c r="F34" s="244"/>
      <c r="G34" s="244"/>
      <c r="H34" s="244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view="pageBreakPreview" zoomScaleNormal="100" topLeftCell="A2" workbookViewId="0">
      <selection activeCell="E4" sqref="E4"/>
    </sheetView>
  </sheetViews>
  <sheetFormatPr defaultColWidth="8.85714285714286" defaultRowHeight="12.75" outlineLevelCol="6"/>
  <cols>
    <col min="1" max="1" width="6.57142857142857" style="129" customWidth="1"/>
    <col min="2" max="2" width="34.5714285714286" style="129" customWidth="1"/>
    <col min="3" max="3" width="5.57142857142857" style="212" customWidth="1"/>
    <col min="4" max="4" width="9.57142857142857" style="129" customWidth="1"/>
    <col min="5" max="5" width="16.2857142857143" style="129" customWidth="1"/>
    <col min="6" max="6" width="15.1428571428571" style="129" customWidth="1"/>
    <col min="7" max="7" width="17.5714285714286" style="129" customWidth="1"/>
    <col min="8" max="16384" width="8.85714285714286" style="129"/>
  </cols>
  <sheetData>
    <row r="1" s="211" customFormat="1" ht="48" customHeight="1" spans="1:7">
      <c r="A1" s="213" t="s">
        <v>91</v>
      </c>
      <c r="B1" s="213"/>
      <c r="C1" s="213"/>
      <c r="D1" s="213"/>
      <c r="E1" s="213"/>
      <c r="F1" s="213"/>
      <c r="G1" s="213"/>
    </row>
    <row r="2" s="211" customFormat="1" ht="30" customHeight="1" spans="1:7">
      <c r="A2" s="214" t="s">
        <v>92</v>
      </c>
      <c r="B2" s="214" t="s">
        <v>57</v>
      </c>
      <c r="C2" s="214" t="s">
        <v>93</v>
      </c>
      <c r="D2" s="214" t="s">
        <v>94</v>
      </c>
      <c r="E2" s="215" t="s">
        <v>95</v>
      </c>
      <c r="F2" s="215" t="s">
        <v>96</v>
      </c>
      <c r="G2" s="216" t="s">
        <v>6</v>
      </c>
    </row>
    <row r="3" s="211" customFormat="1" ht="30" customHeight="1" spans="1:7">
      <c r="A3" s="214" t="s">
        <v>62</v>
      </c>
      <c r="B3" s="214" t="s">
        <v>97</v>
      </c>
      <c r="C3" s="214"/>
      <c r="D3" s="214"/>
      <c r="E3" s="215"/>
      <c r="F3" s="215">
        <f>F4+F5+F6+F7+F8+F9+F10+F11</f>
        <v>783266.63186875</v>
      </c>
      <c r="G3" s="217"/>
    </row>
    <row r="4" s="211" customFormat="1" ht="30" customHeight="1" spans="1:7">
      <c r="A4" s="218">
        <v>1.1</v>
      </c>
      <c r="B4" s="198" t="s">
        <v>98</v>
      </c>
      <c r="C4" s="218" t="s">
        <v>99</v>
      </c>
      <c r="D4" s="219">
        <f>2+2+2+2</f>
        <v>8</v>
      </c>
      <c r="E4" s="218">
        <f>'一层大堂精装工程-装饰'!N24</f>
        <v>30987.05295768</v>
      </c>
      <c r="F4" s="108">
        <f>E4*D4</f>
        <v>247896.42366144</v>
      </c>
      <c r="G4" s="220"/>
    </row>
    <row r="5" s="211" customFormat="1" ht="30" customHeight="1" spans="1:7">
      <c r="A5" s="218">
        <v>1.2</v>
      </c>
      <c r="B5" s="198" t="s">
        <v>100</v>
      </c>
      <c r="C5" s="218" t="s">
        <v>99</v>
      </c>
      <c r="D5" s="219">
        <f>2+2+2+2</f>
        <v>8</v>
      </c>
      <c r="E5" s="218">
        <f>'一层大堂精装工程-安装'!N23</f>
        <v>7918.4137384</v>
      </c>
      <c r="F5" s="108">
        <f t="shared" ref="F5:F12" si="0">E5*D5</f>
        <v>63347.3099072</v>
      </c>
      <c r="G5" s="220">
        <f>F5+F7+F9+F11</f>
        <v>156307.4871524</v>
      </c>
    </row>
    <row r="6" s="211" customFormat="1" ht="30" customHeight="1" spans="1:7">
      <c r="A6" s="218">
        <v>1.3</v>
      </c>
      <c r="B6" s="198" t="s">
        <v>101</v>
      </c>
      <c r="C6" s="218" t="s">
        <v>99</v>
      </c>
      <c r="D6" s="219">
        <v>6</v>
      </c>
      <c r="E6" s="218">
        <f>'一层大堂精装工程-装饰'!N43</f>
        <v>31331.7905753784</v>
      </c>
      <c r="F6" s="108">
        <f t="shared" si="0"/>
        <v>187990.74345227</v>
      </c>
      <c r="G6" s="220"/>
    </row>
    <row r="7" s="211" customFormat="1" ht="30" customHeight="1" spans="1:7">
      <c r="A7" s="218">
        <v>1.4</v>
      </c>
      <c r="B7" s="198" t="s">
        <v>102</v>
      </c>
      <c r="C7" s="218" t="s">
        <v>99</v>
      </c>
      <c r="D7" s="219">
        <v>6</v>
      </c>
      <c r="E7" s="218">
        <f>'一层大堂精装工程-安装'!N43</f>
        <v>7442.4721272</v>
      </c>
      <c r="F7" s="108">
        <f t="shared" si="0"/>
        <v>44654.8327632</v>
      </c>
      <c r="G7" s="220"/>
    </row>
    <row r="8" s="211" customFormat="1" ht="30" customHeight="1" spans="1:7">
      <c r="A8" s="218">
        <v>1.5</v>
      </c>
      <c r="B8" s="198" t="s">
        <v>103</v>
      </c>
      <c r="C8" s="218" t="s">
        <v>99</v>
      </c>
      <c r="D8" s="219">
        <v>2</v>
      </c>
      <c r="E8" s="218">
        <f>'一层大堂精装工程-装饰'!N63</f>
        <v>23416.7275016</v>
      </c>
      <c r="F8" s="108">
        <f t="shared" si="0"/>
        <v>46833.4550032</v>
      </c>
      <c r="G8" s="220"/>
    </row>
    <row r="9" s="211" customFormat="1" ht="30" customHeight="1" spans="1:7">
      <c r="A9" s="218">
        <v>1.6</v>
      </c>
      <c r="B9" s="198" t="s">
        <v>104</v>
      </c>
      <c r="C9" s="218" t="s">
        <v>99</v>
      </c>
      <c r="D9" s="219">
        <v>2</v>
      </c>
      <c r="E9" s="218">
        <f>'一层大堂精装工程-安装'!N62</f>
        <v>7715.8155038</v>
      </c>
      <c r="F9" s="108">
        <f t="shared" si="0"/>
        <v>15431.6310076</v>
      </c>
      <c r="G9" s="220"/>
    </row>
    <row r="10" s="211" customFormat="1" ht="30" customHeight="1" spans="1:7">
      <c r="A10" s="218">
        <v>1.7</v>
      </c>
      <c r="B10" s="198" t="s">
        <v>105</v>
      </c>
      <c r="C10" s="218" t="s">
        <v>99</v>
      </c>
      <c r="D10" s="219">
        <v>4</v>
      </c>
      <c r="E10" s="218">
        <f>'一层大堂精装工程-装饰'!N84</f>
        <v>36059.63064986</v>
      </c>
      <c r="F10" s="108">
        <f t="shared" si="0"/>
        <v>144238.52259944</v>
      </c>
      <c r="G10" s="220"/>
    </row>
    <row r="11" s="211" customFormat="1" ht="30" customHeight="1" spans="1:7">
      <c r="A11" s="218">
        <v>1.8</v>
      </c>
      <c r="B11" s="198" t="s">
        <v>106</v>
      </c>
      <c r="C11" s="218" t="s">
        <v>99</v>
      </c>
      <c r="D11" s="219">
        <v>4</v>
      </c>
      <c r="E11" s="218">
        <f>'一层大堂精装工程-安装'!N81</f>
        <v>8218.4283686</v>
      </c>
      <c r="F11" s="108">
        <f t="shared" si="0"/>
        <v>32873.7134744</v>
      </c>
      <c r="G11" s="220"/>
    </row>
    <row r="12" s="211" customFormat="1" ht="30" customHeight="1" spans="1:7">
      <c r="A12" s="218" t="s">
        <v>69</v>
      </c>
      <c r="B12" s="198" t="s">
        <v>107</v>
      </c>
      <c r="C12" s="218" t="s">
        <v>108</v>
      </c>
      <c r="D12" s="219">
        <v>1</v>
      </c>
      <c r="E12" s="218">
        <f>公共区域装修工程!N17</f>
        <v>1974806.67522054</v>
      </c>
      <c r="F12" s="108">
        <f t="shared" si="0"/>
        <v>1974806.67522054</v>
      </c>
      <c r="G12" s="221"/>
    </row>
    <row r="13" s="211" customFormat="1" ht="30" customHeight="1" spans="1:7">
      <c r="A13" s="218" t="s">
        <v>72</v>
      </c>
      <c r="B13" s="198" t="s">
        <v>109</v>
      </c>
      <c r="C13" s="218" t="s">
        <v>108</v>
      </c>
      <c r="D13" s="219">
        <v>1</v>
      </c>
      <c r="E13" s="124"/>
      <c r="F13" s="108">
        <f>F14+F15+F16+F17</f>
        <v>1281702.18879227</v>
      </c>
      <c r="G13" s="222"/>
    </row>
    <row r="14" s="211" customFormat="1" ht="30" customHeight="1" spans="1:7">
      <c r="A14" s="218">
        <v>3.1</v>
      </c>
      <c r="B14" s="198" t="str">
        <f>单元门头装修工程!B5</f>
        <v>1#、6#、9#、11#门头部分</v>
      </c>
      <c r="C14" s="218" t="s">
        <v>99</v>
      </c>
      <c r="D14" s="219">
        <f>2+2+2+2</f>
        <v>8</v>
      </c>
      <c r="E14" s="124">
        <f>单元门头装修工程!N18</f>
        <v>70222.7091979388</v>
      </c>
      <c r="F14" s="108">
        <f>E14*D14</f>
        <v>561781.67358351</v>
      </c>
      <c r="G14" s="223"/>
    </row>
    <row r="15" s="211" customFormat="1" ht="30" customHeight="1" spans="1:7">
      <c r="A15" s="218">
        <v>3.2</v>
      </c>
      <c r="B15" s="198" t="str">
        <f>单元门头装修工程!B19</f>
        <v>2#、3#门头部分</v>
      </c>
      <c r="C15" s="218" t="s">
        <v>99</v>
      </c>
      <c r="D15" s="219">
        <v>6</v>
      </c>
      <c r="E15" s="124">
        <f>单元门头装修工程!N29</f>
        <v>51868.2357383925</v>
      </c>
      <c r="F15" s="108">
        <f t="shared" ref="F15:F17" si="1">E15*D15</f>
        <v>311209.414430355</v>
      </c>
      <c r="G15" s="223"/>
    </row>
    <row r="16" s="211" customFormat="1" ht="30" customHeight="1" spans="1:7">
      <c r="A16" s="218">
        <v>3.3</v>
      </c>
      <c r="B16" s="198" t="str">
        <f>单元门头装修工程!B30</f>
        <v>7#门头部分</v>
      </c>
      <c r="C16" s="218" t="s">
        <v>99</v>
      </c>
      <c r="D16" s="219">
        <v>2</v>
      </c>
      <c r="E16" s="124">
        <f>单元门头装修工程!N43</f>
        <v>80066.1628162216</v>
      </c>
      <c r="F16" s="108">
        <f t="shared" si="1"/>
        <v>160132.325632443</v>
      </c>
      <c r="G16" s="223"/>
    </row>
    <row r="17" s="211" customFormat="1" ht="30" customHeight="1" spans="1:7">
      <c r="A17" s="218">
        <v>3.4</v>
      </c>
      <c r="B17" s="198" t="str">
        <f>单元门头装修工程!B44</f>
        <v>8#、10#门头部分</v>
      </c>
      <c r="C17" s="218" t="s">
        <v>99</v>
      </c>
      <c r="D17" s="219">
        <v>4</v>
      </c>
      <c r="E17" s="124">
        <f>单元门头装修工程!N54</f>
        <v>62144.6937864898</v>
      </c>
      <c r="F17" s="108">
        <f t="shared" si="1"/>
        <v>248578.775145959</v>
      </c>
      <c r="G17" s="223"/>
    </row>
    <row r="18" s="211" customFormat="1" ht="30" customHeight="1" spans="1:7">
      <c r="A18" s="218" t="s">
        <v>76</v>
      </c>
      <c r="B18" s="191" t="s">
        <v>110</v>
      </c>
      <c r="C18" s="218"/>
      <c r="D18" s="219"/>
      <c r="E18" s="218"/>
      <c r="F18" s="224">
        <f>F13+F12+F3</f>
        <v>4039775.49588156</v>
      </c>
      <c r="G18" s="220"/>
    </row>
    <row r="19" s="98" customFormat="1" ht="30" customHeight="1" spans="1:7">
      <c r="A19" s="218" t="s">
        <v>85</v>
      </c>
      <c r="B19" s="191" t="s">
        <v>66</v>
      </c>
      <c r="C19" s="218" t="s">
        <v>99</v>
      </c>
      <c r="D19" s="219">
        <v>1</v>
      </c>
      <c r="E19" s="218">
        <v>56000</v>
      </c>
      <c r="F19" s="224">
        <f>E19*D19</f>
        <v>56000</v>
      </c>
      <c r="G19" s="220"/>
    </row>
    <row r="20" s="98" customFormat="1" ht="30" customHeight="1" spans="1:7">
      <c r="A20" s="218" t="s">
        <v>87</v>
      </c>
      <c r="B20" s="191" t="s">
        <v>111</v>
      </c>
      <c r="C20" s="218" t="s">
        <v>99</v>
      </c>
      <c r="D20" s="219"/>
      <c r="E20" s="218">
        <v>0</v>
      </c>
      <c r="F20" s="224">
        <v>0</v>
      </c>
      <c r="G20" s="220" t="s">
        <v>112</v>
      </c>
    </row>
    <row r="21" s="98" customFormat="1" ht="30" customHeight="1" spans="1:7">
      <c r="A21" s="218" t="s">
        <v>113</v>
      </c>
      <c r="B21" s="191" t="s">
        <v>114</v>
      </c>
      <c r="C21" s="218" t="s">
        <v>108</v>
      </c>
      <c r="D21" s="219">
        <v>1</v>
      </c>
      <c r="E21" s="108">
        <v>-21079.224</v>
      </c>
      <c r="F21" s="108">
        <f>E21</f>
        <v>-21079.224</v>
      </c>
      <c r="G21" s="220" t="s">
        <v>115</v>
      </c>
    </row>
    <row r="22" s="98" customFormat="1" ht="30" customHeight="1" spans="1:7">
      <c r="A22" s="218" t="s">
        <v>116</v>
      </c>
      <c r="B22" s="191" t="s">
        <v>117</v>
      </c>
      <c r="C22" s="218" t="s">
        <v>118</v>
      </c>
      <c r="D22" s="219">
        <f>'一层大堂精装工程-装饰'!E7*6+'一层大堂精装工程-装饰'!E27*3+'一层大堂精装工程-装饰'!E46*2+'一层大堂精装工程-装饰'!E66*4</f>
        <v>384.76</v>
      </c>
      <c r="E22" s="108">
        <f>(公共区域装修工程!M6-'一层大堂精装工程-装饰'!M7)</f>
        <v>-24.748668</v>
      </c>
      <c r="F22" s="108">
        <f>E22*D22</f>
        <v>-9522.29749968</v>
      </c>
      <c r="G22" s="220"/>
    </row>
    <row r="23" ht="31" customHeight="1" spans="1:7">
      <c r="A23" s="218" t="s">
        <v>119</v>
      </c>
      <c r="B23" s="225" t="s">
        <v>120</v>
      </c>
      <c r="C23" s="226"/>
      <c r="D23" s="226"/>
      <c r="E23" s="226"/>
      <c r="F23" s="226">
        <f>SUM(F18:F22)</f>
        <v>4065173.97438188</v>
      </c>
      <c r="G23" s="226"/>
    </row>
    <row r="24" ht="42" customHeight="1" spans="1:7">
      <c r="A24" s="227" t="s">
        <v>121</v>
      </c>
      <c r="B24" s="225" t="s">
        <v>122</v>
      </c>
      <c r="C24" s="226"/>
      <c r="D24" s="226"/>
      <c r="E24" s="226"/>
      <c r="F24" s="226">
        <v>4065000</v>
      </c>
      <c r="G24" s="226"/>
    </row>
  </sheetData>
  <mergeCells count="1">
    <mergeCell ref="A1:G1"/>
  </mergeCells>
  <pageMargins left="0.25" right="0.25" top="0.75" bottom="0.75" header="0.298611111111111" footer="0.298611111111111"/>
  <pageSetup paperSize="9" scale="9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view="pageBreakPreview" zoomScaleNormal="100" workbookViewId="0">
      <pane ySplit="4" topLeftCell="A28" activePane="bottomLeft" state="frozen"/>
      <selection/>
      <selection pane="bottomLeft" activeCell="A85" sqref="$A85:$XFD85"/>
    </sheetView>
  </sheetViews>
  <sheetFormatPr defaultColWidth="10.2857142857143" defaultRowHeight="12"/>
  <cols>
    <col min="1" max="1" width="5" style="183" customWidth="1"/>
    <col min="2" max="2" width="14.1428571428571" style="181" customWidth="1"/>
    <col min="3" max="3" width="34.7142857142857" style="181" customWidth="1"/>
    <col min="4" max="4" width="5.71428571428571" style="183" customWidth="1"/>
    <col min="5" max="5" width="7.14285714285714" style="184" customWidth="1"/>
    <col min="6" max="6" width="7.42857142857143" style="184" customWidth="1"/>
    <col min="7" max="7" width="8.57142857142857" style="184" customWidth="1"/>
    <col min="8" max="8" width="8.14285714285714" style="184" customWidth="1"/>
    <col min="9" max="9" width="6.85714285714286" style="184" customWidth="1"/>
    <col min="10" max="10" width="8.28571428571429" style="184" customWidth="1"/>
    <col min="11" max="11" width="7.85714285714286" style="184" customWidth="1"/>
    <col min="12" max="12" width="8" style="184" customWidth="1"/>
    <col min="13" max="13" width="8.28571428571429" style="184" customWidth="1"/>
    <col min="14" max="14" width="9.42857142857143" style="184" customWidth="1"/>
    <col min="15" max="15" width="11" style="183" customWidth="1"/>
    <col min="16" max="16" width="24.5714285714286" style="181" customWidth="1"/>
    <col min="17" max="17" width="14.8571428571429" style="183" customWidth="1"/>
    <col min="18" max="21" width="14.4285714285714" style="181"/>
    <col min="22" max="16384" width="10.2857142857143" style="181"/>
  </cols>
  <sheetData>
    <row r="1" ht="25" customHeight="1" spans="1:15">
      <c r="A1" s="185" t="s">
        <v>123</v>
      </c>
      <c r="B1" s="186"/>
      <c r="C1" s="185"/>
      <c r="D1" s="185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5"/>
    </row>
    <row r="2" s="181" customFormat="1" ht="23" customHeight="1" spans="1:15">
      <c r="A2" s="188" t="s">
        <v>1</v>
      </c>
      <c r="B2" s="188" t="s">
        <v>124</v>
      </c>
      <c r="C2" s="188" t="s">
        <v>125</v>
      </c>
      <c r="D2" s="188" t="s">
        <v>93</v>
      </c>
      <c r="E2" s="189" t="s">
        <v>126</v>
      </c>
      <c r="F2" s="108" t="s">
        <v>127</v>
      </c>
      <c r="G2" s="108"/>
      <c r="H2" s="108"/>
      <c r="I2" s="108"/>
      <c r="J2" s="108"/>
      <c r="K2" s="108"/>
      <c r="L2" s="108"/>
      <c r="M2" s="108" t="s">
        <v>128</v>
      </c>
      <c r="N2" s="108" t="s">
        <v>129</v>
      </c>
      <c r="O2" s="108" t="s">
        <v>130</v>
      </c>
    </row>
    <row r="3" s="181" customFormat="1" ht="33" customHeight="1" spans="1:15">
      <c r="A3" s="188"/>
      <c r="B3" s="188"/>
      <c r="C3" s="188"/>
      <c r="D3" s="188"/>
      <c r="E3" s="189"/>
      <c r="F3" s="108" t="s">
        <v>131</v>
      </c>
      <c r="G3" s="108" t="s">
        <v>132</v>
      </c>
      <c r="H3" s="108" t="s">
        <v>133</v>
      </c>
      <c r="I3" s="108" t="s">
        <v>134</v>
      </c>
      <c r="J3" s="108" t="s">
        <v>135</v>
      </c>
      <c r="K3" s="108" t="s">
        <v>136</v>
      </c>
      <c r="L3" s="108" t="s">
        <v>137</v>
      </c>
      <c r="M3" s="108"/>
      <c r="N3" s="108"/>
      <c r="O3" s="108"/>
    </row>
    <row r="4" s="181" customFormat="1" ht="29" customHeight="1" spans="1:15">
      <c r="A4" s="188"/>
      <c r="B4" s="188"/>
      <c r="C4" s="188"/>
      <c r="D4" s="188"/>
      <c r="E4" s="189"/>
      <c r="F4" s="108"/>
      <c r="G4" s="109" t="s">
        <v>138</v>
      </c>
      <c r="H4" s="108" t="s">
        <v>139</v>
      </c>
      <c r="I4" s="108" t="s">
        <v>140</v>
      </c>
      <c r="J4" s="108"/>
      <c r="K4" s="108" t="s">
        <v>141</v>
      </c>
      <c r="L4" s="108" t="s">
        <v>141</v>
      </c>
      <c r="M4" s="108"/>
      <c r="N4" s="108"/>
      <c r="O4" s="108"/>
    </row>
    <row r="5" s="181" customFormat="1" ht="26" customHeight="1" spans="1:15">
      <c r="A5" s="188" t="s">
        <v>62</v>
      </c>
      <c r="B5" s="188" t="s">
        <v>98</v>
      </c>
      <c r="C5" s="188" t="s">
        <v>142</v>
      </c>
      <c r="D5" s="188"/>
      <c r="E5" s="189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="182" customFormat="1" ht="17" customHeight="1" spans="1:21">
      <c r="A6" s="188">
        <v>1</v>
      </c>
      <c r="B6" s="188" t="s">
        <v>143</v>
      </c>
      <c r="C6" s="188"/>
      <c r="D6" s="188"/>
      <c r="E6" s="189"/>
      <c r="F6" s="108"/>
      <c r="G6" s="108"/>
      <c r="H6" s="108"/>
      <c r="I6" s="108"/>
      <c r="J6" s="108"/>
      <c r="K6" s="108"/>
      <c r="L6" s="108"/>
      <c r="M6" s="108"/>
      <c r="N6" s="108"/>
      <c r="O6" s="108"/>
      <c r="Q6" s="183"/>
      <c r="R6" s="181"/>
      <c r="S6" s="181"/>
      <c r="T6" s="181"/>
      <c r="U6" s="181"/>
    </row>
    <row r="7" s="182" customFormat="1" ht="84" outlineLevel="1" spans="1:21">
      <c r="A7" s="188">
        <v>1.1</v>
      </c>
      <c r="B7" s="188" t="s">
        <v>144</v>
      </c>
      <c r="C7" s="190" t="s">
        <v>145</v>
      </c>
      <c r="D7" s="188" t="s">
        <v>118</v>
      </c>
      <c r="E7" s="189">
        <f>24.5+0.94</f>
        <v>25.44</v>
      </c>
      <c r="F7" s="108">
        <v>55</v>
      </c>
      <c r="G7" s="108">
        <f t="shared" ref="G7:G13" si="0">H7*(1+I7)</f>
        <v>84.66</v>
      </c>
      <c r="H7" s="108">
        <v>83</v>
      </c>
      <c r="I7" s="128">
        <v>0.02</v>
      </c>
      <c r="J7" s="108">
        <v>25</v>
      </c>
      <c r="K7" s="108">
        <f>(F7+G7+J7)*0.06</f>
        <v>9.8796</v>
      </c>
      <c r="L7" s="108">
        <f>(F7+G7+J7+K7)*0.09</f>
        <v>15.708564</v>
      </c>
      <c r="M7" s="108">
        <f t="shared" ref="M7:M13" si="1">F7+G7+J7+K7+L7</f>
        <v>190.248164</v>
      </c>
      <c r="N7" s="108">
        <f>E7*M7</f>
        <v>4839.91329216</v>
      </c>
      <c r="O7" s="108" t="s">
        <v>146</v>
      </c>
      <c r="P7" s="206" t="s">
        <v>147</v>
      </c>
      <c r="Q7" s="183"/>
      <c r="R7" s="181"/>
      <c r="S7" s="181"/>
      <c r="T7" s="181"/>
      <c r="U7" s="181"/>
    </row>
    <row r="8" s="182" customFormat="1" ht="74" customHeight="1" outlineLevel="1" spans="1:21">
      <c r="A8" s="188">
        <v>1.2</v>
      </c>
      <c r="B8" s="188" t="s">
        <v>148</v>
      </c>
      <c r="C8" s="190" t="s">
        <v>149</v>
      </c>
      <c r="D8" s="188" t="s">
        <v>118</v>
      </c>
      <c r="E8" s="189"/>
      <c r="F8" s="108">
        <v>70</v>
      </c>
      <c r="G8" s="108">
        <f t="shared" si="0"/>
        <v>85.49</v>
      </c>
      <c r="H8" s="108">
        <v>83</v>
      </c>
      <c r="I8" s="128">
        <v>0.03</v>
      </c>
      <c r="J8" s="108">
        <v>25</v>
      </c>
      <c r="K8" s="108">
        <f t="shared" ref="K7:K13" si="2">(F8+G8+J8)*0.06</f>
        <v>10.8294</v>
      </c>
      <c r="L8" s="108">
        <f t="shared" ref="L7:L13" si="3">(F8+G8+J8+K8)*0.09</f>
        <v>17.218746</v>
      </c>
      <c r="M8" s="108">
        <f t="shared" si="1"/>
        <v>208.538146</v>
      </c>
      <c r="N8" s="108">
        <f t="shared" ref="N8:N23" si="4">E8*M8</f>
        <v>0</v>
      </c>
      <c r="O8" s="207" t="s">
        <v>150</v>
      </c>
      <c r="Q8" s="183"/>
      <c r="R8" s="181"/>
      <c r="S8" s="181"/>
      <c r="T8" s="181"/>
      <c r="U8" s="181"/>
    </row>
    <row r="9" s="182" customFormat="1" ht="17" customHeight="1" spans="1:21">
      <c r="A9" s="188">
        <v>2</v>
      </c>
      <c r="B9" s="188" t="s">
        <v>151</v>
      </c>
      <c r="C9" s="188"/>
      <c r="D9" s="188"/>
      <c r="E9" s="189"/>
      <c r="F9" s="108"/>
      <c r="G9" s="108"/>
      <c r="H9" s="108"/>
      <c r="I9" s="108"/>
      <c r="J9" s="108"/>
      <c r="K9" s="108"/>
      <c r="L9" s="108"/>
      <c r="M9" s="108"/>
      <c r="N9" s="108"/>
      <c r="O9" s="108"/>
      <c r="Q9" s="183"/>
      <c r="R9" s="181"/>
      <c r="S9" s="181"/>
      <c r="T9" s="181"/>
      <c r="U9" s="181"/>
    </row>
    <row r="10" ht="132" customHeight="1" outlineLevel="1" spans="1:16">
      <c r="A10" s="188">
        <v>2.1</v>
      </c>
      <c r="B10" s="124" t="s">
        <v>152</v>
      </c>
      <c r="C10" s="191" t="s">
        <v>153</v>
      </c>
      <c r="D10" s="188" t="s">
        <v>118</v>
      </c>
      <c r="E10" s="189">
        <v>59.57</v>
      </c>
      <c r="F10" s="108">
        <v>55</v>
      </c>
      <c r="G10" s="108">
        <f t="shared" si="0"/>
        <v>66.3</v>
      </c>
      <c r="H10" s="108">
        <v>65</v>
      </c>
      <c r="I10" s="128">
        <v>0.02</v>
      </c>
      <c r="J10" s="108">
        <v>25</v>
      </c>
      <c r="K10" s="108">
        <f t="shared" si="2"/>
        <v>8.778</v>
      </c>
      <c r="L10" s="108">
        <f t="shared" si="3"/>
        <v>13.95702</v>
      </c>
      <c r="M10" s="108">
        <f t="shared" si="1"/>
        <v>169.03502</v>
      </c>
      <c r="N10" s="108">
        <f t="shared" si="4"/>
        <v>10069.4161414</v>
      </c>
      <c r="O10" s="108" t="s">
        <v>154</v>
      </c>
      <c r="P10" s="208" t="s">
        <v>155</v>
      </c>
    </row>
    <row r="11" s="182" customFormat="1" ht="57" customHeight="1" outlineLevel="1" spans="1:21">
      <c r="A11" s="188">
        <v>2.2</v>
      </c>
      <c r="B11" s="188" t="s">
        <v>156</v>
      </c>
      <c r="C11" s="190" t="s">
        <v>157</v>
      </c>
      <c r="D11" s="188" t="s">
        <v>118</v>
      </c>
      <c r="E11" s="189">
        <f>1.94*2.9+1.1*2.1</f>
        <v>7.936</v>
      </c>
      <c r="F11" s="108">
        <v>200</v>
      </c>
      <c r="G11" s="108">
        <f t="shared" si="0"/>
        <v>432.6</v>
      </c>
      <c r="H11" s="108">
        <v>420</v>
      </c>
      <c r="I11" s="128">
        <v>0.03</v>
      </c>
      <c r="J11" s="108">
        <v>15</v>
      </c>
      <c r="K11" s="108">
        <f t="shared" si="2"/>
        <v>38.856</v>
      </c>
      <c r="L11" s="108">
        <f t="shared" si="3"/>
        <v>61.78104</v>
      </c>
      <c r="M11" s="108">
        <f t="shared" si="1"/>
        <v>748.23704</v>
      </c>
      <c r="N11" s="108">
        <f t="shared" si="4"/>
        <v>5938.00914944</v>
      </c>
      <c r="O11" s="108"/>
      <c r="Q11" s="183"/>
      <c r="R11" s="181"/>
      <c r="S11" s="181"/>
      <c r="T11" s="181"/>
      <c r="U11" s="181"/>
    </row>
    <row r="12" s="182" customFormat="1" ht="64" customHeight="1" outlineLevel="1" spans="1:21">
      <c r="A12" s="188">
        <v>2.3</v>
      </c>
      <c r="B12" s="192" t="s">
        <v>158</v>
      </c>
      <c r="C12" s="193" t="s">
        <v>159</v>
      </c>
      <c r="D12" s="192" t="s">
        <v>118</v>
      </c>
      <c r="E12" s="194">
        <f>1.6*1.07</f>
        <v>1.712</v>
      </c>
      <c r="F12" s="108">
        <v>200</v>
      </c>
      <c r="G12" s="108">
        <f t="shared" si="0"/>
        <v>315</v>
      </c>
      <c r="H12" s="108">
        <v>300</v>
      </c>
      <c r="I12" s="128">
        <v>0.05</v>
      </c>
      <c r="J12" s="108">
        <v>15</v>
      </c>
      <c r="K12" s="108">
        <f t="shared" si="2"/>
        <v>31.8</v>
      </c>
      <c r="L12" s="108">
        <f t="shared" si="3"/>
        <v>50.562</v>
      </c>
      <c r="M12" s="108">
        <f t="shared" si="1"/>
        <v>612.362</v>
      </c>
      <c r="N12" s="108">
        <f t="shared" si="4"/>
        <v>1048.363744</v>
      </c>
      <c r="O12" s="108"/>
      <c r="Q12" s="183"/>
      <c r="R12" s="181"/>
      <c r="S12" s="181"/>
      <c r="T12" s="181"/>
      <c r="U12" s="181"/>
    </row>
    <row r="13" s="182" customFormat="1" ht="60" customHeight="1" outlineLevel="1" spans="1:21">
      <c r="A13" s="188">
        <v>2.4</v>
      </c>
      <c r="B13" s="188" t="s">
        <v>160</v>
      </c>
      <c r="C13" s="190" t="s">
        <v>161</v>
      </c>
      <c r="D13" s="188" t="s">
        <v>162</v>
      </c>
      <c r="E13" s="189">
        <v>2</v>
      </c>
      <c r="F13" s="108">
        <v>155</v>
      </c>
      <c r="G13" s="108">
        <f t="shared" si="0"/>
        <v>459</v>
      </c>
      <c r="H13" s="108">
        <v>450</v>
      </c>
      <c r="I13" s="128">
        <v>0.02</v>
      </c>
      <c r="J13" s="108">
        <v>15</v>
      </c>
      <c r="K13" s="108">
        <f t="shared" si="2"/>
        <v>37.74</v>
      </c>
      <c r="L13" s="108">
        <f t="shared" si="3"/>
        <v>60.0066</v>
      </c>
      <c r="M13" s="108">
        <f t="shared" si="1"/>
        <v>726.7466</v>
      </c>
      <c r="N13" s="108">
        <f t="shared" si="4"/>
        <v>1453.4932</v>
      </c>
      <c r="O13" s="108"/>
      <c r="Q13" s="183"/>
      <c r="R13" s="181"/>
      <c r="S13" s="181"/>
      <c r="T13" s="181"/>
      <c r="U13" s="181"/>
    </row>
    <row r="14" s="182" customFormat="1" ht="60" customHeight="1" outlineLevel="1" spans="1:21">
      <c r="A14" s="188">
        <v>2.5</v>
      </c>
      <c r="B14" s="188" t="s">
        <v>163</v>
      </c>
      <c r="C14" s="190" t="s">
        <v>164</v>
      </c>
      <c r="D14" s="188" t="s">
        <v>165</v>
      </c>
      <c r="E14" s="189"/>
      <c r="F14" s="108">
        <v>5</v>
      </c>
      <c r="G14" s="108">
        <f t="shared" ref="G13:G23" si="5">H14*(1+I14)</f>
        <v>10.1</v>
      </c>
      <c r="H14" s="108">
        <v>10</v>
      </c>
      <c r="I14" s="128">
        <v>0.01</v>
      </c>
      <c r="J14" s="108">
        <v>0.1</v>
      </c>
      <c r="K14" s="108">
        <f t="shared" ref="K13:K23" si="6">(F14+G14+J14)*0.06</f>
        <v>0.912</v>
      </c>
      <c r="L14" s="108">
        <f t="shared" ref="L13:L23" si="7">(F14+G14+J14+K14)*0.09</f>
        <v>1.45008</v>
      </c>
      <c r="M14" s="108">
        <f t="shared" ref="M13:M23" si="8">F14+G14+J14+K14+L14</f>
        <v>17.56208</v>
      </c>
      <c r="N14" s="108">
        <f t="shared" si="4"/>
        <v>0</v>
      </c>
      <c r="O14" s="207" t="s">
        <v>166</v>
      </c>
      <c r="Q14" s="183"/>
      <c r="R14" s="181"/>
      <c r="S14" s="181"/>
      <c r="T14" s="181"/>
      <c r="U14" s="181"/>
    </row>
    <row r="15" s="182" customFormat="1" ht="18" customHeight="1" spans="1:21">
      <c r="A15" s="188">
        <v>3</v>
      </c>
      <c r="B15" s="188" t="s">
        <v>167</v>
      </c>
      <c r="C15" s="188"/>
      <c r="D15" s="188"/>
      <c r="E15" s="189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Q15" s="183"/>
      <c r="R15" s="181"/>
      <c r="S15" s="181"/>
      <c r="T15" s="181"/>
      <c r="U15" s="181"/>
    </row>
    <row r="16" s="182" customFormat="1" ht="192" customHeight="1" outlineLevel="1" spans="1:21">
      <c r="A16" s="188">
        <v>3.1</v>
      </c>
      <c r="B16" s="188" t="s">
        <v>168</v>
      </c>
      <c r="C16" s="190" t="s">
        <v>169</v>
      </c>
      <c r="D16" s="188" t="s">
        <v>170</v>
      </c>
      <c r="E16" s="189">
        <v>6.92</v>
      </c>
      <c r="F16" s="108">
        <v>115</v>
      </c>
      <c r="G16" s="108">
        <f t="shared" si="5"/>
        <v>61.2</v>
      </c>
      <c r="H16" s="108">
        <v>60</v>
      </c>
      <c r="I16" s="128">
        <v>0.02</v>
      </c>
      <c r="J16" s="108">
        <v>5</v>
      </c>
      <c r="K16" s="108">
        <f t="shared" si="6"/>
        <v>10.872</v>
      </c>
      <c r="L16" s="108">
        <f t="shared" si="7"/>
        <v>17.28648</v>
      </c>
      <c r="M16" s="108">
        <f t="shared" si="8"/>
        <v>209.35848</v>
      </c>
      <c r="N16" s="108">
        <f t="shared" si="4"/>
        <v>1448.7606816</v>
      </c>
      <c r="O16" s="209" t="s">
        <v>171</v>
      </c>
      <c r="Q16" s="183"/>
      <c r="R16" s="181"/>
      <c r="S16" s="181"/>
      <c r="T16" s="181"/>
      <c r="U16" s="181"/>
    </row>
    <row r="17" s="182" customFormat="1" ht="84" customHeight="1" outlineLevel="1" spans="1:21">
      <c r="A17" s="188">
        <v>3.2</v>
      </c>
      <c r="B17" s="188" t="s">
        <v>172</v>
      </c>
      <c r="C17" s="190" t="s">
        <v>173</v>
      </c>
      <c r="D17" s="188" t="s">
        <v>165</v>
      </c>
      <c r="E17" s="189">
        <v>7.66</v>
      </c>
      <c r="F17" s="108">
        <v>20</v>
      </c>
      <c r="G17" s="108">
        <f t="shared" si="5"/>
        <v>20.4</v>
      </c>
      <c r="H17" s="108">
        <v>20</v>
      </c>
      <c r="I17" s="128">
        <v>0.02</v>
      </c>
      <c r="J17" s="108">
        <v>5</v>
      </c>
      <c r="K17" s="108">
        <f t="shared" si="6"/>
        <v>2.724</v>
      </c>
      <c r="L17" s="108">
        <f t="shared" si="7"/>
        <v>4.33116</v>
      </c>
      <c r="M17" s="108">
        <f t="shared" si="8"/>
        <v>52.45516</v>
      </c>
      <c r="N17" s="108">
        <f t="shared" si="4"/>
        <v>401.8065256</v>
      </c>
      <c r="O17" s="108"/>
      <c r="Q17" s="183"/>
      <c r="R17" s="181"/>
      <c r="S17" s="181"/>
      <c r="T17" s="181"/>
      <c r="U17" s="181"/>
    </row>
    <row r="18" s="182" customFormat="1" ht="84" customHeight="1" outlineLevel="1" spans="1:21">
      <c r="A18" s="188">
        <v>3.3</v>
      </c>
      <c r="B18" s="188" t="s">
        <v>174</v>
      </c>
      <c r="C18" s="190" t="s">
        <v>175</v>
      </c>
      <c r="D18" s="188" t="s">
        <v>170</v>
      </c>
      <c r="E18" s="195"/>
      <c r="F18" s="108">
        <v>20</v>
      </c>
      <c r="G18" s="108">
        <f t="shared" si="5"/>
        <v>12.524</v>
      </c>
      <c r="H18" s="108">
        <v>12.4</v>
      </c>
      <c r="I18" s="128">
        <v>0.01</v>
      </c>
      <c r="J18" s="108">
        <v>2</v>
      </c>
      <c r="K18" s="108">
        <f t="shared" si="6"/>
        <v>2.07144</v>
      </c>
      <c r="L18" s="108">
        <f t="shared" si="7"/>
        <v>3.2935896</v>
      </c>
      <c r="M18" s="108">
        <f t="shared" si="8"/>
        <v>39.8890296</v>
      </c>
      <c r="N18" s="108">
        <f t="shared" si="4"/>
        <v>0</v>
      </c>
      <c r="O18" s="207" t="s">
        <v>176</v>
      </c>
      <c r="Q18" s="183"/>
      <c r="R18" s="181"/>
      <c r="S18" s="181"/>
      <c r="T18" s="181"/>
      <c r="U18" s="181"/>
    </row>
    <row r="19" s="182" customFormat="1" ht="130" customHeight="1" outlineLevel="1" spans="1:21">
      <c r="A19" s="188">
        <v>3.4</v>
      </c>
      <c r="B19" s="188" t="s">
        <v>177</v>
      </c>
      <c r="C19" s="190" t="s">
        <v>178</v>
      </c>
      <c r="D19" s="188" t="s">
        <v>118</v>
      </c>
      <c r="E19" s="189">
        <v>9.56</v>
      </c>
      <c r="F19" s="108">
        <v>115</v>
      </c>
      <c r="G19" s="108">
        <f t="shared" si="5"/>
        <v>66.3</v>
      </c>
      <c r="H19" s="108">
        <v>65</v>
      </c>
      <c r="I19" s="128">
        <v>0.02</v>
      </c>
      <c r="J19" s="108">
        <v>5</v>
      </c>
      <c r="K19" s="108">
        <f t="shared" si="6"/>
        <v>11.178</v>
      </c>
      <c r="L19" s="108">
        <f t="shared" si="7"/>
        <v>17.77302</v>
      </c>
      <c r="M19" s="108">
        <f t="shared" si="8"/>
        <v>215.25102</v>
      </c>
      <c r="N19" s="108">
        <f t="shared" si="4"/>
        <v>2057.7997512</v>
      </c>
      <c r="O19" s="209" t="s">
        <v>171</v>
      </c>
      <c r="Q19" s="183"/>
      <c r="R19" s="181"/>
      <c r="S19" s="181"/>
      <c r="T19" s="181"/>
      <c r="U19" s="181"/>
    </row>
    <row r="20" s="182" customFormat="1" ht="51" customHeight="1" outlineLevel="1" spans="1:21">
      <c r="A20" s="188">
        <v>3.5</v>
      </c>
      <c r="B20" s="196" t="s">
        <v>179</v>
      </c>
      <c r="C20" s="197" t="s">
        <v>180</v>
      </c>
      <c r="D20" s="188" t="s">
        <v>118</v>
      </c>
      <c r="E20" s="189"/>
      <c r="F20" s="108">
        <v>20</v>
      </c>
      <c r="G20" s="108">
        <f t="shared" si="5"/>
        <v>12.524</v>
      </c>
      <c r="H20" s="108">
        <v>12.4</v>
      </c>
      <c r="I20" s="128">
        <v>0.01</v>
      </c>
      <c r="J20" s="108">
        <v>2</v>
      </c>
      <c r="K20" s="108">
        <f t="shared" si="6"/>
        <v>2.07144</v>
      </c>
      <c r="L20" s="108">
        <f t="shared" si="7"/>
        <v>3.2935896</v>
      </c>
      <c r="M20" s="108">
        <f t="shared" si="8"/>
        <v>39.8890296</v>
      </c>
      <c r="N20" s="108">
        <f t="shared" si="4"/>
        <v>0</v>
      </c>
      <c r="O20" s="108"/>
      <c r="Q20" s="183"/>
      <c r="R20" s="181"/>
      <c r="S20" s="181"/>
      <c r="T20" s="181"/>
      <c r="U20" s="181"/>
    </row>
    <row r="21" s="182" customFormat="1" ht="68" customHeight="1" outlineLevel="1" spans="1:21">
      <c r="A21" s="188">
        <v>3.6</v>
      </c>
      <c r="B21" s="196" t="s">
        <v>181</v>
      </c>
      <c r="C21" s="197" t="s">
        <v>182</v>
      </c>
      <c r="D21" s="188" t="s">
        <v>118</v>
      </c>
      <c r="E21" s="189">
        <v>1.59</v>
      </c>
      <c r="F21" s="108">
        <v>20</v>
      </c>
      <c r="G21" s="108">
        <f t="shared" si="5"/>
        <v>12.524</v>
      </c>
      <c r="H21" s="108">
        <v>12.4</v>
      </c>
      <c r="I21" s="128">
        <v>0.01</v>
      </c>
      <c r="J21" s="108">
        <v>2</v>
      </c>
      <c r="K21" s="108">
        <f t="shared" si="6"/>
        <v>2.07144</v>
      </c>
      <c r="L21" s="108">
        <f t="shared" si="7"/>
        <v>3.2935896</v>
      </c>
      <c r="M21" s="108">
        <f t="shared" si="8"/>
        <v>39.8890296</v>
      </c>
      <c r="N21" s="108">
        <f t="shared" si="4"/>
        <v>63.423557064</v>
      </c>
      <c r="O21" s="108" t="s">
        <v>183</v>
      </c>
      <c r="Q21" s="183"/>
      <c r="R21" s="181"/>
      <c r="S21" s="181"/>
      <c r="T21" s="181"/>
      <c r="U21" s="181"/>
    </row>
    <row r="22" s="182" customFormat="1" ht="72" customHeight="1" outlineLevel="1" spans="1:21">
      <c r="A22" s="188">
        <v>3.7</v>
      </c>
      <c r="B22" s="196" t="s">
        <v>181</v>
      </c>
      <c r="C22" s="197" t="s">
        <v>184</v>
      </c>
      <c r="D22" s="188" t="s">
        <v>118</v>
      </c>
      <c r="E22" s="189">
        <f>3.54+2.92</f>
        <v>6.46</v>
      </c>
      <c r="F22" s="108">
        <v>20</v>
      </c>
      <c r="G22" s="108">
        <f t="shared" si="5"/>
        <v>12.524</v>
      </c>
      <c r="H22" s="108">
        <v>12.4</v>
      </c>
      <c r="I22" s="128">
        <v>0.01</v>
      </c>
      <c r="J22" s="108">
        <v>2</v>
      </c>
      <c r="K22" s="108">
        <f t="shared" si="6"/>
        <v>2.07144</v>
      </c>
      <c r="L22" s="108">
        <f t="shared" si="7"/>
        <v>3.2935896</v>
      </c>
      <c r="M22" s="108">
        <f t="shared" si="8"/>
        <v>39.8890296</v>
      </c>
      <c r="N22" s="108">
        <f t="shared" si="4"/>
        <v>257.683131216</v>
      </c>
      <c r="O22" s="108" t="s">
        <v>183</v>
      </c>
      <c r="Q22" s="183"/>
      <c r="R22" s="181"/>
      <c r="S22" s="181"/>
      <c r="T22" s="181"/>
      <c r="U22" s="181"/>
    </row>
    <row r="23" s="182" customFormat="1" ht="84" customHeight="1" outlineLevel="1" spans="1:21">
      <c r="A23" s="188">
        <v>3.8</v>
      </c>
      <c r="B23" s="188" t="s">
        <v>185</v>
      </c>
      <c r="C23" s="190" t="s">
        <v>186</v>
      </c>
      <c r="D23" s="188" t="s">
        <v>165</v>
      </c>
      <c r="E23" s="189">
        <f>(7.62+7.02)</f>
        <v>14.64</v>
      </c>
      <c r="F23" s="108">
        <v>120</v>
      </c>
      <c r="G23" s="108">
        <f t="shared" si="5"/>
        <v>76.5</v>
      </c>
      <c r="H23" s="108">
        <v>75</v>
      </c>
      <c r="I23" s="128">
        <v>0.02</v>
      </c>
      <c r="J23" s="108">
        <v>5</v>
      </c>
      <c r="K23" s="108">
        <f t="shared" si="6"/>
        <v>12.09</v>
      </c>
      <c r="L23" s="108">
        <f t="shared" si="7"/>
        <v>19.2231</v>
      </c>
      <c r="M23" s="108">
        <f t="shared" si="8"/>
        <v>232.8131</v>
      </c>
      <c r="N23" s="108">
        <f t="shared" si="4"/>
        <v>3408.383784</v>
      </c>
      <c r="O23" s="209" t="s">
        <v>171</v>
      </c>
      <c r="Q23" s="183"/>
      <c r="R23" s="181"/>
      <c r="S23" s="181"/>
      <c r="T23" s="181"/>
      <c r="U23" s="181"/>
    </row>
    <row r="24" s="182" customFormat="1" ht="16" customHeight="1" spans="1:21">
      <c r="A24" s="188">
        <v>4</v>
      </c>
      <c r="B24" s="188" t="s">
        <v>187</v>
      </c>
      <c r="C24" s="188"/>
      <c r="D24" s="188" t="s">
        <v>188</v>
      </c>
      <c r="E24" s="189"/>
      <c r="F24" s="108"/>
      <c r="G24" s="108"/>
      <c r="H24" s="108"/>
      <c r="I24" s="108"/>
      <c r="J24" s="108"/>
      <c r="K24" s="108"/>
      <c r="L24" s="108"/>
      <c r="M24" s="108"/>
      <c r="N24" s="108">
        <f>SUM(N7:N23)</f>
        <v>30987.05295768</v>
      </c>
      <c r="O24" s="210"/>
      <c r="Q24" s="183"/>
      <c r="R24" s="181"/>
      <c r="S24" s="181"/>
      <c r="T24" s="181"/>
      <c r="U24" s="181"/>
    </row>
    <row r="25" s="182" customFormat="1" ht="38" customHeight="1" spans="1:21">
      <c r="A25" s="188" t="s">
        <v>69</v>
      </c>
      <c r="B25" s="198" t="s">
        <v>101</v>
      </c>
      <c r="C25" s="188" t="s">
        <v>142</v>
      </c>
      <c r="D25" s="192"/>
      <c r="E25" s="194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Q25" s="183"/>
      <c r="R25" s="181"/>
      <c r="S25" s="181"/>
      <c r="T25" s="181"/>
      <c r="U25" s="181"/>
    </row>
    <row r="26" s="182" customFormat="1" ht="20" customHeight="1" spans="1:21">
      <c r="A26" s="188">
        <v>1</v>
      </c>
      <c r="B26" s="192" t="s">
        <v>143</v>
      </c>
      <c r="C26" s="192"/>
      <c r="D26" s="192"/>
      <c r="E26" s="194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Q26" s="183"/>
      <c r="R26" s="181"/>
      <c r="S26" s="181"/>
      <c r="T26" s="181"/>
      <c r="U26" s="181"/>
    </row>
    <row r="27" s="182" customFormat="1" ht="121" customHeight="1" outlineLevel="1" spans="1:21">
      <c r="A27" s="188">
        <v>1.1</v>
      </c>
      <c r="B27" s="192" t="s">
        <v>144</v>
      </c>
      <c r="C27" s="193" t="s">
        <v>145</v>
      </c>
      <c r="D27" s="192" t="s">
        <v>118</v>
      </c>
      <c r="E27" s="194">
        <v>23.8</v>
      </c>
      <c r="F27" s="108">
        <v>55</v>
      </c>
      <c r="G27" s="108">
        <f t="shared" ref="G27:G33" si="9">H27*(1+I27)</f>
        <v>84.66</v>
      </c>
      <c r="H27" s="108">
        <v>83</v>
      </c>
      <c r="I27" s="128">
        <v>0.02</v>
      </c>
      <c r="J27" s="108">
        <v>25</v>
      </c>
      <c r="K27" s="108">
        <f t="shared" ref="K27:K33" si="10">(F27+G27+J27)*0.06</f>
        <v>9.8796</v>
      </c>
      <c r="L27" s="108">
        <f t="shared" ref="L27:L33" si="11">(F27+G27+J27+K27)*0.09</f>
        <v>15.708564</v>
      </c>
      <c r="M27" s="108">
        <f t="shared" ref="M27:M33" si="12">F27+G27+J27+K27+L27</f>
        <v>190.248164</v>
      </c>
      <c r="N27" s="108">
        <f>E27*M27</f>
        <v>4527.9063032</v>
      </c>
      <c r="O27" s="108" t="s">
        <v>146</v>
      </c>
      <c r="Q27" s="183"/>
      <c r="R27" s="181"/>
      <c r="S27" s="181"/>
      <c r="T27" s="181"/>
      <c r="U27" s="181"/>
    </row>
    <row r="28" s="182" customFormat="1" ht="108" customHeight="1" outlineLevel="1" spans="1:21">
      <c r="A28" s="188">
        <v>1.2</v>
      </c>
      <c r="B28" s="192" t="s">
        <v>148</v>
      </c>
      <c r="C28" s="193" t="s">
        <v>149</v>
      </c>
      <c r="D28" s="192" t="s">
        <v>118</v>
      </c>
      <c r="E28" s="194"/>
      <c r="F28" s="108">
        <v>70</v>
      </c>
      <c r="G28" s="108">
        <f t="shared" si="9"/>
        <v>85.49</v>
      </c>
      <c r="H28" s="108">
        <v>83</v>
      </c>
      <c r="I28" s="128">
        <v>0.03</v>
      </c>
      <c r="J28" s="108">
        <v>25</v>
      </c>
      <c r="K28" s="108">
        <f t="shared" si="10"/>
        <v>10.8294</v>
      </c>
      <c r="L28" s="108">
        <f t="shared" si="11"/>
        <v>17.218746</v>
      </c>
      <c r="M28" s="108">
        <f t="shared" si="12"/>
        <v>208.538146</v>
      </c>
      <c r="N28" s="108">
        <f t="shared" ref="N28:N42" si="13">E28*M28</f>
        <v>0</v>
      </c>
      <c r="O28" s="108" t="s">
        <v>146</v>
      </c>
      <c r="Q28" s="183"/>
      <c r="R28" s="181"/>
      <c r="S28" s="181"/>
      <c r="T28" s="181"/>
      <c r="U28" s="181"/>
    </row>
    <row r="29" s="182" customFormat="1" ht="25" customHeight="1" spans="1:21">
      <c r="A29" s="188">
        <v>2</v>
      </c>
      <c r="B29" s="192" t="s">
        <v>151</v>
      </c>
      <c r="C29" s="192"/>
      <c r="D29" s="192"/>
      <c r="E29" s="194"/>
      <c r="F29" s="108"/>
      <c r="G29" s="108"/>
      <c r="H29" s="108"/>
      <c r="I29" s="108"/>
      <c r="J29" s="108"/>
      <c r="K29" s="108"/>
      <c r="L29" s="108"/>
      <c r="M29" s="108"/>
      <c r="N29" s="108">
        <f t="shared" si="13"/>
        <v>0</v>
      </c>
      <c r="O29" s="108"/>
      <c r="Q29" s="183"/>
      <c r="R29" s="181"/>
      <c r="S29" s="181"/>
      <c r="T29" s="181"/>
      <c r="U29" s="181"/>
    </row>
    <row r="30" s="182" customFormat="1" ht="99" customHeight="1" outlineLevel="1" spans="1:21">
      <c r="A30" s="188">
        <v>2.1</v>
      </c>
      <c r="B30" s="199" t="s">
        <v>152</v>
      </c>
      <c r="C30" s="200" t="s">
        <v>153</v>
      </c>
      <c r="D30" s="192" t="s">
        <v>118</v>
      </c>
      <c r="E30" s="194">
        <v>71.4952</v>
      </c>
      <c r="F30" s="108">
        <v>55</v>
      </c>
      <c r="G30" s="108">
        <f t="shared" si="9"/>
        <v>66.3</v>
      </c>
      <c r="H30" s="108">
        <v>65</v>
      </c>
      <c r="I30" s="128">
        <v>0.02</v>
      </c>
      <c r="J30" s="108">
        <v>25</v>
      </c>
      <c r="K30" s="108">
        <f t="shared" si="10"/>
        <v>8.778</v>
      </c>
      <c r="L30" s="108">
        <f t="shared" si="11"/>
        <v>13.95702</v>
      </c>
      <c r="M30" s="108">
        <f t="shared" si="12"/>
        <v>169.03502</v>
      </c>
      <c r="N30" s="108">
        <f t="shared" si="13"/>
        <v>12085.192561904</v>
      </c>
      <c r="O30" s="108" t="s">
        <v>154</v>
      </c>
      <c r="Q30" s="183"/>
      <c r="R30" s="181"/>
      <c r="S30" s="181"/>
      <c r="T30" s="181"/>
      <c r="U30" s="181"/>
    </row>
    <row r="31" s="182" customFormat="1" ht="68" customHeight="1" outlineLevel="1" spans="1:21">
      <c r="A31" s="188">
        <v>2.2</v>
      </c>
      <c r="B31" s="192" t="s">
        <v>156</v>
      </c>
      <c r="C31" s="193" t="s">
        <v>189</v>
      </c>
      <c r="D31" s="192" t="s">
        <v>118</v>
      </c>
      <c r="E31" s="194">
        <v>9.86</v>
      </c>
      <c r="F31" s="108">
        <v>200</v>
      </c>
      <c r="G31" s="108">
        <f t="shared" si="9"/>
        <v>432.6</v>
      </c>
      <c r="H31" s="108">
        <v>420</v>
      </c>
      <c r="I31" s="128">
        <v>0.03</v>
      </c>
      <c r="J31" s="108">
        <v>15</v>
      </c>
      <c r="K31" s="108">
        <f t="shared" si="10"/>
        <v>38.856</v>
      </c>
      <c r="L31" s="108">
        <f t="shared" si="11"/>
        <v>61.78104</v>
      </c>
      <c r="M31" s="108">
        <f t="shared" si="12"/>
        <v>748.23704</v>
      </c>
      <c r="N31" s="108">
        <f t="shared" si="13"/>
        <v>7377.6172144</v>
      </c>
      <c r="O31" s="108"/>
      <c r="Q31" s="183"/>
      <c r="R31" s="181"/>
      <c r="S31" s="181"/>
      <c r="T31" s="181"/>
      <c r="U31" s="181"/>
    </row>
    <row r="32" s="182" customFormat="1" ht="83" customHeight="1" outlineLevel="1" spans="1:21">
      <c r="A32" s="188">
        <v>2.3</v>
      </c>
      <c r="B32" s="192" t="s">
        <v>160</v>
      </c>
      <c r="C32" s="193" t="s">
        <v>161</v>
      </c>
      <c r="D32" s="192" t="s">
        <v>162</v>
      </c>
      <c r="E32" s="194">
        <v>1</v>
      </c>
      <c r="F32" s="108">
        <v>155</v>
      </c>
      <c r="G32" s="108">
        <f t="shared" si="9"/>
        <v>459</v>
      </c>
      <c r="H32" s="108">
        <v>450</v>
      </c>
      <c r="I32" s="128">
        <v>0.02</v>
      </c>
      <c r="J32" s="108">
        <v>15</v>
      </c>
      <c r="K32" s="108">
        <f t="shared" si="10"/>
        <v>37.74</v>
      </c>
      <c r="L32" s="108">
        <f t="shared" si="11"/>
        <v>60.0066</v>
      </c>
      <c r="M32" s="108">
        <f t="shared" si="12"/>
        <v>726.7466</v>
      </c>
      <c r="N32" s="108">
        <f t="shared" si="13"/>
        <v>726.7466</v>
      </c>
      <c r="O32" s="108"/>
      <c r="Q32" s="183"/>
      <c r="R32" s="181"/>
      <c r="S32" s="181"/>
      <c r="T32" s="181"/>
      <c r="U32" s="181"/>
    </row>
    <row r="33" s="182" customFormat="1" ht="61" customHeight="1" outlineLevel="1" spans="1:21">
      <c r="A33" s="188">
        <v>2.4</v>
      </c>
      <c r="B33" s="192" t="s">
        <v>163</v>
      </c>
      <c r="C33" s="193" t="s">
        <v>164</v>
      </c>
      <c r="D33" s="188" t="s">
        <v>165</v>
      </c>
      <c r="E33" s="194">
        <v>6.35</v>
      </c>
      <c r="F33" s="108">
        <v>5</v>
      </c>
      <c r="G33" s="108">
        <f t="shared" si="9"/>
        <v>10.1</v>
      </c>
      <c r="H33" s="108">
        <v>10</v>
      </c>
      <c r="I33" s="128">
        <v>0.01</v>
      </c>
      <c r="J33" s="108">
        <v>0.1</v>
      </c>
      <c r="K33" s="108">
        <f t="shared" si="10"/>
        <v>0.912</v>
      </c>
      <c r="L33" s="108">
        <f t="shared" si="11"/>
        <v>1.45008</v>
      </c>
      <c r="M33" s="108">
        <f t="shared" si="12"/>
        <v>17.56208</v>
      </c>
      <c r="N33" s="108">
        <f t="shared" si="13"/>
        <v>111.519208</v>
      </c>
      <c r="O33" s="108"/>
      <c r="Q33" s="183"/>
      <c r="R33" s="181"/>
      <c r="S33" s="181"/>
      <c r="T33" s="181"/>
      <c r="U33" s="181"/>
    </row>
    <row r="34" s="182" customFormat="1" ht="20" customHeight="1" spans="1:21">
      <c r="A34" s="188">
        <v>3</v>
      </c>
      <c r="B34" s="192" t="s">
        <v>167</v>
      </c>
      <c r="C34" s="192"/>
      <c r="D34" s="192"/>
      <c r="E34" s="194"/>
      <c r="F34" s="108"/>
      <c r="G34" s="108"/>
      <c r="H34" s="108"/>
      <c r="I34" s="108"/>
      <c r="J34" s="108"/>
      <c r="K34" s="108"/>
      <c r="L34" s="108"/>
      <c r="M34" s="108"/>
      <c r="N34" s="108">
        <f t="shared" si="13"/>
        <v>0</v>
      </c>
      <c r="O34" s="108"/>
      <c r="Q34" s="183"/>
      <c r="R34" s="181"/>
      <c r="S34" s="181"/>
      <c r="T34" s="181"/>
      <c r="U34" s="181"/>
    </row>
    <row r="35" s="182" customFormat="1" ht="123" customHeight="1" outlineLevel="1" spans="1:21">
      <c r="A35" s="188">
        <v>3.1</v>
      </c>
      <c r="B35" s="192" t="s">
        <v>168</v>
      </c>
      <c r="C35" s="193" t="s">
        <v>190</v>
      </c>
      <c r="D35" s="192" t="s">
        <v>118</v>
      </c>
      <c r="E35" s="194">
        <v>8.53</v>
      </c>
      <c r="F35" s="108">
        <v>115</v>
      </c>
      <c r="G35" s="108">
        <f>H35*(1+I35)</f>
        <v>61.2</v>
      </c>
      <c r="H35" s="108">
        <v>60</v>
      </c>
      <c r="I35" s="128">
        <v>0.02</v>
      </c>
      <c r="J35" s="108">
        <v>5</v>
      </c>
      <c r="K35" s="108">
        <f>(F35+G35+J35)*0.06</f>
        <v>10.872</v>
      </c>
      <c r="L35" s="108">
        <f>(F35+G35+J35+K35)*0.09</f>
        <v>17.28648</v>
      </c>
      <c r="M35" s="108">
        <f>F35+G35+J35+K35+L35</f>
        <v>209.35848</v>
      </c>
      <c r="N35" s="108">
        <f t="shared" si="13"/>
        <v>1785.8278344</v>
      </c>
      <c r="O35" s="209" t="s">
        <v>171</v>
      </c>
      <c r="Q35" s="183"/>
      <c r="R35" s="181"/>
      <c r="S35" s="181"/>
      <c r="T35" s="181"/>
      <c r="U35" s="181"/>
    </row>
    <row r="36" s="182" customFormat="1" ht="39" customHeight="1" outlineLevel="1" spans="1:21">
      <c r="A36" s="188">
        <v>3.2</v>
      </c>
      <c r="B36" s="192" t="s">
        <v>172</v>
      </c>
      <c r="C36" s="193" t="s">
        <v>173</v>
      </c>
      <c r="D36" s="192" t="s">
        <v>165</v>
      </c>
      <c r="E36" s="194">
        <v>9.256</v>
      </c>
      <c r="F36" s="108">
        <v>20</v>
      </c>
      <c r="G36" s="108">
        <f>H36*(1+I36)</f>
        <v>20.4</v>
      </c>
      <c r="H36" s="108">
        <v>20</v>
      </c>
      <c r="I36" s="128">
        <v>0.02</v>
      </c>
      <c r="J36" s="108">
        <v>5</v>
      </c>
      <c r="K36" s="108">
        <f>(F36+G36+J36)*0.06</f>
        <v>2.724</v>
      </c>
      <c r="L36" s="108">
        <f>(F36+G36+J36+K36)*0.09</f>
        <v>4.33116</v>
      </c>
      <c r="M36" s="108">
        <f>F36+G36+J36+K36+L36</f>
        <v>52.45516</v>
      </c>
      <c r="N36" s="108">
        <f t="shared" si="13"/>
        <v>485.52496096</v>
      </c>
      <c r="O36" s="108"/>
      <c r="Q36" s="183"/>
      <c r="R36" s="181"/>
      <c r="S36" s="181"/>
      <c r="T36" s="181"/>
      <c r="U36" s="181"/>
    </row>
    <row r="37" s="182" customFormat="1" ht="52" customHeight="1" outlineLevel="1" spans="1:21">
      <c r="A37" s="188">
        <v>3.3</v>
      </c>
      <c r="B37" s="192" t="s">
        <v>174</v>
      </c>
      <c r="C37" s="193" t="s">
        <v>175</v>
      </c>
      <c r="D37" s="192" t="s">
        <v>118</v>
      </c>
      <c r="E37" s="194"/>
      <c r="F37" s="108">
        <v>20</v>
      </c>
      <c r="G37" s="108">
        <f t="shared" ref="G37:G42" si="14">H37*(1+I37)</f>
        <v>12.524</v>
      </c>
      <c r="H37" s="108">
        <v>12.4</v>
      </c>
      <c r="I37" s="128">
        <v>0.01</v>
      </c>
      <c r="J37" s="108">
        <v>2</v>
      </c>
      <c r="K37" s="108">
        <f t="shared" ref="K37:K42" si="15">(F37+G37+J37)*0.06</f>
        <v>2.07144</v>
      </c>
      <c r="L37" s="108">
        <f t="shared" ref="L37:L42" si="16">(F37+G37+J37+K37)*0.09</f>
        <v>3.2935896</v>
      </c>
      <c r="M37" s="108">
        <f t="shared" ref="M37:M42" si="17">F37+G37+J37+K37+L37</f>
        <v>39.8890296</v>
      </c>
      <c r="N37" s="108">
        <f t="shared" si="13"/>
        <v>0</v>
      </c>
      <c r="O37" s="108" t="s">
        <v>183</v>
      </c>
      <c r="Q37" s="183"/>
      <c r="R37" s="181"/>
      <c r="S37" s="181"/>
      <c r="T37" s="181"/>
      <c r="U37" s="181"/>
    </row>
    <row r="38" s="182" customFormat="1" ht="105" customHeight="1" outlineLevel="1" spans="1:21">
      <c r="A38" s="188">
        <v>3.4</v>
      </c>
      <c r="B38" s="192" t="s">
        <v>177</v>
      </c>
      <c r="C38" s="193" t="s">
        <v>178</v>
      </c>
      <c r="D38" s="192" t="s">
        <v>118</v>
      </c>
      <c r="E38" s="194">
        <v>6.71</v>
      </c>
      <c r="F38" s="108">
        <v>115</v>
      </c>
      <c r="G38" s="108">
        <f t="shared" si="14"/>
        <v>66.3</v>
      </c>
      <c r="H38" s="108">
        <v>65</v>
      </c>
      <c r="I38" s="128">
        <v>0.02</v>
      </c>
      <c r="J38" s="108">
        <v>5</v>
      </c>
      <c r="K38" s="108">
        <f t="shared" si="15"/>
        <v>11.178</v>
      </c>
      <c r="L38" s="108">
        <f t="shared" si="16"/>
        <v>17.77302</v>
      </c>
      <c r="M38" s="108">
        <f t="shared" si="17"/>
        <v>215.25102</v>
      </c>
      <c r="N38" s="108">
        <f t="shared" si="13"/>
        <v>1444.3343442</v>
      </c>
      <c r="O38" s="108"/>
      <c r="Q38" s="183"/>
      <c r="R38" s="181"/>
      <c r="S38" s="181"/>
      <c r="T38" s="181"/>
      <c r="U38" s="181"/>
    </row>
    <row r="39" s="182" customFormat="1" ht="65" customHeight="1" outlineLevel="1" spans="1:21">
      <c r="A39" s="188">
        <v>3.5</v>
      </c>
      <c r="B39" s="201" t="s">
        <v>179</v>
      </c>
      <c r="C39" s="202" t="s">
        <v>175</v>
      </c>
      <c r="D39" s="192" t="s">
        <v>118</v>
      </c>
      <c r="E39" s="194"/>
      <c r="F39" s="108">
        <v>20</v>
      </c>
      <c r="G39" s="108">
        <f t="shared" si="14"/>
        <v>12.524</v>
      </c>
      <c r="H39" s="108">
        <v>12.4</v>
      </c>
      <c r="I39" s="128">
        <v>0.01</v>
      </c>
      <c r="J39" s="108">
        <v>2</v>
      </c>
      <c r="K39" s="108">
        <f t="shared" si="15"/>
        <v>2.07144</v>
      </c>
      <c r="L39" s="108">
        <f t="shared" si="16"/>
        <v>3.2935896</v>
      </c>
      <c r="M39" s="108">
        <f t="shared" si="17"/>
        <v>39.8890296</v>
      </c>
      <c r="N39" s="108">
        <f t="shared" si="13"/>
        <v>0</v>
      </c>
      <c r="O39" s="108"/>
      <c r="Q39" s="183"/>
      <c r="R39" s="181"/>
      <c r="S39" s="181"/>
      <c r="T39" s="181"/>
      <c r="U39" s="181"/>
    </row>
    <row r="40" s="182" customFormat="1" ht="39" customHeight="1" outlineLevel="1" spans="1:21">
      <c r="A40" s="188">
        <v>3.6</v>
      </c>
      <c r="B40" s="201" t="s">
        <v>181</v>
      </c>
      <c r="C40" s="202" t="s">
        <v>191</v>
      </c>
      <c r="D40" s="192" t="s">
        <v>118</v>
      </c>
      <c r="E40" s="194">
        <v>7.579</v>
      </c>
      <c r="F40" s="108">
        <v>20</v>
      </c>
      <c r="G40" s="108">
        <f t="shared" si="14"/>
        <v>12.524</v>
      </c>
      <c r="H40" s="108">
        <v>12.4</v>
      </c>
      <c r="I40" s="128">
        <v>0.01</v>
      </c>
      <c r="J40" s="108">
        <v>2</v>
      </c>
      <c r="K40" s="108">
        <f t="shared" si="15"/>
        <v>2.07144</v>
      </c>
      <c r="L40" s="108">
        <f t="shared" si="16"/>
        <v>3.2935896</v>
      </c>
      <c r="M40" s="108">
        <f t="shared" si="17"/>
        <v>39.8890296</v>
      </c>
      <c r="N40" s="108">
        <f t="shared" si="13"/>
        <v>302.3189553384</v>
      </c>
      <c r="O40" s="108" t="s">
        <v>183</v>
      </c>
      <c r="Q40" s="183"/>
      <c r="R40" s="181"/>
      <c r="S40" s="181"/>
      <c r="T40" s="181"/>
      <c r="U40" s="181"/>
    </row>
    <row r="41" s="182" customFormat="1" ht="39" customHeight="1" outlineLevel="1" spans="1:21">
      <c r="A41" s="188">
        <v>3.7</v>
      </c>
      <c r="B41" s="201" t="s">
        <v>181</v>
      </c>
      <c r="C41" s="202" t="s">
        <v>184</v>
      </c>
      <c r="D41" s="192" t="s">
        <v>118</v>
      </c>
      <c r="E41" s="194">
        <v>2.06</v>
      </c>
      <c r="F41" s="108">
        <v>20</v>
      </c>
      <c r="G41" s="108">
        <f t="shared" si="14"/>
        <v>12.524</v>
      </c>
      <c r="H41" s="108">
        <v>12.4</v>
      </c>
      <c r="I41" s="128">
        <v>0.01</v>
      </c>
      <c r="J41" s="108">
        <v>2</v>
      </c>
      <c r="K41" s="108">
        <f t="shared" si="15"/>
        <v>2.07144</v>
      </c>
      <c r="L41" s="108">
        <f t="shared" si="16"/>
        <v>3.2935896</v>
      </c>
      <c r="M41" s="108">
        <f t="shared" si="17"/>
        <v>39.8890296</v>
      </c>
      <c r="N41" s="108">
        <f t="shared" si="13"/>
        <v>82.171400976</v>
      </c>
      <c r="O41" s="108" t="s">
        <v>183</v>
      </c>
      <c r="Q41" s="183"/>
      <c r="R41" s="181"/>
      <c r="S41" s="181"/>
      <c r="T41" s="181"/>
      <c r="U41" s="181"/>
    </row>
    <row r="42" s="182" customFormat="1" ht="61" customHeight="1" outlineLevel="1" spans="1:21">
      <c r="A42" s="188">
        <v>3.8</v>
      </c>
      <c r="B42" s="192" t="s">
        <v>185</v>
      </c>
      <c r="C42" s="193" t="s">
        <v>192</v>
      </c>
      <c r="D42" s="192" t="s">
        <v>165</v>
      </c>
      <c r="E42" s="194">
        <v>10.32</v>
      </c>
      <c r="F42" s="108">
        <v>120</v>
      </c>
      <c r="G42" s="108">
        <f t="shared" si="14"/>
        <v>76.5</v>
      </c>
      <c r="H42" s="108">
        <v>75</v>
      </c>
      <c r="I42" s="128">
        <v>0.02</v>
      </c>
      <c r="J42" s="108">
        <v>5</v>
      </c>
      <c r="K42" s="108">
        <f t="shared" si="15"/>
        <v>12.09</v>
      </c>
      <c r="L42" s="108">
        <f t="shared" si="16"/>
        <v>19.2231</v>
      </c>
      <c r="M42" s="108">
        <f t="shared" si="17"/>
        <v>232.8131</v>
      </c>
      <c r="N42" s="108">
        <f t="shared" si="13"/>
        <v>2402.631192</v>
      </c>
      <c r="O42" s="209" t="s">
        <v>171</v>
      </c>
      <c r="Q42" s="183"/>
      <c r="R42" s="181"/>
      <c r="S42" s="181"/>
      <c r="T42" s="181"/>
      <c r="U42" s="181"/>
    </row>
    <row r="43" s="182" customFormat="1" ht="31" customHeight="1" spans="1:21">
      <c r="A43" s="188">
        <v>4</v>
      </c>
      <c r="B43" s="192" t="s">
        <v>187</v>
      </c>
      <c r="C43" s="192"/>
      <c r="D43" s="192" t="s">
        <v>188</v>
      </c>
      <c r="E43" s="194"/>
      <c r="F43" s="108"/>
      <c r="G43" s="108"/>
      <c r="H43" s="108"/>
      <c r="I43" s="108"/>
      <c r="J43" s="108"/>
      <c r="K43" s="108"/>
      <c r="L43" s="108"/>
      <c r="M43" s="108"/>
      <c r="N43" s="108">
        <f>SUM(N27:N42)</f>
        <v>31331.7905753784</v>
      </c>
      <c r="O43" s="108"/>
      <c r="Q43" s="183"/>
      <c r="R43" s="181"/>
      <c r="S43" s="181"/>
      <c r="T43" s="181"/>
      <c r="U43" s="181"/>
    </row>
    <row r="44" s="182" customFormat="1" ht="23" customHeight="1" spans="1:21">
      <c r="A44" s="192" t="s">
        <v>72</v>
      </c>
      <c r="B44" s="203" t="s">
        <v>103</v>
      </c>
      <c r="C44" s="204"/>
      <c r="D44" s="192"/>
      <c r="E44" s="19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Q44" s="183"/>
      <c r="R44" s="181"/>
      <c r="S44" s="181"/>
      <c r="T44" s="181"/>
      <c r="U44" s="181"/>
    </row>
    <row r="45" s="182" customFormat="1" ht="24" customHeight="1" spans="1:21">
      <c r="A45" s="192">
        <v>1</v>
      </c>
      <c r="B45" s="192" t="s">
        <v>143</v>
      </c>
      <c r="C45" s="192"/>
      <c r="D45" s="192"/>
      <c r="E45" s="194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Q45" s="183"/>
      <c r="R45" s="181"/>
      <c r="S45" s="181"/>
      <c r="T45" s="181"/>
      <c r="U45" s="181"/>
    </row>
    <row r="46" s="182" customFormat="1" ht="98" customHeight="1" outlineLevel="1" spans="1:21">
      <c r="A46" s="192">
        <v>1.1</v>
      </c>
      <c r="B46" s="192" t="s">
        <v>144</v>
      </c>
      <c r="C46" s="193" t="s">
        <v>145</v>
      </c>
      <c r="D46" s="192" t="s">
        <v>118</v>
      </c>
      <c r="E46" s="194">
        <f>41.46/2+1.26/2</f>
        <v>21.36</v>
      </c>
      <c r="F46" s="108">
        <v>55</v>
      </c>
      <c r="G46" s="108">
        <f t="shared" ref="G46:G54" si="18">H46*(1+I46)</f>
        <v>84.66</v>
      </c>
      <c r="H46" s="108">
        <v>83</v>
      </c>
      <c r="I46" s="128">
        <v>0.02</v>
      </c>
      <c r="J46" s="108">
        <v>25</v>
      </c>
      <c r="K46" s="108">
        <f t="shared" ref="K46:K54" si="19">(F46+G46+J46)*0.06</f>
        <v>9.8796</v>
      </c>
      <c r="L46" s="108">
        <f t="shared" ref="L46:L54" si="20">(F46+G46+J46+K46)*0.09</f>
        <v>15.708564</v>
      </c>
      <c r="M46" s="108">
        <f t="shared" ref="M46:M54" si="21">F46+G46+J46+K46+L46</f>
        <v>190.248164</v>
      </c>
      <c r="N46" s="205">
        <f>M46*E46</f>
        <v>4063.70078304</v>
      </c>
      <c r="O46" s="108" t="s">
        <v>146</v>
      </c>
      <c r="Q46" s="183"/>
      <c r="R46" s="181"/>
      <c r="S46" s="181"/>
      <c r="T46" s="181"/>
      <c r="U46" s="181"/>
    </row>
    <row r="47" s="182" customFormat="1" ht="72" customHeight="1" outlineLevel="1" spans="1:21">
      <c r="A47" s="192">
        <v>1.2</v>
      </c>
      <c r="B47" s="192" t="s">
        <v>148</v>
      </c>
      <c r="C47" s="193" t="s">
        <v>149</v>
      </c>
      <c r="D47" s="192" t="s">
        <v>118</v>
      </c>
      <c r="E47" s="194"/>
      <c r="F47" s="108">
        <v>70</v>
      </c>
      <c r="G47" s="108">
        <f t="shared" si="18"/>
        <v>85.49</v>
      </c>
      <c r="H47" s="108">
        <v>83</v>
      </c>
      <c r="I47" s="128">
        <v>0.03</v>
      </c>
      <c r="J47" s="108">
        <v>25</v>
      </c>
      <c r="K47" s="108">
        <f t="shared" si="19"/>
        <v>10.8294</v>
      </c>
      <c r="L47" s="108">
        <f t="shared" si="20"/>
        <v>17.218746</v>
      </c>
      <c r="M47" s="108">
        <f t="shared" si="21"/>
        <v>208.538146</v>
      </c>
      <c r="N47" s="205">
        <f t="shared" ref="N47:N62" si="22">M47*E47</f>
        <v>0</v>
      </c>
      <c r="O47" s="108" t="s">
        <v>146</v>
      </c>
      <c r="Q47" s="183"/>
      <c r="R47" s="181"/>
      <c r="S47" s="181"/>
      <c r="T47" s="181"/>
      <c r="U47" s="181"/>
    </row>
    <row r="48" s="182" customFormat="1" ht="36" customHeight="1" spans="1:21">
      <c r="A48" s="192">
        <v>2</v>
      </c>
      <c r="B48" s="192" t="s">
        <v>151</v>
      </c>
      <c r="C48" s="192"/>
      <c r="D48" s="192"/>
      <c r="E48" s="194"/>
      <c r="F48" s="205"/>
      <c r="G48" s="205"/>
      <c r="H48" s="205"/>
      <c r="I48" s="205"/>
      <c r="J48" s="205"/>
      <c r="K48" s="205"/>
      <c r="L48" s="205"/>
      <c r="M48" s="205"/>
      <c r="N48" s="205">
        <f t="shared" si="22"/>
        <v>0</v>
      </c>
      <c r="O48" s="205"/>
      <c r="Q48" s="183"/>
      <c r="R48" s="181"/>
      <c r="S48" s="181"/>
      <c r="T48" s="181"/>
      <c r="U48" s="181"/>
    </row>
    <row r="49" s="182" customFormat="1" ht="74" customHeight="1" outlineLevel="1" spans="1:21">
      <c r="A49" s="192">
        <v>2.1</v>
      </c>
      <c r="B49" s="199" t="s">
        <v>152</v>
      </c>
      <c r="C49" s="200" t="s">
        <v>193</v>
      </c>
      <c r="D49" s="192" t="s">
        <v>118</v>
      </c>
      <c r="E49" s="194">
        <f>94.34/2</f>
        <v>47.17</v>
      </c>
      <c r="F49" s="108">
        <v>55</v>
      </c>
      <c r="G49" s="108">
        <f t="shared" si="18"/>
        <v>66.3</v>
      </c>
      <c r="H49" s="108">
        <v>65</v>
      </c>
      <c r="I49" s="128">
        <v>0.02</v>
      </c>
      <c r="J49" s="108">
        <v>25</v>
      </c>
      <c r="K49" s="108">
        <f t="shared" si="19"/>
        <v>8.778</v>
      </c>
      <c r="L49" s="108">
        <f t="shared" si="20"/>
        <v>13.95702</v>
      </c>
      <c r="M49" s="108">
        <f t="shared" si="21"/>
        <v>169.03502</v>
      </c>
      <c r="N49" s="205">
        <f t="shared" si="22"/>
        <v>7973.3818934</v>
      </c>
      <c r="O49" s="108" t="s">
        <v>154</v>
      </c>
      <c r="Q49" s="183"/>
      <c r="R49" s="181"/>
      <c r="S49" s="181"/>
      <c r="T49" s="181"/>
      <c r="U49" s="181"/>
    </row>
    <row r="50" s="182" customFormat="1" ht="70" customHeight="1" outlineLevel="1" spans="1:21">
      <c r="A50" s="192">
        <v>2.1</v>
      </c>
      <c r="B50" s="192" t="s">
        <v>160</v>
      </c>
      <c r="C50" s="193" t="s">
        <v>161</v>
      </c>
      <c r="D50" s="192" t="s">
        <v>162</v>
      </c>
      <c r="E50" s="194">
        <v>1</v>
      </c>
      <c r="F50" s="108">
        <v>155</v>
      </c>
      <c r="G50" s="108">
        <f t="shared" si="18"/>
        <v>459</v>
      </c>
      <c r="H50" s="108">
        <v>450</v>
      </c>
      <c r="I50" s="128">
        <v>0.02</v>
      </c>
      <c r="J50" s="108">
        <v>15</v>
      </c>
      <c r="K50" s="108">
        <f t="shared" si="19"/>
        <v>37.74</v>
      </c>
      <c r="L50" s="108">
        <f t="shared" si="20"/>
        <v>60.0066</v>
      </c>
      <c r="M50" s="108">
        <f t="shared" si="21"/>
        <v>726.7466</v>
      </c>
      <c r="N50" s="205">
        <f t="shared" si="22"/>
        <v>726.7466</v>
      </c>
      <c r="O50" s="205"/>
      <c r="Q50" s="183"/>
      <c r="R50" s="181"/>
      <c r="S50" s="181"/>
      <c r="T50" s="181"/>
      <c r="U50" s="181"/>
    </row>
    <row r="51" s="182" customFormat="1" ht="58" customHeight="1" outlineLevel="1" spans="1:21">
      <c r="A51" s="192">
        <v>2.3</v>
      </c>
      <c r="B51" s="192" t="s">
        <v>163</v>
      </c>
      <c r="C51" s="193" t="s">
        <v>164</v>
      </c>
      <c r="D51" s="188" t="s">
        <v>165</v>
      </c>
      <c r="E51" s="194">
        <f>3.67/2</f>
        <v>1.835</v>
      </c>
      <c r="F51" s="108">
        <v>5</v>
      </c>
      <c r="G51" s="108">
        <f t="shared" si="18"/>
        <v>10.1</v>
      </c>
      <c r="H51" s="108">
        <v>10</v>
      </c>
      <c r="I51" s="128">
        <v>0.01</v>
      </c>
      <c r="J51" s="108">
        <v>0.1</v>
      </c>
      <c r="K51" s="108">
        <f t="shared" si="19"/>
        <v>0.912</v>
      </c>
      <c r="L51" s="108">
        <f t="shared" si="20"/>
        <v>1.45008</v>
      </c>
      <c r="M51" s="108">
        <f t="shared" si="21"/>
        <v>17.56208</v>
      </c>
      <c r="N51" s="108">
        <f>E51*M51</f>
        <v>32.2264168</v>
      </c>
      <c r="O51" s="205"/>
      <c r="Q51" s="183"/>
      <c r="R51" s="181"/>
      <c r="S51" s="181"/>
      <c r="T51" s="181"/>
      <c r="U51" s="181"/>
    </row>
    <row r="52" s="182" customFormat="1" ht="57" customHeight="1" outlineLevel="1" spans="1:21">
      <c r="A52" s="192">
        <v>2.4</v>
      </c>
      <c r="B52" s="201" t="s">
        <v>194</v>
      </c>
      <c r="C52" s="202" t="s">
        <v>175</v>
      </c>
      <c r="D52" s="192" t="s">
        <v>118</v>
      </c>
      <c r="E52" s="194">
        <f>2.4/2</f>
        <v>1.2</v>
      </c>
      <c r="F52" s="108">
        <v>20</v>
      </c>
      <c r="G52" s="108">
        <f t="shared" si="18"/>
        <v>12.524</v>
      </c>
      <c r="H52" s="108">
        <v>12.4</v>
      </c>
      <c r="I52" s="128">
        <v>0.01</v>
      </c>
      <c r="J52" s="108">
        <v>2</v>
      </c>
      <c r="K52" s="108">
        <f t="shared" si="19"/>
        <v>2.07144</v>
      </c>
      <c r="L52" s="108">
        <f t="shared" si="20"/>
        <v>3.2935896</v>
      </c>
      <c r="M52" s="108">
        <f t="shared" si="21"/>
        <v>39.8890296</v>
      </c>
      <c r="N52" s="205">
        <f t="shared" si="22"/>
        <v>47.86683552</v>
      </c>
      <c r="O52" s="108" t="s">
        <v>183</v>
      </c>
      <c r="Q52" s="183"/>
      <c r="R52" s="181"/>
      <c r="S52" s="181"/>
      <c r="T52" s="181"/>
      <c r="U52" s="181"/>
    </row>
    <row r="53" s="182" customFormat="1" ht="50" customHeight="1" outlineLevel="1" spans="1:21">
      <c r="A53" s="192">
        <v>2.5</v>
      </c>
      <c r="B53" s="192" t="s">
        <v>158</v>
      </c>
      <c r="C53" s="193" t="s">
        <v>159</v>
      </c>
      <c r="D53" s="192" t="s">
        <v>118</v>
      </c>
      <c r="E53" s="194">
        <f>3.5/2</f>
        <v>1.75</v>
      </c>
      <c r="F53" s="108">
        <v>200</v>
      </c>
      <c r="G53" s="108">
        <f t="shared" si="18"/>
        <v>315</v>
      </c>
      <c r="H53" s="108">
        <v>300</v>
      </c>
      <c r="I53" s="128">
        <v>0.05</v>
      </c>
      <c r="J53" s="108">
        <v>15</v>
      </c>
      <c r="K53" s="108">
        <f t="shared" si="19"/>
        <v>31.8</v>
      </c>
      <c r="L53" s="108">
        <f t="shared" si="20"/>
        <v>50.562</v>
      </c>
      <c r="M53" s="108">
        <f t="shared" si="21"/>
        <v>612.362</v>
      </c>
      <c r="N53" s="205">
        <f t="shared" si="22"/>
        <v>1071.6335</v>
      </c>
      <c r="O53" s="205"/>
      <c r="Q53" s="183"/>
      <c r="R53" s="181"/>
      <c r="S53" s="181"/>
      <c r="T53" s="181"/>
      <c r="U53" s="181"/>
    </row>
    <row r="54" s="182" customFormat="1" ht="37" customHeight="1" outlineLevel="1" spans="1:21">
      <c r="A54" s="192">
        <v>2.6</v>
      </c>
      <c r="B54" s="192" t="s">
        <v>195</v>
      </c>
      <c r="C54" s="193" t="s">
        <v>196</v>
      </c>
      <c r="D54" s="192" t="s">
        <v>118</v>
      </c>
      <c r="E54" s="194">
        <f>9/2</f>
        <v>4.5</v>
      </c>
      <c r="F54" s="108">
        <v>200</v>
      </c>
      <c r="G54" s="108">
        <f t="shared" si="18"/>
        <v>432.6</v>
      </c>
      <c r="H54" s="108">
        <v>420</v>
      </c>
      <c r="I54" s="128">
        <v>0.03</v>
      </c>
      <c r="J54" s="108">
        <v>15</v>
      </c>
      <c r="K54" s="108">
        <f t="shared" si="19"/>
        <v>38.856</v>
      </c>
      <c r="L54" s="108">
        <f t="shared" si="20"/>
        <v>61.78104</v>
      </c>
      <c r="M54" s="108">
        <f t="shared" si="21"/>
        <v>748.23704</v>
      </c>
      <c r="N54" s="205">
        <f t="shared" si="22"/>
        <v>3367.06668</v>
      </c>
      <c r="O54" s="205"/>
      <c r="Q54" s="183"/>
      <c r="R54" s="181"/>
      <c r="S54" s="181"/>
      <c r="T54" s="181"/>
      <c r="U54" s="181"/>
    </row>
    <row r="55" s="182" customFormat="1" ht="20" customHeight="1" spans="1:21">
      <c r="A55" s="192">
        <v>3</v>
      </c>
      <c r="B55" s="192" t="s">
        <v>167</v>
      </c>
      <c r="C55" s="192"/>
      <c r="D55" s="192"/>
      <c r="E55" s="194"/>
      <c r="F55" s="205"/>
      <c r="G55" s="205"/>
      <c r="H55" s="205"/>
      <c r="I55" s="205"/>
      <c r="J55" s="205"/>
      <c r="K55" s="205"/>
      <c r="L55" s="205"/>
      <c r="M55" s="108"/>
      <c r="N55" s="205">
        <f t="shared" si="22"/>
        <v>0</v>
      </c>
      <c r="O55" s="205"/>
      <c r="Q55" s="183"/>
      <c r="R55" s="181"/>
      <c r="S55" s="181"/>
      <c r="T55" s="181"/>
      <c r="U55" s="181"/>
    </row>
    <row r="56" s="182" customFormat="1" ht="160" customHeight="1" outlineLevel="1" spans="1:21">
      <c r="A56" s="192">
        <v>3.1</v>
      </c>
      <c r="B56" s="192" t="s">
        <v>168</v>
      </c>
      <c r="C56" s="193" t="s">
        <v>169</v>
      </c>
      <c r="D56" s="192" t="s">
        <v>170</v>
      </c>
      <c r="E56" s="194">
        <f>15.86/2</f>
        <v>7.93</v>
      </c>
      <c r="F56" s="108">
        <v>115</v>
      </c>
      <c r="G56" s="108">
        <f t="shared" ref="G56:G62" si="23">H56*(1+I56)</f>
        <v>61.2</v>
      </c>
      <c r="H56" s="108">
        <v>60</v>
      </c>
      <c r="I56" s="128">
        <v>0.02</v>
      </c>
      <c r="J56" s="108">
        <v>5</v>
      </c>
      <c r="K56" s="108">
        <f t="shared" ref="K56:K62" si="24">(F56+G56+J56)*0.06</f>
        <v>10.872</v>
      </c>
      <c r="L56" s="108">
        <f t="shared" ref="L56:L62" si="25">(F56+G56+J56+K56)*0.09</f>
        <v>17.28648</v>
      </c>
      <c r="M56" s="108">
        <f>F56+G56+J56+K56+L56</f>
        <v>209.35848</v>
      </c>
      <c r="N56" s="205">
        <f t="shared" si="22"/>
        <v>1660.2127464</v>
      </c>
      <c r="O56" s="209" t="s">
        <v>171</v>
      </c>
      <c r="Q56" s="183"/>
      <c r="R56" s="181"/>
      <c r="S56" s="181"/>
      <c r="T56" s="181"/>
      <c r="U56" s="181"/>
    </row>
    <row r="57" s="182" customFormat="1" ht="39" customHeight="1" outlineLevel="1" spans="1:21">
      <c r="A57" s="192">
        <v>3.2</v>
      </c>
      <c r="B57" s="192" t="s">
        <v>172</v>
      </c>
      <c r="C57" s="193" t="s">
        <v>173</v>
      </c>
      <c r="D57" s="192" t="s">
        <v>165</v>
      </c>
      <c r="E57" s="194">
        <f>23.16/2</f>
        <v>11.58</v>
      </c>
      <c r="F57" s="108">
        <v>20</v>
      </c>
      <c r="G57" s="108">
        <f t="shared" si="23"/>
        <v>20.4</v>
      </c>
      <c r="H57" s="108">
        <v>20</v>
      </c>
      <c r="I57" s="128">
        <v>0.02</v>
      </c>
      <c r="J57" s="108">
        <v>5</v>
      </c>
      <c r="K57" s="108">
        <f t="shared" si="24"/>
        <v>2.724</v>
      </c>
      <c r="L57" s="108">
        <f t="shared" si="25"/>
        <v>4.33116</v>
      </c>
      <c r="M57" s="108">
        <f t="shared" ref="M57:M62" si="26">F57+G57+J57+K57+L57</f>
        <v>52.45516</v>
      </c>
      <c r="N57" s="205">
        <f t="shared" si="22"/>
        <v>607.4307528</v>
      </c>
      <c r="O57" s="205"/>
      <c r="Q57" s="183"/>
      <c r="R57" s="181"/>
      <c r="S57" s="181"/>
      <c r="T57" s="181"/>
      <c r="U57" s="181"/>
    </row>
    <row r="58" s="182" customFormat="1" ht="48" customHeight="1" outlineLevel="1" spans="1:21">
      <c r="A58" s="192">
        <v>3.3</v>
      </c>
      <c r="B58" s="192" t="s">
        <v>174</v>
      </c>
      <c r="C58" s="193" t="s">
        <v>175</v>
      </c>
      <c r="D58" s="192" t="s">
        <v>170</v>
      </c>
      <c r="E58" s="194"/>
      <c r="F58" s="108">
        <v>20</v>
      </c>
      <c r="G58" s="108">
        <f t="shared" si="23"/>
        <v>12.524</v>
      </c>
      <c r="H58" s="108">
        <v>12.4</v>
      </c>
      <c r="I58" s="128">
        <v>0.01</v>
      </c>
      <c r="J58" s="108">
        <v>2</v>
      </c>
      <c r="K58" s="108">
        <f t="shared" si="24"/>
        <v>2.07144</v>
      </c>
      <c r="L58" s="108">
        <f t="shared" si="25"/>
        <v>3.2935896</v>
      </c>
      <c r="M58" s="108">
        <f t="shared" si="26"/>
        <v>39.8890296</v>
      </c>
      <c r="N58" s="205">
        <f t="shared" si="22"/>
        <v>0</v>
      </c>
      <c r="O58" s="108" t="s">
        <v>183</v>
      </c>
      <c r="Q58" s="183"/>
      <c r="R58" s="181"/>
      <c r="S58" s="181"/>
      <c r="T58" s="181"/>
      <c r="U58" s="181"/>
    </row>
    <row r="59" s="182" customFormat="1" ht="60" customHeight="1" outlineLevel="1" spans="1:21">
      <c r="A59" s="192">
        <v>3.4</v>
      </c>
      <c r="B59" s="192" t="s">
        <v>177</v>
      </c>
      <c r="C59" s="193" t="s">
        <v>178</v>
      </c>
      <c r="D59" s="192" t="s">
        <v>118</v>
      </c>
      <c r="E59" s="194">
        <f>16.34/2</f>
        <v>8.17</v>
      </c>
      <c r="F59" s="108">
        <v>115</v>
      </c>
      <c r="G59" s="108">
        <f t="shared" si="23"/>
        <v>66.3</v>
      </c>
      <c r="H59" s="108">
        <v>65</v>
      </c>
      <c r="I59" s="128">
        <v>0.02</v>
      </c>
      <c r="J59" s="108">
        <v>5</v>
      </c>
      <c r="K59" s="108">
        <f t="shared" si="24"/>
        <v>11.178</v>
      </c>
      <c r="L59" s="108">
        <f t="shared" si="25"/>
        <v>17.77302</v>
      </c>
      <c r="M59" s="108">
        <f t="shared" si="26"/>
        <v>215.25102</v>
      </c>
      <c r="N59" s="205">
        <f t="shared" si="22"/>
        <v>1758.6008334</v>
      </c>
      <c r="O59" s="205"/>
      <c r="Q59" s="183"/>
      <c r="R59" s="181"/>
      <c r="S59" s="181"/>
      <c r="T59" s="181"/>
      <c r="U59" s="181"/>
    </row>
    <row r="60" s="182" customFormat="1" ht="39" customHeight="1" outlineLevel="1" spans="1:21">
      <c r="A60" s="192">
        <v>3.5</v>
      </c>
      <c r="B60" s="201" t="s">
        <v>179</v>
      </c>
      <c r="C60" s="202" t="s">
        <v>180</v>
      </c>
      <c r="D60" s="192" t="s">
        <v>118</v>
      </c>
      <c r="E60" s="194"/>
      <c r="F60" s="108">
        <v>20</v>
      </c>
      <c r="G60" s="108">
        <f t="shared" si="23"/>
        <v>12.524</v>
      </c>
      <c r="H60" s="108">
        <v>12.4</v>
      </c>
      <c r="I60" s="128">
        <v>0.01</v>
      </c>
      <c r="J60" s="108">
        <v>2</v>
      </c>
      <c r="K60" s="108">
        <f t="shared" si="24"/>
        <v>2.07144</v>
      </c>
      <c r="L60" s="108">
        <f t="shared" si="25"/>
        <v>3.2935896</v>
      </c>
      <c r="M60" s="108">
        <f t="shared" si="26"/>
        <v>39.8890296</v>
      </c>
      <c r="N60" s="205">
        <f t="shared" si="22"/>
        <v>0</v>
      </c>
      <c r="O60" s="205"/>
      <c r="Q60" s="183"/>
      <c r="R60" s="181"/>
      <c r="S60" s="181"/>
      <c r="T60" s="181"/>
      <c r="U60" s="181"/>
    </row>
    <row r="61" s="182" customFormat="1" ht="57" customHeight="1" outlineLevel="1" spans="1:21">
      <c r="A61" s="192">
        <v>3.6</v>
      </c>
      <c r="B61" s="201" t="s">
        <v>181</v>
      </c>
      <c r="C61" s="202" t="s">
        <v>197</v>
      </c>
      <c r="D61" s="192" t="s">
        <v>118</v>
      </c>
      <c r="E61" s="194">
        <f>8.8/2</f>
        <v>4.4</v>
      </c>
      <c r="F61" s="108">
        <v>20</v>
      </c>
      <c r="G61" s="108">
        <f t="shared" si="23"/>
        <v>12.524</v>
      </c>
      <c r="H61" s="108">
        <v>12.4</v>
      </c>
      <c r="I61" s="128">
        <v>0.01</v>
      </c>
      <c r="J61" s="108">
        <v>2</v>
      </c>
      <c r="K61" s="108">
        <f t="shared" si="24"/>
        <v>2.07144</v>
      </c>
      <c r="L61" s="108">
        <f t="shared" si="25"/>
        <v>3.2935896</v>
      </c>
      <c r="M61" s="108">
        <f t="shared" si="26"/>
        <v>39.8890296</v>
      </c>
      <c r="N61" s="205">
        <f t="shared" si="22"/>
        <v>175.51173024</v>
      </c>
      <c r="O61" s="108" t="s">
        <v>183</v>
      </c>
      <c r="Q61" s="183"/>
      <c r="R61" s="181"/>
      <c r="S61" s="181"/>
      <c r="T61" s="181"/>
      <c r="U61" s="181"/>
    </row>
    <row r="62" s="182" customFormat="1" ht="58" customHeight="1" outlineLevel="1" spans="1:21">
      <c r="A62" s="192">
        <v>3.7</v>
      </c>
      <c r="B62" s="192" t="s">
        <v>185</v>
      </c>
      <c r="C62" s="193" t="s">
        <v>192</v>
      </c>
      <c r="D62" s="192" t="s">
        <v>165</v>
      </c>
      <c r="E62" s="194">
        <v>8.3</v>
      </c>
      <c r="F62" s="108">
        <v>120</v>
      </c>
      <c r="G62" s="108">
        <f t="shared" si="23"/>
        <v>76.5</v>
      </c>
      <c r="H62" s="108">
        <v>75</v>
      </c>
      <c r="I62" s="128">
        <v>0.02</v>
      </c>
      <c r="J62" s="108">
        <v>5</v>
      </c>
      <c r="K62" s="108">
        <f t="shared" si="24"/>
        <v>12.09</v>
      </c>
      <c r="L62" s="108">
        <f t="shared" si="25"/>
        <v>19.2231</v>
      </c>
      <c r="M62" s="108">
        <f t="shared" si="26"/>
        <v>232.8131</v>
      </c>
      <c r="N62" s="205">
        <f t="shared" si="22"/>
        <v>1932.34873</v>
      </c>
      <c r="O62" s="209" t="s">
        <v>171</v>
      </c>
      <c r="Q62" s="183"/>
      <c r="R62" s="181"/>
      <c r="S62" s="181"/>
      <c r="T62" s="181"/>
      <c r="U62" s="181"/>
    </row>
    <row r="63" s="182" customFormat="1" ht="22" customHeight="1" spans="1:21">
      <c r="A63" s="192">
        <v>4</v>
      </c>
      <c r="B63" s="192" t="s">
        <v>187</v>
      </c>
      <c r="C63" s="192"/>
      <c r="D63" s="192" t="s">
        <v>188</v>
      </c>
      <c r="E63" s="194"/>
      <c r="F63" s="205"/>
      <c r="G63" s="205"/>
      <c r="H63" s="205"/>
      <c r="I63" s="205"/>
      <c r="J63" s="205"/>
      <c r="K63" s="205"/>
      <c r="L63" s="205"/>
      <c r="M63" s="205"/>
      <c r="N63" s="205">
        <f>SUM(N46:N62)</f>
        <v>23416.7275016</v>
      </c>
      <c r="O63" s="205"/>
      <c r="Q63" s="183"/>
      <c r="R63" s="181"/>
      <c r="S63" s="181"/>
      <c r="T63" s="181"/>
      <c r="U63" s="181"/>
    </row>
    <row r="64" s="182" customFormat="1" ht="22" customHeight="1" spans="1:21">
      <c r="A64" s="192" t="s">
        <v>76</v>
      </c>
      <c r="B64" s="203" t="s">
        <v>105</v>
      </c>
      <c r="C64" s="204"/>
      <c r="D64" s="192"/>
      <c r="E64" s="194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Q64" s="183"/>
      <c r="R64" s="181"/>
      <c r="S64" s="181"/>
      <c r="T64" s="181"/>
      <c r="U64" s="181"/>
    </row>
    <row r="65" s="182" customFormat="1" ht="19" customHeight="1" spans="1:21">
      <c r="A65" s="192">
        <v>1</v>
      </c>
      <c r="B65" s="192" t="s">
        <v>198</v>
      </c>
      <c r="C65" s="192"/>
      <c r="D65" s="192"/>
      <c r="E65" s="194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Q65" s="183"/>
      <c r="R65" s="181"/>
      <c r="S65" s="181"/>
      <c r="T65" s="181"/>
      <c r="U65" s="181"/>
    </row>
    <row r="66" s="182" customFormat="1" ht="39" customHeight="1" outlineLevel="1" spans="1:21">
      <c r="A66" s="192">
        <v>1.1</v>
      </c>
      <c r="B66" s="192" t="s">
        <v>144</v>
      </c>
      <c r="C66" s="193" t="s">
        <v>145</v>
      </c>
      <c r="D66" s="192" t="s">
        <v>118</v>
      </c>
      <c r="E66" s="194">
        <v>29.5</v>
      </c>
      <c r="F66" s="108">
        <v>55</v>
      </c>
      <c r="G66" s="108">
        <f t="shared" ref="G66:G71" si="27">H66*(1+I66)</f>
        <v>84.66</v>
      </c>
      <c r="H66" s="108">
        <v>83</v>
      </c>
      <c r="I66" s="128">
        <v>0.02</v>
      </c>
      <c r="J66" s="108">
        <v>25</v>
      </c>
      <c r="K66" s="108">
        <f t="shared" ref="K66:K71" si="28">(F66+G66+J66)*0.06</f>
        <v>9.8796</v>
      </c>
      <c r="L66" s="108">
        <f t="shared" ref="L66:L71" si="29">(F66+G66+J66+K66)*0.09</f>
        <v>15.708564</v>
      </c>
      <c r="M66" s="108">
        <f t="shared" ref="M66:M71" si="30">F66+G66+J66+K66+L66</f>
        <v>190.248164</v>
      </c>
      <c r="N66" s="205">
        <f>M66*E66</f>
        <v>5612.320838</v>
      </c>
      <c r="O66" s="108" t="s">
        <v>146</v>
      </c>
      <c r="Q66" s="183"/>
      <c r="R66" s="181"/>
      <c r="S66" s="181"/>
      <c r="T66" s="181"/>
      <c r="U66" s="181"/>
    </row>
    <row r="67" s="182" customFormat="1" ht="58" customHeight="1" outlineLevel="1" spans="1:21">
      <c r="A67" s="192">
        <v>1.2</v>
      </c>
      <c r="B67" s="192" t="s">
        <v>148</v>
      </c>
      <c r="C67" s="193" t="s">
        <v>149</v>
      </c>
      <c r="D67" s="192" t="s">
        <v>118</v>
      </c>
      <c r="E67" s="194"/>
      <c r="F67" s="108">
        <v>70</v>
      </c>
      <c r="G67" s="108">
        <f t="shared" si="27"/>
        <v>85.49</v>
      </c>
      <c r="H67" s="108">
        <v>83</v>
      </c>
      <c r="I67" s="128">
        <v>0.03</v>
      </c>
      <c r="J67" s="108">
        <v>25</v>
      </c>
      <c r="K67" s="108">
        <f t="shared" si="28"/>
        <v>10.8294</v>
      </c>
      <c r="L67" s="108">
        <f t="shared" si="29"/>
        <v>17.218746</v>
      </c>
      <c r="M67" s="108">
        <f t="shared" si="30"/>
        <v>208.538146</v>
      </c>
      <c r="N67" s="205">
        <f t="shared" ref="N67:N83" si="31">M67*E67</f>
        <v>0</v>
      </c>
      <c r="O67" s="108" t="s">
        <v>146</v>
      </c>
      <c r="Q67" s="183"/>
      <c r="R67" s="181"/>
      <c r="S67" s="181"/>
      <c r="T67" s="181"/>
      <c r="U67" s="181"/>
    </row>
    <row r="68" s="182" customFormat="1" ht="16" customHeight="1" spans="1:21">
      <c r="A68" s="192">
        <v>2</v>
      </c>
      <c r="B68" s="192" t="s">
        <v>151</v>
      </c>
      <c r="C68" s="192"/>
      <c r="D68" s="192"/>
      <c r="E68" s="194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Q68" s="183"/>
      <c r="R68" s="181"/>
      <c r="S68" s="181"/>
      <c r="T68" s="181"/>
      <c r="U68" s="181"/>
    </row>
    <row r="69" s="182" customFormat="1" ht="64" customHeight="1" outlineLevel="1" spans="1:21">
      <c r="A69" s="192">
        <v>2.1</v>
      </c>
      <c r="B69" s="199" t="s">
        <v>199</v>
      </c>
      <c r="C69" s="200" t="s">
        <v>200</v>
      </c>
      <c r="D69" s="192" t="s">
        <v>118</v>
      </c>
      <c r="E69" s="194">
        <f>144.42/2</f>
        <v>72.21</v>
      </c>
      <c r="F69" s="108">
        <v>50</v>
      </c>
      <c r="G69" s="108">
        <f t="shared" si="27"/>
        <v>66.95</v>
      </c>
      <c r="H69" s="108">
        <v>65</v>
      </c>
      <c r="I69" s="128">
        <v>0.03</v>
      </c>
      <c r="J69" s="108">
        <v>25</v>
      </c>
      <c r="K69" s="108">
        <f t="shared" si="28"/>
        <v>8.517</v>
      </c>
      <c r="L69" s="108">
        <f t="shared" si="29"/>
        <v>13.54203</v>
      </c>
      <c r="M69" s="108">
        <f t="shared" si="30"/>
        <v>164.00903</v>
      </c>
      <c r="N69" s="205">
        <f t="shared" si="31"/>
        <v>11843.0920563</v>
      </c>
      <c r="O69" s="108" t="s">
        <v>154</v>
      </c>
      <c r="Q69" s="183"/>
      <c r="R69" s="181"/>
      <c r="S69" s="181"/>
      <c r="T69" s="181"/>
      <c r="U69" s="181"/>
    </row>
    <row r="70" s="182" customFormat="1" ht="66" customHeight="1" outlineLevel="1" spans="1:21">
      <c r="A70" s="192">
        <v>2.2</v>
      </c>
      <c r="B70" s="192" t="s">
        <v>160</v>
      </c>
      <c r="C70" s="193" t="s">
        <v>161</v>
      </c>
      <c r="D70" s="192" t="s">
        <v>162</v>
      </c>
      <c r="E70" s="194">
        <v>1</v>
      </c>
      <c r="F70" s="108">
        <v>155</v>
      </c>
      <c r="G70" s="108">
        <f t="shared" si="27"/>
        <v>459</v>
      </c>
      <c r="H70" s="108">
        <v>450</v>
      </c>
      <c r="I70" s="128">
        <v>0.02</v>
      </c>
      <c r="J70" s="108">
        <v>15</v>
      </c>
      <c r="K70" s="108">
        <f t="shared" si="28"/>
        <v>37.74</v>
      </c>
      <c r="L70" s="108">
        <f t="shared" si="29"/>
        <v>60.0066</v>
      </c>
      <c r="M70" s="108">
        <f t="shared" si="30"/>
        <v>726.7466</v>
      </c>
      <c r="N70" s="205">
        <f t="shared" si="31"/>
        <v>726.7466</v>
      </c>
      <c r="O70" s="205"/>
      <c r="Q70" s="183"/>
      <c r="R70" s="181"/>
      <c r="S70" s="181"/>
      <c r="T70" s="181"/>
      <c r="U70" s="181"/>
    </row>
    <row r="71" s="182" customFormat="1" ht="54" customHeight="1" outlineLevel="1" spans="1:21">
      <c r="A71" s="192">
        <v>2.3</v>
      </c>
      <c r="B71" s="192" t="s">
        <v>163</v>
      </c>
      <c r="C71" s="193" t="s">
        <v>164</v>
      </c>
      <c r="D71" s="188" t="s">
        <v>165</v>
      </c>
      <c r="E71" s="194">
        <f>9.6/2</f>
        <v>4.8</v>
      </c>
      <c r="F71" s="108">
        <v>5</v>
      </c>
      <c r="G71" s="108">
        <f t="shared" si="27"/>
        <v>10.1</v>
      </c>
      <c r="H71" s="108">
        <v>10</v>
      </c>
      <c r="I71" s="128">
        <v>0.01</v>
      </c>
      <c r="J71" s="108">
        <v>0.1</v>
      </c>
      <c r="K71" s="108">
        <f t="shared" si="28"/>
        <v>0.912</v>
      </c>
      <c r="L71" s="108">
        <f t="shared" si="29"/>
        <v>1.45008</v>
      </c>
      <c r="M71" s="108">
        <f t="shared" si="30"/>
        <v>17.56208</v>
      </c>
      <c r="N71" s="108">
        <f>E71*M71</f>
        <v>84.297984</v>
      </c>
      <c r="O71" s="205"/>
      <c r="Q71" s="183"/>
      <c r="R71" s="181"/>
      <c r="S71" s="181"/>
      <c r="T71" s="181"/>
      <c r="U71" s="181"/>
    </row>
    <row r="72" s="182" customFormat="1" ht="29" customHeight="1" outlineLevel="1" spans="1:21">
      <c r="A72" s="192">
        <v>2.4</v>
      </c>
      <c r="B72" s="192" t="s">
        <v>201</v>
      </c>
      <c r="C72" s="193" t="s">
        <v>202</v>
      </c>
      <c r="D72" s="192" t="s">
        <v>118</v>
      </c>
      <c r="E72" s="194"/>
      <c r="F72" s="205"/>
      <c r="G72" s="205"/>
      <c r="H72" s="205"/>
      <c r="I72" s="205"/>
      <c r="J72" s="205"/>
      <c r="K72" s="205"/>
      <c r="L72" s="205"/>
      <c r="M72" s="205"/>
      <c r="N72" s="205">
        <f t="shared" si="31"/>
        <v>0</v>
      </c>
      <c r="O72" s="205"/>
      <c r="Q72" s="183"/>
      <c r="R72" s="181"/>
      <c r="S72" s="181"/>
      <c r="T72" s="181"/>
      <c r="U72" s="181"/>
    </row>
    <row r="73" s="182" customFormat="1" ht="39" customHeight="1" outlineLevel="1" spans="1:21">
      <c r="A73" s="192">
        <v>2.5</v>
      </c>
      <c r="B73" s="192" t="s">
        <v>195</v>
      </c>
      <c r="C73" s="193" t="s">
        <v>196</v>
      </c>
      <c r="D73" s="192" t="s">
        <v>118</v>
      </c>
      <c r="E73" s="194">
        <f>19.72/2</f>
        <v>9.86</v>
      </c>
      <c r="F73" s="108">
        <v>200</v>
      </c>
      <c r="G73" s="108">
        <f>H73*(1+I73)</f>
        <v>432.6</v>
      </c>
      <c r="H73" s="108">
        <v>420</v>
      </c>
      <c r="I73" s="128">
        <v>0.03</v>
      </c>
      <c r="J73" s="108">
        <v>15</v>
      </c>
      <c r="K73" s="108">
        <f>(F73+G73+J73)*0.06</f>
        <v>38.856</v>
      </c>
      <c r="L73" s="108">
        <f>(F73+G73+J73+K73)*0.09</f>
        <v>61.78104</v>
      </c>
      <c r="M73" s="108">
        <f>F73+G73+J73+K73+L73</f>
        <v>748.23704</v>
      </c>
      <c r="N73" s="205">
        <f t="shared" si="31"/>
        <v>7377.6172144</v>
      </c>
      <c r="O73" s="205"/>
      <c r="Q73" s="183"/>
      <c r="R73" s="181"/>
      <c r="S73" s="181"/>
      <c r="T73" s="181"/>
      <c r="U73" s="181"/>
    </row>
    <row r="74" s="182" customFormat="1" ht="20" customHeight="1" spans="1:21">
      <c r="A74" s="192">
        <v>3</v>
      </c>
      <c r="B74" s="192" t="s">
        <v>167</v>
      </c>
      <c r="C74" s="192"/>
      <c r="D74" s="192"/>
      <c r="E74" s="194"/>
      <c r="F74" s="205"/>
      <c r="G74" s="205"/>
      <c r="H74" s="205"/>
      <c r="I74" s="205"/>
      <c r="J74" s="205"/>
      <c r="K74" s="205"/>
      <c r="L74" s="205"/>
      <c r="M74" s="108"/>
      <c r="N74" s="205"/>
      <c r="O74" s="205"/>
      <c r="Q74" s="183"/>
      <c r="R74" s="181"/>
      <c r="S74" s="181"/>
      <c r="T74" s="181"/>
      <c r="U74" s="181"/>
    </row>
    <row r="75" s="182" customFormat="1" ht="54" customHeight="1" outlineLevel="1" spans="1:21">
      <c r="A75" s="192">
        <v>3.1</v>
      </c>
      <c r="B75" s="192" t="s">
        <v>168</v>
      </c>
      <c r="C75" s="193" t="s">
        <v>190</v>
      </c>
      <c r="D75" s="192" t="s">
        <v>118</v>
      </c>
      <c r="E75" s="194">
        <f>27.02/2</f>
        <v>13.51</v>
      </c>
      <c r="F75" s="108">
        <v>115</v>
      </c>
      <c r="G75" s="108">
        <f t="shared" ref="G75:G80" si="32">H75*(1+I75)</f>
        <v>61.2</v>
      </c>
      <c r="H75" s="108">
        <v>60</v>
      </c>
      <c r="I75" s="128">
        <v>0.02</v>
      </c>
      <c r="J75" s="108">
        <v>5</v>
      </c>
      <c r="K75" s="108">
        <f t="shared" ref="K75:K80" si="33">(F75+G75+J75)*0.06</f>
        <v>10.872</v>
      </c>
      <c r="L75" s="108">
        <f t="shared" ref="L75:L80" si="34">(F75+G75+J75+K75)*0.09</f>
        <v>17.28648</v>
      </c>
      <c r="M75" s="108">
        <f>F75+G75+J75+K75+L75</f>
        <v>209.35848</v>
      </c>
      <c r="N75" s="205">
        <f t="shared" si="31"/>
        <v>2828.4330648</v>
      </c>
      <c r="O75" s="209" t="s">
        <v>171</v>
      </c>
      <c r="Q75" s="183"/>
      <c r="R75" s="181"/>
      <c r="S75" s="181"/>
      <c r="T75" s="181"/>
      <c r="U75" s="181"/>
    </row>
    <row r="76" s="182" customFormat="1" ht="39" customHeight="1" outlineLevel="1" spans="1:21">
      <c r="A76" s="192">
        <v>3.2</v>
      </c>
      <c r="B76" s="192" t="s">
        <v>172</v>
      </c>
      <c r="C76" s="193" t="s">
        <v>173</v>
      </c>
      <c r="D76" s="192" t="s">
        <v>165</v>
      </c>
      <c r="E76" s="194">
        <f>27.52/2</f>
        <v>13.76</v>
      </c>
      <c r="F76" s="108">
        <v>20</v>
      </c>
      <c r="G76" s="108">
        <f t="shared" si="32"/>
        <v>20.4</v>
      </c>
      <c r="H76" s="108">
        <v>20</v>
      </c>
      <c r="I76" s="128">
        <v>0.02</v>
      </c>
      <c r="J76" s="108">
        <v>5</v>
      </c>
      <c r="K76" s="108">
        <f t="shared" si="33"/>
        <v>2.724</v>
      </c>
      <c r="L76" s="108">
        <f t="shared" si="34"/>
        <v>4.33116</v>
      </c>
      <c r="M76" s="108">
        <f t="shared" ref="M76:M80" si="35">F76+G76+J76+K76+L76</f>
        <v>52.45516</v>
      </c>
      <c r="N76" s="205">
        <f t="shared" si="31"/>
        <v>721.7830016</v>
      </c>
      <c r="O76" s="205"/>
      <c r="Q76" s="183"/>
      <c r="R76" s="181"/>
      <c r="S76" s="181"/>
      <c r="T76" s="181"/>
      <c r="U76" s="181"/>
    </row>
    <row r="77" s="182" customFormat="1" ht="39" customHeight="1" outlineLevel="1" spans="1:21">
      <c r="A77" s="192">
        <v>3.3</v>
      </c>
      <c r="B77" s="192" t="s">
        <v>174</v>
      </c>
      <c r="C77" s="193" t="s">
        <v>175</v>
      </c>
      <c r="D77" s="192" t="s">
        <v>118</v>
      </c>
      <c r="E77" s="194"/>
      <c r="F77" s="108">
        <v>20</v>
      </c>
      <c r="G77" s="108">
        <f t="shared" si="32"/>
        <v>12.524</v>
      </c>
      <c r="H77" s="108">
        <v>12.4</v>
      </c>
      <c r="I77" s="128">
        <v>0.01</v>
      </c>
      <c r="J77" s="108">
        <v>2</v>
      </c>
      <c r="K77" s="108">
        <f t="shared" si="33"/>
        <v>2.07144</v>
      </c>
      <c r="L77" s="108">
        <f t="shared" si="34"/>
        <v>3.2935896</v>
      </c>
      <c r="M77" s="108">
        <f t="shared" si="35"/>
        <v>39.8890296</v>
      </c>
      <c r="N77" s="205">
        <f t="shared" si="31"/>
        <v>0</v>
      </c>
      <c r="O77" s="108" t="s">
        <v>183</v>
      </c>
      <c r="Q77" s="183"/>
      <c r="R77" s="181"/>
      <c r="S77" s="181"/>
      <c r="T77" s="181"/>
      <c r="U77" s="181"/>
    </row>
    <row r="78" s="182" customFormat="1" ht="110" customHeight="1" outlineLevel="1" spans="1:21">
      <c r="A78" s="192">
        <v>3.4</v>
      </c>
      <c r="B78" s="192" t="s">
        <v>177</v>
      </c>
      <c r="C78" s="193" t="s">
        <v>203</v>
      </c>
      <c r="D78" s="192" t="s">
        <v>118</v>
      </c>
      <c r="E78" s="194">
        <f>14.04/2</f>
        <v>7.02</v>
      </c>
      <c r="F78" s="108">
        <v>115</v>
      </c>
      <c r="G78" s="108">
        <f t="shared" si="32"/>
        <v>66.3</v>
      </c>
      <c r="H78" s="108">
        <v>65</v>
      </c>
      <c r="I78" s="128">
        <v>0.02</v>
      </c>
      <c r="J78" s="108">
        <v>5</v>
      </c>
      <c r="K78" s="108">
        <f t="shared" si="33"/>
        <v>11.178</v>
      </c>
      <c r="L78" s="108">
        <f t="shared" si="34"/>
        <v>17.77302</v>
      </c>
      <c r="M78" s="108">
        <f t="shared" si="35"/>
        <v>215.25102</v>
      </c>
      <c r="N78" s="205">
        <f t="shared" si="31"/>
        <v>1511.0621604</v>
      </c>
      <c r="O78" s="205"/>
      <c r="Q78" s="183"/>
      <c r="R78" s="181"/>
      <c r="S78" s="181"/>
      <c r="T78" s="181"/>
      <c r="U78" s="181"/>
    </row>
    <row r="79" s="182" customFormat="1" ht="51" customHeight="1" outlineLevel="1" spans="1:21">
      <c r="A79" s="192">
        <v>3.5</v>
      </c>
      <c r="B79" s="201" t="s">
        <v>179</v>
      </c>
      <c r="C79" s="202" t="s">
        <v>204</v>
      </c>
      <c r="D79" s="192" t="s">
        <v>118</v>
      </c>
      <c r="E79" s="194"/>
      <c r="F79" s="108">
        <v>20</v>
      </c>
      <c r="G79" s="108">
        <f t="shared" si="32"/>
        <v>12.524</v>
      </c>
      <c r="H79" s="108">
        <v>12.4</v>
      </c>
      <c r="I79" s="128">
        <v>0.01</v>
      </c>
      <c r="J79" s="108">
        <v>2</v>
      </c>
      <c r="K79" s="108">
        <f t="shared" si="33"/>
        <v>2.07144</v>
      </c>
      <c r="L79" s="108">
        <f t="shared" si="34"/>
        <v>3.2935896</v>
      </c>
      <c r="M79" s="108">
        <f t="shared" si="35"/>
        <v>39.8890296</v>
      </c>
      <c r="N79" s="205">
        <f t="shared" si="31"/>
        <v>0</v>
      </c>
      <c r="O79" s="205"/>
      <c r="Q79" s="183"/>
      <c r="R79" s="181"/>
      <c r="S79" s="181"/>
      <c r="T79" s="181"/>
      <c r="U79" s="181"/>
    </row>
    <row r="80" s="182" customFormat="1" ht="110" customHeight="1" outlineLevel="1" spans="1:21">
      <c r="A80" s="192">
        <v>3.6</v>
      </c>
      <c r="B80" s="192" t="s">
        <v>177</v>
      </c>
      <c r="C80" s="193" t="s">
        <v>205</v>
      </c>
      <c r="D80" s="192" t="s">
        <v>118</v>
      </c>
      <c r="E80" s="194">
        <f>16/2</f>
        <v>8</v>
      </c>
      <c r="F80" s="108">
        <v>115</v>
      </c>
      <c r="G80" s="108">
        <f t="shared" si="32"/>
        <v>66.3</v>
      </c>
      <c r="H80" s="108">
        <v>65</v>
      </c>
      <c r="I80" s="128">
        <v>0.02</v>
      </c>
      <c r="J80" s="108">
        <v>5</v>
      </c>
      <c r="K80" s="108">
        <f t="shared" si="33"/>
        <v>11.178</v>
      </c>
      <c r="L80" s="108">
        <f t="shared" si="34"/>
        <v>17.77302</v>
      </c>
      <c r="M80" s="108">
        <f t="shared" si="35"/>
        <v>215.25102</v>
      </c>
      <c r="N80" s="205">
        <f t="shared" si="31"/>
        <v>1722.00816</v>
      </c>
      <c r="O80" s="205"/>
      <c r="Q80" s="183"/>
      <c r="R80" s="181"/>
      <c r="S80" s="181"/>
      <c r="T80" s="181"/>
      <c r="U80" s="181"/>
    </row>
    <row r="81" s="182" customFormat="1" ht="39" customHeight="1" outlineLevel="1" spans="1:21">
      <c r="A81" s="192">
        <v>3.7</v>
      </c>
      <c r="B81" s="201" t="s">
        <v>179</v>
      </c>
      <c r="C81" s="202" t="s">
        <v>204</v>
      </c>
      <c r="D81" s="192" t="s">
        <v>118</v>
      </c>
      <c r="E81" s="194">
        <f>16/2</f>
        <v>8</v>
      </c>
      <c r="F81" s="108">
        <v>20</v>
      </c>
      <c r="G81" s="108">
        <f t="shared" ref="G80:G83" si="36">H81*(1+I81)</f>
        <v>12.524</v>
      </c>
      <c r="H81" s="108">
        <v>12.4</v>
      </c>
      <c r="I81" s="128">
        <v>0.01</v>
      </c>
      <c r="J81" s="108">
        <v>2</v>
      </c>
      <c r="K81" s="108">
        <f t="shared" ref="K80:K83" si="37">(F81+G81+J81)*0.06</f>
        <v>2.07144</v>
      </c>
      <c r="L81" s="108">
        <f t="shared" ref="L80:L83" si="38">(F81+G81+J81+K81)*0.09</f>
        <v>3.2935896</v>
      </c>
      <c r="M81" s="108">
        <f t="shared" ref="M80:M83" si="39">F81+G81+J81+K81+L81</f>
        <v>39.8890296</v>
      </c>
      <c r="N81" s="205">
        <f t="shared" si="31"/>
        <v>319.1122368</v>
      </c>
      <c r="O81" s="205"/>
      <c r="Q81" s="183"/>
      <c r="R81" s="181"/>
      <c r="S81" s="181"/>
      <c r="T81" s="181"/>
      <c r="U81" s="181"/>
    </row>
    <row r="82" s="182" customFormat="1" ht="50" customHeight="1" outlineLevel="1" spans="1:21">
      <c r="A82" s="192">
        <v>3.8</v>
      </c>
      <c r="B82" s="201" t="s">
        <v>181</v>
      </c>
      <c r="C82" s="202" t="s">
        <v>206</v>
      </c>
      <c r="D82" s="192" t="s">
        <v>118</v>
      </c>
      <c r="E82" s="194">
        <f>9.7/2</f>
        <v>4.85</v>
      </c>
      <c r="F82" s="108">
        <v>20</v>
      </c>
      <c r="G82" s="108">
        <f t="shared" si="36"/>
        <v>12.524</v>
      </c>
      <c r="H82" s="108">
        <v>12.4</v>
      </c>
      <c r="I82" s="128">
        <v>0.01</v>
      </c>
      <c r="J82" s="108">
        <v>2</v>
      </c>
      <c r="K82" s="108">
        <f t="shared" si="37"/>
        <v>2.07144</v>
      </c>
      <c r="L82" s="108">
        <f t="shared" si="38"/>
        <v>3.2935896</v>
      </c>
      <c r="M82" s="108">
        <f t="shared" si="39"/>
        <v>39.8890296</v>
      </c>
      <c r="N82" s="205">
        <f t="shared" si="31"/>
        <v>193.46179356</v>
      </c>
      <c r="O82" s="108" t="s">
        <v>183</v>
      </c>
      <c r="Q82" s="183"/>
      <c r="R82" s="181"/>
      <c r="S82" s="181"/>
      <c r="T82" s="181"/>
      <c r="U82" s="181"/>
    </row>
    <row r="83" s="182" customFormat="1" ht="59.25" customHeight="1" outlineLevel="1" spans="1:21">
      <c r="A83" s="192">
        <v>3.9</v>
      </c>
      <c r="B83" s="192" t="s">
        <v>185</v>
      </c>
      <c r="C83" s="193" t="s">
        <v>192</v>
      </c>
      <c r="D83" s="192" t="s">
        <v>165</v>
      </c>
      <c r="E83" s="194">
        <v>13.4</v>
      </c>
      <c r="F83" s="108">
        <v>120</v>
      </c>
      <c r="G83" s="108">
        <f t="shared" si="36"/>
        <v>76.5</v>
      </c>
      <c r="H83" s="108">
        <v>75</v>
      </c>
      <c r="I83" s="128">
        <v>0.02</v>
      </c>
      <c r="J83" s="108">
        <v>5</v>
      </c>
      <c r="K83" s="108">
        <f t="shared" si="37"/>
        <v>12.09</v>
      </c>
      <c r="L83" s="108">
        <f t="shared" si="38"/>
        <v>19.2231</v>
      </c>
      <c r="M83" s="108">
        <f t="shared" si="39"/>
        <v>232.8131</v>
      </c>
      <c r="N83" s="205">
        <f t="shared" si="31"/>
        <v>3119.69554</v>
      </c>
      <c r="O83" s="209" t="s">
        <v>171</v>
      </c>
      <c r="Q83" s="183"/>
      <c r="R83" s="181"/>
      <c r="S83" s="181"/>
      <c r="T83" s="181"/>
      <c r="U83" s="181"/>
    </row>
    <row r="84" s="182" customFormat="1" ht="22" customHeight="1" spans="1:21">
      <c r="A84" s="192">
        <v>4</v>
      </c>
      <c r="B84" s="192" t="s">
        <v>187</v>
      </c>
      <c r="C84" s="192"/>
      <c r="D84" s="192" t="s">
        <v>188</v>
      </c>
      <c r="E84" s="194"/>
      <c r="F84" s="205"/>
      <c r="G84" s="205"/>
      <c r="H84" s="205"/>
      <c r="I84" s="205"/>
      <c r="J84" s="205"/>
      <c r="K84" s="205"/>
      <c r="L84" s="205"/>
      <c r="M84" s="205"/>
      <c r="N84" s="205">
        <f>SUM(N66:N83)</f>
        <v>36059.63064986</v>
      </c>
      <c r="O84" s="205"/>
      <c r="Q84" s="183"/>
      <c r="R84" s="181"/>
      <c r="S84" s="181"/>
      <c r="T84" s="181"/>
      <c r="U84" s="181"/>
    </row>
  </sheetData>
  <autoFilter xmlns:etc="http://www.wps.cn/officeDocument/2017/etCustomData" ref="A6:O84" etc:filterBottomFollowUsedRange="0">
    <extLst/>
  </autoFilter>
  <mergeCells count="17">
    <mergeCell ref="A1:O1"/>
    <mergeCell ref="F2:L2"/>
    <mergeCell ref="B24:C24"/>
    <mergeCell ref="B43:C43"/>
    <mergeCell ref="B44:C44"/>
    <mergeCell ref="B64:C64"/>
    <mergeCell ref="B84:C84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scale="9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view="pageBreakPreview" zoomScaleNormal="100" topLeftCell="A76" workbookViewId="0">
      <selection activeCell="A82" sqref="$A82:$XFD82"/>
    </sheetView>
  </sheetViews>
  <sheetFormatPr defaultColWidth="10.2857142857143" defaultRowHeight="13.5"/>
  <cols>
    <col min="1" max="1" width="4.14285714285714" style="142" customWidth="1"/>
    <col min="2" max="2" width="9.85714285714286" style="142" customWidth="1"/>
    <col min="3" max="3" width="27.1428571428571" style="142" customWidth="1"/>
    <col min="4" max="4" width="5.85714285714286" style="142" customWidth="1"/>
    <col min="5" max="5" width="7.42857142857143" style="142" customWidth="1"/>
    <col min="6" max="6" width="8.85714285714286" style="143" customWidth="1"/>
    <col min="7" max="7" width="9.14285714285714" style="143" customWidth="1"/>
    <col min="8" max="8" width="8.57142857142857" style="143" customWidth="1"/>
    <col min="9" max="9" width="7.85714285714286" style="143" customWidth="1"/>
    <col min="10" max="10" width="7" style="142" customWidth="1"/>
    <col min="11" max="12" width="9.14285714285714" style="142" customWidth="1"/>
    <col min="13" max="13" width="10.8571428571429" style="142" customWidth="1"/>
    <col min="14" max="14" width="9.57142857142857" style="142" customWidth="1"/>
    <col min="15" max="15" width="10.7142857142857" style="142" customWidth="1"/>
    <col min="16" max="16" width="11.7142857142857" style="142" customWidth="1"/>
    <col min="17" max="16384" width="10.2857142857143" style="142"/>
  </cols>
  <sheetData>
    <row r="1" ht="27" customHeight="1" spans="1:15">
      <c r="A1" s="144" t="s">
        <v>207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="141" customFormat="1" ht="33.95" customHeight="1" spans="1:15">
      <c r="A2" s="145" t="s">
        <v>1</v>
      </c>
      <c r="B2" s="146" t="s">
        <v>124</v>
      </c>
      <c r="C2" s="146" t="s">
        <v>125</v>
      </c>
      <c r="D2" s="146" t="s">
        <v>93</v>
      </c>
      <c r="E2" s="147" t="s">
        <v>208</v>
      </c>
      <c r="F2" s="148" t="s">
        <v>209</v>
      </c>
      <c r="G2" s="149"/>
      <c r="H2" s="149"/>
      <c r="I2" s="149"/>
      <c r="J2" s="149"/>
      <c r="K2" s="149"/>
      <c r="L2" s="174"/>
      <c r="M2" s="175" t="s">
        <v>128</v>
      </c>
      <c r="N2" s="175" t="s">
        <v>129</v>
      </c>
      <c r="O2" s="153" t="s">
        <v>130</v>
      </c>
    </row>
    <row r="3" s="141" customFormat="1" ht="51" customHeight="1" spans="1:15">
      <c r="A3" s="150"/>
      <c r="B3" s="151"/>
      <c r="C3" s="151"/>
      <c r="D3" s="151"/>
      <c r="E3" s="152"/>
      <c r="F3" s="153" t="s">
        <v>131</v>
      </c>
      <c r="G3" s="153" t="s">
        <v>132</v>
      </c>
      <c r="H3" s="153" t="s">
        <v>133</v>
      </c>
      <c r="I3" s="153" t="s">
        <v>134</v>
      </c>
      <c r="J3" s="153" t="s">
        <v>135</v>
      </c>
      <c r="K3" s="153" t="s">
        <v>136</v>
      </c>
      <c r="L3" s="153" t="s">
        <v>137</v>
      </c>
      <c r="M3" s="176"/>
      <c r="N3" s="176"/>
      <c r="O3" s="153"/>
    </row>
    <row r="4" s="141" customFormat="1" ht="31" customHeight="1" spans="1:15">
      <c r="A4" s="154"/>
      <c r="B4" s="155"/>
      <c r="C4" s="155"/>
      <c r="D4" s="155"/>
      <c r="E4" s="156"/>
      <c r="F4" s="153"/>
      <c r="G4" s="157" t="s">
        <v>138</v>
      </c>
      <c r="H4" s="153" t="s">
        <v>139</v>
      </c>
      <c r="I4" s="153" t="s">
        <v>140</v>
      </c>
      <c r="J4" s="153"/>
      <c r="K4" s="153" t="s">
        <v>141</v>
      </c>
      <c r="L4" s="153" t="s">
        <v>141</v>
      </c>
      <c r="M4" s="177"/>
      <c r="N4" s="177"/>
      <c r="O4" s="153"/>
    </row>
    <row r="5" s="141" customFormat="1" ht="24.95" customHeight="1" spans="1:15">
      <c r="A5" s="158" t="s">
        <v>62</v>
      </c>
      <c r="B5" s="158" t="s">
        <v>100</v>
      </c>
      <c r="C5" s="158" t="s">
        <v>142</v>
      </c>
      <c r="D5" s="158" t="s">
        <v>108</v>
      </c>
      <c r="E5" s="159"/>
      <c r="F5" s="160"/>
      <c r="G5" s="160"/>
      <c r="H5" s="160"/>
      <c r="I5" s="160"/>
      <c r="J5" s="160"/>
      <c r="K5" s="160"/>
      <c r="L5" s="160"/>
      <c r="M5" s="160"/>
      <c r="N5" s="160"/>
      <c r="O5" s="160"/>
    </row>
    <row r="6" ht="69.95" customHeight="1" outlineLevel="1" spans="1:15">
      <c r="A6" s="161">
        <v>1</v>
      </c>
      <c r="B6" s="162" t="s">
        <v>210</v>
      </c>
      <c r="C6" s="163" t="s">
        <v>211</v>
      </c>
      <c r="D6" s="162" t="s">
        <v>99</v>
      </c>
      <c r="E6" s="164">
        <v>3</v>
      </c>
      <c r="F6" s="153">
        <v>15</v>
      </c>
      <c r="G6" s="153">
        <f t="shared" ref="G6:G14" si="0">H6*(1+I6)</f>
        <v>85</v>
      </c>
      <c r="H6" s="153">
        <v>85</v>
      </c>
      <c r="I6" s="178">
        <v>0</v>
      </c>
      <c r="J6" s="153">
        <v>2</v>
      </c>
      <c r="K6" s="153">
        <f t="shared" ref="K6:K14" si="1">(F6+G6+J6)*0.06</f>
        <v>6.12</v>
      </c>
      <c r="L6" s="153">
        <f t="shared" ref="L6:L14" si="2">(F6+G6+J6+K6)*0.09</f>
        <v>9.7308</v>
      </c>
      <c r="M6" s="153">
        <f>F6+G6+J6+K6+L6</f>
        <v>117.8508</v>
      </c>
      <c r="N6" s="164">
        <f>M6*E6</f>
        <v>353.5524</v>
      </c>
      <c r="O6" s="164" t="s">
        <v>212</v>
      </c>
    </row>
    <row r="7" ht="48" outlineLevel="1" spans="1:15">
      <c r="A7" s="161">
        <v>2</v>
      </c>
      <c r="B7" s="162" t="s">
        <v>213</v>
      </c>
      <c r="C7" s="163" t="s">
        <v>214</v>
      </c>
      <c r="D7" s="162" t="s">
        <v>99</v>
      </c>
      <c r="E7" s="164">
        <v>8</v>
      </c>
      <c r="F7" s="153">
        <v>15</v>
      </c>
      <c r="G7" s="153">
        <f t="shared" si="0"/>
        <v>35</v>
      </c>
      <c r="H7" s="153">
        <v>35</v>
      </c>
      <c r="I7" s="178">
        <v>0</v>
      </c>
      <c r="J7" s="153">
        <v>2</v>
      </c>
      <c r="K7" s="153">
        <f t="shared" si="1"/>
        <v>3.12</v>
      </c>
      <c r="L7" s="153">
        <f t="shared" si="2"/>
        <v>4.9608</v>
      </c>
      <c r="M7" s="153">
        <f t="shared" ref="M6:M14" si="3">F7+G7+J7+K7+L7</f>
        <v>60.0808</v>
      </c>
      <c r="N7" s="164">
        <f t="shared" ref="N7:N22" si="4">M7*E7</f>
        <v>480.6464</v>
      </c>
      <c r="O7" s="164" t="s">
        <v>212</v>
      </c>
    </row>
    <row r="8" ht="48" outlineLevel="1" spans="1:15">
      <c r="A8" s="161">
        <v>3</v>
      </c>
      <c r="B8" s="162" t="s">
        <v>215</v>
      </c>
      <c r="C8" s="163" t="s">
        <v>216</v>
      </c>
      <c r="D8" s="162" t="s">
        <v>99</v>
      </c>
      <c r="E8" s="165">
        <v>2</v>
      </c>
      <c r="F8" s="153">
        <v>15</v>
      </c>
      <c r="G8" s="153">
        <f t="shared" si="0"/>
        <v>35</v>
      </c>
      <c r="H8" s="153">
        <v>35</v>
      </c>
      <c r="I8" s="178">
        <v>0</v>
      </c>
      <c r="J8" s="153">
        <v>2</v>
      </c>
      <c r="K8" s="153">
        <f t="shared" si="1"/>
        <v>3.12</v>
      </c>
      <c r="L8" s="153">
        <f t="shared" si="2"/>
        <v>4.9608</v>
      </c>
      <c r="M8" s="153">
        <f t="shared" si="3"/>
        <v>60.0808</v>
      </c>
      <c r="N8" s="164">
        <f t="shared" si="4"/>
        <v>120.1616</v>
      </c>
      <c r="O8" s="164" t="s">
        <v>212</v>
      </c>
    </row>
    <row r="9" ht="48" outlineLevel="1" spans="1:15">
      <c r="A9" s="161">
        <v>4</v>
      </c>
      <c r="B9" s="166" t="s">
        <v>217</v>
      </c>
      <c r="C9" s="163" t="s">
        <v>218</v>
      </c>
      <c r="D9" s="162" t="s">
        <v>99</v>
      </c>
      <c r="E9" s="165">
        <v>1</v>
      </c>
      <c r="F9" s="153">
        <v>200</v>
      </c>
      <c r="G9" s="153">
        <f t="shared" si="0"/>
        <v>2000</v>
      </c>
      <c r="H9" s="153">
        <v>2000</v>
      </c>
      <c r="I9" s="178">
        <v>0</v>
      </c>
      <c r="J9" s="153">
        <v>2</v>
      </c>
      <c r="K9" s="153">
        <f t="shared" si="1"/>
        <v>132.12</v>
      </c>
      <c r="L9" s="153">
        <f t="shared" si="2"/>
        <v>210.0708</v>
      </c>
      <c r="M9" s="153">
        <f t="shared" si="3"/>
        <v>2544.1908</v>
      </c>
      <c r="N9" s="164">
        <f t="shared" si="4"/>
        <v>2544.1908</v>
      </c>
      <c r="O9" s="164"/>
    </row>
    <row r="10" ht="25" customHeight="1" outlineLevel="1" spans="1:15">
      <c r="A10" s="161">
        <v>5</v>
      </c>
      <c r="B10" s="162" t="s">
        <v>219</v>
      </c>
      <c r="C10" s="163"/>
      <c r="D10" s="162" t="s">
        <v>99</v>
      </c>
      <c r="E10" s="165">
        <v>4</v>
      </c>
      <c r="F10" s="153">
        <v>15</v>
      </c>
      <c r="G10" s="153">
        <f t="shared" si="0"/>
        <v>50</v>
      </c>
      <c r="H10" s="153">
        <v>50</v>
      </c>
      <c r="I10" s="178">
        <v>0</v>
      </c>
      <c r="J10" s="153">
        <v>2</v>
      </c>
      <c r="K10" s="153">
        <f t="shared" si="1"/>
        <v>4.02</v>
      </c>
      <c r="L10" s="153">
        <f t="shared" si="2"/>
        <v>6.3918</v>
      </c>
      <c r="M10" s="153">
        <f t="shared" si="3"/>
        <v>77.4118</v>
      </c>
      <c r="N10" s="164">
        <f t="shared" si="4"/>
        <v>309.6472</v>
      </c>
      <c r="O10" s="164"/>
    </row>
    <row r="11" ht="48" outlineLevel="1" spans="1:15">
      <c r="A11" s="161">
        <v>6</v>
      </c>
      <c r="B11" s="167" t="s">
        <v>220</v>
      </c>
      <c r="C11" s="163" t="s">
        <v>221</v>
      </c>
      <c r="D11" s="162" t="s">
        <v>99</v>
      </c>
      <c r="E11" s="165">
        <v>2</v>
      </c>
      <c r="F11" s="153">
        <v>120</v>
      </c>
      <c r="G11" s="153">
        <f t="shared" si="0"/>
        <v>600</v>
      </c>
      <c r="H11" s="153">
        <v>600</v>
      </c>
      <c r="I11" s="178">
        <v>0</v>
      </c>
      <c r="J11" s="153">
        <v>5</v>
      </c>
      <c r="K11" s="153">
        <f t="shared" si="1"/>
        <v>43.5</v>
      </c>
      <c r="L11" s="153">
        <f t="shared" si="2"/>
        <v>69.165</v>
      </c>
      <c r="M11" s="153">
        <f t="shared" si="3"/>
        <v>837.665</v>
      </c>
      <c r="N11" s="164">
        <f t="shared" si="4"/>
        <v>1675.33</v>
      </c>
      <c r="O11" s="164"/>
    </row>
    <row r="12" ht="48" outlineLevel="1" spans="1:15">
      <c r="A12" s="161">
        <v>7</v>
      </c>
      <c r="B12" s="166" t="s">
        <v>222</v>
      </c>
      <c r="C12" s="163" t="s">
        <v>223</v>
      </c>
      <c r="D12" s="168" t="s">
        <v>165</v>
      </c>
      <c r="E12" s="169">
        <v>8.66</v>
      </c>
      <c r="F12" s="153">
        <v>8</v>
      </c>
      <c r="G12" s="153">
        <f t="shared" si="0"/>
        <v>25</v>
      </c>
      <c r="H12" s="153">
        <v>25</v>
      </c>
      <c r="I12" s="178">
        <v>0</v>
      </c>
      <c r="J12" s="153">
        <v>2</v>
      </c>
      <c r="K12" s="153">
        <f t="shared" si="1"/>
        <v>2.1</v>
      </c>
      <c r="L12" s="153">
        <f t="shared" si="2"/>
        <v>3.339</v>
      </c>
      <c r="M12" s="153">
        <f t="shared" si="3"/>
        <v>40.439</v>
      </c>
      <c r="N12" s="164">
        <f t="shared" si="4"/>
        <v>350.20174</v>
      </c>
      <c r="O12" s="164" t="s">
        <v>224</v>
      </c>
    </row>
    <row r="13" ht="48" outlineLevel="1" spans="1:15">
      <c r="A13" s="161">
        <v>8</v>
      </c>
      <c r="B13" s="162" t="s">
        <v>225</v>
      </c>
      <c r="C13" s="163" t="s">
        <v>226</v>
      </c>
      <c r="D13" s="162" t="s">
        <v>99</v>
      </c>
      <c r="E13" s="165">
        <v>1</v>
      </c>
      <c r="F13" s="153">
        <v>8</v>
      </c>
      <c r="G13" s="153">
        <f t="shared" si="0"/>
        <v>30</v>
      </c>
      <c r="H13" s="153">
        <v>30</v>
      </c>
      <c r="I13" s="178">
        <v>0</v>
      </c>
      <c r="J13" s="153">
        <v>2</v>
      </c>
      <c r="K13" s="153">
        <f t="shared" si="1"/>
        <v>2.4</v>
      </c>
      <c r="L13" s="153">
        <f t="shared" si="2"/>
        <v>3.816</v>
      </c>
      <c r="M13" s="153">
        <f t="shared" si="3"/>
        <v>46.216</v>
      </c>
      <c r="N13" s="164">
        <f t="shared" si="4"/>
        <v>46.216</v>
      </c>
      <c r="O13" s="69" t="s">
        <v>227</v>
      </c>
    </row>
    <row r="14" ht="48" outlineLevel="1" spans="1:15">
      <c r="A14" s="161">
        <v>9</v>
      </c>
      <c r="B14" s="162" t="s">
        <v>228</v>
      </c>
      <c r="C14" s="163" t="s">
        <v>229</v>
      </c>
      <c r="D14" s="162" t="s">
        <v>99</v>
      </c>
      <c r="E14" s="165">
        <v>1</v>
      </c>
      <c r="F14" s="153">
        <v>8</v>
      </c>
      <c r="G14" s="153">
        <f t="shared" si="0"/>
        <v>20</v>
      </c>
      <c r="H14" s="153">
        <v>20</v>
      </c>
      <c r="I14" s="178">
        <v>0</v>
      </c>
      <c r="J14" s="153">
        <v>2</v>
      </c>
      <c r="K14" s="153">
        <f t="shared" si="1"/>
        <v>1.8</v>
      </c>
      <c r="L14" s="153">
        <f t="shared" si="2"/>
        <v>2.862</v>
      </c>
      <c r="M14" s="153">
        <f t="shared" si="3"/>
        <v>34.662</v>
      </c>
      <c r="N14" s="164">
        <f t="shared" si="4"/>
        <v>34.662</v>
      </c>
      <c r="O14" s="69" t="s">
        <v>227</v>
      </c>
    </row>
    <row r="15" ht="81" customHeight="1" outlineLevel="1" spans="1:15">
      <c r="A15" s="161">
        <v>10</v>
      </c>
      <c r="B15" s="170" t="s">
        <v>230</v>
      </c>
      <c r="C15" s="163" t="s">
        <v>231</v>
      </c>
      <c r="D15" s="162" t="s">
        <v>99</v>
      </c>
      <c r="E15" s="69">
        <v>2</v>
      </c>
      <c r="F15" s="153">
        <v>10</v>
      </c>
      <c r="G15" s="153">
        <f t="shared" ref="G15:G22" si="5">H15*(1+I15)</f>
        <v>13</v>
      </c>
      <c r="H15" s="153">
        <v>13</v>
      </c>
      <c r="I15" s="178">
        <v>0</v>
      </c>
      <c r="J15" s="153">
        <v>2</v>
      </c>
      <c r="K15" s="153">
        <f t="shared" ref="K15:K22" si="6">(F15+G15+J15)*0.06</f>
        <v>1.5</v>
      </c>
      <c r="L15" s="153">
        <f t="shared" ref="L15:L22" si="7">(F15+G15+J15+K15)*0.09</f>
        <v>2.385</v>
      </c>
      <c r="M15" s="153">
        <f t="shared" ref="M15:M22" si="8">F15+G15+J15+K15+L15</f>
        <v>28.885</v>
      </c>
      <c r="N15" s="164">
        <f t="shared" si="4"/>
        <v>57.77</v>
      </c>
      <c r="O15" s="69" t="s">
        <v>227</v>
      </c>
    </row>
    <row r="16" ht="48" outlineLevel="1" spans="1:15">
      <c r="A16" s="161">
        <v>11</v>
      </c>
      <c r="B16" s="170" t="s">
        <v>232</v>
      </c>
      <c r="C16" s="163" t="s">
        <v>233</v>
      </c>
      <c r="D16" s="162" t="s">
        <v>99</v>
      </c>
      <c r="E16" s="164">
        <v>2</v>
      </c>
      <c r="F16" s="153">
        <v>10</v>
      </c>
      <c r="G16" s="153">
        <f t="shared" si="5"/>
        <v>22</v>
      </c>
      <c r="H16" s="153">
        <v>22</v>
      </c>
      <c r="I16" s="178">
        <v>0</v>
      </c>
      <c r="J16" s="153">
        <v>2</v>
      </c>
      <c r="K16" s="153">
        <f t="shared" si="6"/>
        <v>2.04</v>
      </c>
      <c r="L16" s="153">
        <f t="shared" si="7"/>
        <v>3.2436</v>
      </c>
      <c r="M16" s="153">
        <f t="shared" si="8"/>
        <v>39.2836</v>
      </c>
      <c r="N16" s="164">
        <f t="shared" si="4"/>
        <v>78.5672</v>
      </c>
      <c r="O16" s="69" t="s">
        <v>227</v>
      </c>
    </row>
    <row r="17" ht="60" outlineLevel="1" spans="1:15">
      <c r="A17" s="161">
        <v>12</v>
      </c>
      <c r="B17" s="170" t="s">
        <v>234</v>
      </c>
      <c r="C17" s="163" t="s">
        <v>235</v>
      </c>
      <c r="D17" s="164" t="s">
        <v>165</v>
      </c>
      <c r="E17" s="164">
        <v>0</v>
      </c>
      <c r="F17" s="153">
        <v>10</v>
      </c>
      <c r="G17" s="153">
        <f t="shared" si="5"/>
        <v>8.08</v>
      </c>
      <c r="H17" s="153">
        <v>8</v>
      </c>
      <c r="I17" s="178">
        <v>0.01</v>
      </c>
      <c r="J17" s="153">
        <v>2</v>
      </c>
      <c r="K17" s="153">
        <f t="shared" si="6"/>
        <v>1.2048</v>
      </c>
      <c r="L17" s="153">
        <f t="shared" si="7"/>
        <v>1.915632</v>
      </c>
      <c r="M17" s="153">
        <f t="shared" si="8"/>
        <v>23.200432</v>
      </c>
      <c r="N17" s="164">
        <f t="shared" si="4"/>
        <v>0</v>
      </c>
      <c r="O17" s="179"/>
    </row>
    <row r="18" ht="60" outlineLevel="1" spans="1:15">
      <c r="A18" s="161">
        <v>13</v>
      </c>
      <c r="B18" s="170" t="s">
        <v>234</v>
      </c>
      <c r="C18" s="163" t="s">
        <v>236</v>
      </c>
      <c r="D18" s="164" t="s">
        <v>165</v>
      </c>
      <c r="E18" s="164">
        <v>65</v>
      </c>
      <c r="F18" s="153">
        <v>10</v>
      </c>
      <c r="G18" s="153">
        <f t="shared" si="5"/>
        <v>6.06</v>
      </c>
      <c r="H18" s="153">
        <v>6</v>
      </c>
      <c r="I18" s="178">
        <v>0.01</v>
      </c>
      <c r="J18" s="153">
        <v>2</v>
      </c>
      <c r="K18" s="153">
        <f t="shared" si="6"/>
        <v>1.0836</v>
      </c>
      <c r="L18" s="153">
        <f t="shared" si="7"/>
        <v>1.722924</v>
      </c>
      <c r="M18" s="153">
        <f t="shared" si="8"/>
        <v>20.866524</v>
      </c>
      <c r="N18" s="164">
        <f t="shared" si="4"/>
        <v>1356.32406</v>
      </c>
      <c r="O18" s="179"/>
    </row>
    <row r="19" ht="60" outlineLevel="1" spans="1:15">
      <c r="A19" s="161">
        <v>14</v>
      </c>
      <c r="B19" s="170" t="s">
        <v>234</v>
      </c>
      <c r="C19" s="163" t="s">
        <v>237</v>
      </c>
      <c r="D19" s="164" t="s">
        <v>165</v>
      </c>
      <c r="E19" s="164">
        <v>0</v>
      </c>
      <c r="F19" s="153">
        <v>12</v>
      </c>
      <c r="G19" s="153">
        <f t="shared" si="5"/>
        <v>10.1</v>
      </c>
      <c r="H19" s="153">
        <v>10</v>
      </c>
      <c r="I19" s="178">
        <v>0.01</v>
      </c>
      <c r="J19" s="153">
        <v>2</v>
      </c>
      <c r="K19" s="153">
        <f t="shared" si="6"/>
        <v>1.446</v>
      </c>
      <c r="L19" s="153">
        <f t="shared" si="7"/>
        <v>2.29914</v>
      </c>
      <c r="M19" s="153">
        <f t="shared" si="8"/>
        <v>27.84514</v>
      </c>
      <c r="N19" s="164">
        <f t="shared" si="4"/>
        <v>0</v>
      </c>
      <c r="O19" s="179"/>
    </row>
    <row r="20" ht="48" outlineLevel="1" spans="1:15">
      <c r="A20" s="161">
        <v>15</v>
      </c>
      <c r="B20" s="170" t="s">
        <v>238</v>
      </c>
      <c r="C20" s="163" t="s">
        <v>239</v>
      </c>
      <c r="D20" s="164" t="s">
        <v>165</v>
      </c>
      <c r="E20" s="164">
        <v>5.24</v>
      </c>
      <c r="F20" s="153">
        <v>1.5</v>
      </c>
      <c r="G20" s="153">
        <f t="shared" si="5"/>
        <v>2</v>
      </c>
      <c r="H20" s="153">
        <v>2</v>
      </c>
      <c r="I20" s="178">
        <v>0</v>
      </c>
      <c r="J20" s="153">
        <v>1</v>
      </c>
      <c r="K20" s="153">
        <f t="shared" si="6"/>
        <v>0.27</v>
      </c>
      <c r="L20" s="153">
        <f t="shared" si="7"/>
        <v>0.4293</v>
      </c>
      <c r="M20" s="153">
        <f t="shared" si="8"/>
        <v>5.1993</v>
      </c>
      <c r="N20" s="164">
        <f t="shared" si="4"/>
        <v>27.244332</v>
      </c>
      <c r="O20" s="164"/>
    </row>
    <row r="21" ht="48" outlineLevel="1" spans="1:15">
      <c r="A21" s="161">
        <v>16</v>
      </c>
      <c r="B21" s="170" t="s">
        <v>240</v>
      </c>
      <c r="C21" s="163" t="s">
        <v>241</v>
      </c>
      <c r="D21" s="164" t="s">
        <v>165</v>
      </c>
      <c r="E21" s="164">
        <v>15.68</v>
      </c>
      <c r="F21" s="153">
        <v>1</v>
      </c>
      <c r="G21" s="153">
        <f t="shared" si="5"/>
        <v>3</v>
      </c>
      <c r="H21" s="153">
        <v>3</v>
      </c>
      <c r="I21" s="178">
        <v>0</v>
      </c>
      <c r="J21" s="153">
        <v>0.1</v>
      </c>
      <c r="K21" s="153">
        <f t="shared" si="6"/>
        <v>0.246</v>
      </c>
      <c r="L21" s="153">
        <f t="shared" si="7"/>
        <v>0.39114</v>
      </c>
      <c r="M21" s="153">
        <f t="shared" si="8"/>
        <v>4.73714</v>
      </c>
      <c r="N21" s="164">
        <f t="shared" si="4"/>
        <v>74.2783552</v>
      </c>
      <c r="O21" s="164" t="s">
        <v>242</v>
      </c>
    </row>
    <row r="22" ht="48" outlineLevel="1" spans="1:15">
      <c r="A22" s="161">
        <v>17</v>
      </c>
      <c r="B22" s="170" t="s">
        <v>240</v>
      </c>
      <c r="C22" s="163" t="s">
        <v>243</v>
      </c>
      <c r="D22" s="164" t="s">
        <v>165</v>
      </c>
      <c r="E22" s="164">
        <v>110.79</v>
      </c>
      <c r="F22" s="153">
        <v>1</v>
      </c>
      <c r="G22" s="153">
        <f t="shared" si="5"/>
        <v>2.1</v>
      </c>
      <c r="H22" s="153">
        <v>2.1</v>
      </c>
      <c r="I22" s="178">
        <v>0</v>
      </c>
      <c r="J22" s="153">
        <v>0.1</v>
      </c>
      <c r="K22" s="153">
        <f t="shared" si="6"/>
        <v>0.192</v>
      </c>
      <c r="L22" s="153">
        <f t="shared" si="7"/>
        <v>0.30528</v>
      </c>
      <c r="M22" s="153">
        <f t="shared" si="8"/>
        <v>3.69728</v>
      </c>
      <c r="N22" s="164">
        <f t="shared" si="4"/>
        <v>409.6216512</v>
      </c>
      <c r="O22" s="164" t="s">
        <v>242</v>
      </c>
    </row>
    <row r="23" spans="1:15">
      <c r="A23" s="161">
        <v>18</v>
      </c>
      <c r="B23" s="171" t="s">
        <v>187</v>
      </c>
      <c r="C23" s="171"/>
      <c r="D23" s="172" t="s">
        <v>188</v>
      </c>
      <c r="E23" s="171"/>
      <c r="F23" s="173"/>
      <c r="G23" s="173"/>
      <c r="H23" s="173"/>
      <c r="I23" s="173"/>
      <c r="J23" s="171"/>
      <c r="K23" s="171"/>
      <c r="L23" s="171"/>
      <c r="M23" s="171"/>
      <c r="N23" s="172">
        <f>SUM(N6:N22)</f>
        <v>7918.4137384</v>
      </c>
      <c r="O23" s="171"/>
    </row>
    <row r="24" s="141" customFormat="1" ht="30" customHeight="1" spans="1:15">
      <c r="A24" s="161" t="s">
        <v>69</v>
      </c>
      <c r="B24" s="158" t="s">
        <v>102</v>
      </c>
      <c r="C24" s="158" t="s">
        <v>142</v>
      </c>
      <c r="D24" s="158" t="s">
        <v>108</v>
      </c>
      <c r="E24" s="164"/>
      <c r="F24" s="164"/>
      <c r="G24" s="164"/>
      <c r="H24" s="164"/>
      <c r="I24" s="164"/>
      <c r="J24" s="164"/>
      <c r="K24" s="180"/>
      <c r="L24" s="180"/>
      <c r="M24" s="164"/>
      <c r="N24" s="164"/>
      <c r="O24" s="164"/>
    </row>
    <row r="25" ht="60" outlineLevel="1" spans="1:15">
      <c r="A25" s="161">
        <v>1</v>
      </c>
      <c r="B25" s="162" t="s">
        <v>210</v>
      </c>
      <c r="C25" s="163" t="s">
        <v>211</v>
      </c>
      <c r="D25" s="162" t="s">
        <v>99</v>
      </c>
      <c r="E25" s="164">
        <v>2</v>
      </c>
      <c r="F25" s="153">
        <v>15</v>
      </c>
      <c r="G25" s="153">
        <f t="shared" ref="G25:G30" si="9">H25*(1+I25)</f>
        <v>85</v>
      </c>
      <c r="H25" s="153">
        <v>85</v>
      </c>
      <c r="I25" s="178">
        <v>0</v>
      </c>
      <c r="J25" s="153">
        <v>2</v>
      </c>
      <c r="K25" s="153">
        <f t="shared" ref="K25:K30" si="10">(F25+G25+J25)*0.06</f>
        <v>6.12</v>
      </c>
      <c r="L25" s="153">
        <f t="shared" ref="L25:L30" si="11">(F25+G25+J25+K25)*0.09</f>
        <v>9.7308</v>
      </c>
      <c r="M25" s="153">
        <f t="shared" ref="M25:M30" si="12">F25+G25+J25+K25+L25</f>
        <v>117.8508</v>
      </c>
      <c r="N25" s="164">
        <f>M25*E25</f>
        <v>235.7016</v>
      </c>
      <c r="O25" s="164" t="s">
        <v>212</v>
      </c>
    </row>
    <row r="26" ht="48" outlineLevel="1" spans="1:15">
      <c r="A26" s="161">
        <v>2</v>
      </c>
      <c r="B26" s="162" t="s">
        <v>213</v>
      </c>
      <c r="C26" s="163" t="s">
        <v>214</v>
      </c>
      <c r="D26" s="162" t="s">
        <v>99</v>
      </c>
      <c r="E26" s="164">
        <v>7</v>
      </c>
      <c r="F26" s="153">
        <v>15</v>
      </c>
      <c r="G26" s="153">
        <f t="shared" si="9"/>
        <v>35</v>
      </c>
      <c r="H26" s="153">
        <v>35</v>
      </c>
      <c r="I26" s="178">
        <v>0</v>
      </c>
      <c r="J26" s="153">
        <v>2</v>
      </c>
      <c r="K26" s="153">
        <f t="shared" si="10"/>
        <v>3.12</v>
      </c>
      <c r="L26" s="153">
        <f t="shared" si="11"/>
        <v>4.9608</v>
      </c>
      <c r="M26" s="153">
        <f t="shared" si="12"/>
        <v>60.0808</v>
      </c>
      <c r="N26" s="164">
        <f t="shared" ref="N26:N42" si="13">M26*E26</f>
        <v>420.5656</v>
      </c>
      <c r="O26" s="164" t="s">
        <v>212</v>
      </c>
    </row>
    <row r="27" ht="48" outlineLevel="1" spans="1:15">
      <c r="A27" s="161">
        <v>3</v>
      </c>
      <c r="B27" s="162" t="s">
        <v>215</v>
      </c>
      <c r="C27" s="163" t="s">
        <v>216</v>
      </c>
      <c r="D27" s="162" t="s">
        <v>99</v>
      </c>
      <c r="E27" s="165">
        <v>2</v>
      </c>
      <c r="F27" s="153">
        <v>15</v>
      </c>
      <c r="G27" s="153">
        <f t="shared" si="9"/>
        <v>35</v>
      </c>
      <c r="H27" s="153">
        <v>35</v>
      </c>
      <c r="I27" s="178">
        <v>0</v>
      </c>
      <c r="J27" s="153">
        <v>2</v>
      </c>
      <c r="K27" s="153">
        <f t="shared" si="10"/>
        <v>3.12</v>
      </c>
      <c r="L27" s="153">
        <f t="shared" si="11"/>
        <v>4.9608</v>
      </c>
      <c r="M27" s="153">
        <f t="shared" si="12"/>
        <v>60.0808</v>
      </c>
      <c r="N27" s="164">
        <f t="shared" si="13"/>
        <v>120.1616</v>
      </c>
      <c r="O27" s="164" t="s">
        <v>212</v>
      </c>
    </row>
    <row r="28" ht="48" outlineLevel="1" spans="1:15">
      <c r="A28" s="161">
        <v>4</v>
      </c>
      <c r="B28" s="166" t="s">
        <v>217</v>
      </c>
      <c r="C28" s="163" t="s">
        <v>218</v>
      </c>
      <c r="D28" s="162" t="s">
        <v>99</v>
      </c>
      <c r="E28" s="165">
        <v>1</v>
      </c>
      <c r="F28" s="153">
        <v>200</v>
      </c>
      <c r="G28" s="153">
        <f t="shared" si="9"/>
        <v>2000</v>
      </c>
      <c r="H28" s="153">
        <v>2000</v>
      </c>
      <c r="I28" s="178">
        <v>0</v>
      </c>
      <c r="J28" s="153">
        <v>2</v>
      </c>
      <c r="K28" s="153">
        <f t="shared" si="10"/>
        <v>132.12</v>
      </c>
      <c r="L28" s="153">
        <f t="shared" si="11"/>
        <v>210.0708</v>
      </c>
      <c r="M28" s="153">
        <f t="shared" si="12"/>
        <v>2544.1908</v>
      </c>
      <c r="N28" s="164">
        <f t="shared" si="13"/>
        <v>2544.1908</v>
      </c>
      <c r="O28" s="164"/>
    </row>
    <row r="29" ht="48" outlineLevel="1" spans="1:15">
      <c r="A29" s="161">
        <v>5</v>
      </c>
      <c r="B29" s="162" t="s">
        <v>244</v>
      </c>
      <c r="C29" s="163" t="s">
        <v>245</v>
      </c>
      <c r="D29" s="162" t="s">
        <v>99</v>
      </c>
      <c r="E29" s="165">
        <v>3</v>
      </c>
      <c r="F29" s="153">
        <v>15</v>
      </c>
      <c r="G29" s="153">
        <f t="shared" si="9"/>
        <v>65</v>
      </c>
      <c r="H29" s="153">
        <v>65</v>
      </c>
      <c r="I29" s="178">
        <v>0</v>
      </c>
      <c r="J29" s="153">
        <v>2</v>
      </c>
      <c r="K29" s="153">
        <f t="shared" si="10"/>
        <v>4.92</v>
      </c>
      <c r="L29" s="153">
        <f t="shared" si="11"/>
        <v>7.8228</v>
      </c>
      <c r="M29" s="153">
        <f t="shared" si="12"/>
        <v>94.7428</v>
      </c>
      <c r="N29" s="164">
        <f t="shared" si="13"/>
        <v>284.2284</v>
      </c>
      <c r="O29" s="164"/>
    </row>
    <row r="30" ht="25" customHeight="1" outlineLevel="1" spans="1:15">
      <c r="A30" s="161">
        <v>6</v>
      </c>
      <c r="B30" s="162" t="s">
        <v>219</v>
      </c>
      <c r="C30" s="163"/>
      <c r="D30" s="162" t="s">
        <v>99</v>
      </c>
      <c r="E30" s="165">
        <v>1</v>
      </c>
      <c r="F30" s="153">
        <v>15</v>
      </c>
      <c r="G30" s="153">
        <f t="shared" si="9"/>
        <v>50</v>
      </c>
      <c r="H30" s="153">
        <v>50</v>
      </c>
      <c r="I30" s="178">
        <v>0</v>
      </c>
      <c r="J30" s="153">
        <v>2</v>
      </c>
      <c r="K30" s="153">
        <f t="shared" si="10"/>
        <v>4.02</v>
      </c>
      <c r="L30" s="153">
        <f t="shared" si="11"/>
        <v>6.3918</v>
      </c>
      <c r="M30" s="153">
        <f t="shared" si="12"/>
        <v>77.4118</v>
      </c>
      <c r="N30" s="164">
        <f t="shared" si="13"/>
        <v>77.4118</v>
      </c>
      <c r="O30" s="164"/>
    </row>
    <row r="31" ht="48" outlineLevel="1" spans="1:15">
      <c r="A31" s="161">
        <v>7</v>
      </c>
      <c r="B31" s="167" t="s">
        <v>220</v>
      </c>
      <c r="C31" s="163" t="s">
        <v>221</v>
      </c>
      <c r="D31" s="162" t="s">
        <v>99</v>
      </c>
      <c r="E31" s="165">
        <v>2</v>
      </c>
      <c r="F31" s="153">
        <v>120</v>
      </c>
      <c r="G31" s="153">
        <f t="shared" ref="G31:G40" si="14">H31*(1+I31)</f>
        <v>600</v>
      </c>
      <c r="H31" s="153">
        <v>600</v>
      </c>
      <c r="I31" s="178">
        <v>0</v>
      </c>
      <c r="J31" s="153">
        <v>5</v>
      </c>
      <c r="K31" s="153">
        <f t="shared" ref="K31:K40" si="15">(F31+G31+J31)*0.06</f>
        <v>43.5</v>
      </c>
      <c r="L31" s="153">
        <f t="shared" ref="L31:L40" si="16">(F31+G31+J31+K31)*0.09</f>
        <v>69.165</v>
      </c>
      <c r="M31" s="153">
        <f t="shared" ref="M31:M40" si="17">F31+G31+J31+K31+L31</f>
        <v>837.665</v>
      </c>
      <c r="N31" s="164">
        <f t="shared" si="13"/>
        <v>1675.33</v>
      </c>
      <c r="O31" s="164"/>
    </row>
    <row r="32" ht="48" outlineLevel="1" spans="1:15">
      <c r="A32" s="161">
        <v>8</v>
      </c>
      <c r="B32" s="166" t="s">
        <v>222</v>
      </c>
      <c r="C32" s="163" t="s">
        <v>223</v>
      </c>
      <c r="D32" s="168" t="s">
        <v>165</v>
      </c>
      <c r="E32" s="169">
        <v>10.17</v>
      </c>
      <c r="F32" s="153">
        <v>8</v>
      </c>
      <c r="G32" s="153">
        <f t="shared" si="14"/>
        <v>25</v>
      </c>
      <c r="H32" s="153">
        <v>25</v>
      </c>
      <c r="I32" s="178">
        <v>0</v>
      </c>
      <c r="J32" s="153">
        <v>2</v>
      </c>
      <c r="K32" s="153">
        <f t="shared" si="15"/>
        <v>2.1</v>
      </c>
      <c r="L32" s="153">
        <f t="shared" si="16"/>
        <v>3.339</v>
      </c>
      <c r="M32" s="153">
        <f t="shared" si="17"/>
        <v>40.439</v>
      </c>
      <c r="N32" s="164">
        <f t="shared" si="13"/>
        <v>411.26463</v>
      </c>
      <c r="O32" s="164" t="s">
        <v>224</v>
      </c>
    </row>
    <row r="33" ht="48" outlineLevel="1" spans="1:15">
      <c r="A33" s="161">
        <v>9</v>
      </c>
      <c r="B33" s="162" t="s">
        <v>225</v>
      </c>
      <c r="C33" s="163" t="s">
        <v>226</v>
      </c>
      <c r="D33" s="162" t="s">
        <v>99</v>
      </c>
      <c r="E33" s="165">
        <v>1</v>
      </c>
      <c r="F33" s="153">
        <v>8</v>
      </c>
      <c r="G33" s="153">
        <f t="shared" si="14"/>
        <v>30</v>
      </c>
      <c r="H33" s="153">
        <v>30</v>
      </c>
      <c r="I33" s="178">
        <v>0</v>
      </c>
      <c r="J33" s="153">
        <v>2</v>
      </c>
      <c r="K33" s="153">
        <f t="shared" si="15"/>
        <v>2.4</v>
      </c>
      <c r="L33" s="153">
        <f t="shared" si="16"/>
        <v>3.816</v>
      </c>
      <c r="M33" s="153">
        <f t="shared" si="17"/>
        <v>46.216</v>
      </c>
      <c r="N33" s="164">
        <f t="shared" si="13"/>
        <v>46.216</v>
      </c>
      <c r="O33" s="69"/>
    </row>
    <row r="34" ht="48" outlineLevel="1" spans="1:15">
      <c r="A34" s="161">
        <v>10</v>
      </c>
      <c r="B34" s="162" t="s">
        <v>228</v>
      </c>
      <c r="C34" s="163" t="s">
        <v>229</v>
      </c>
      <c r="D34" s="162" t="s">
        <v>99</v>
      </c>
      <c r="E34" s="165">
        <v>0</v>
      </c>
      <c r="F34" s="153">
        <v>8</v>
      </c>
      <c r="G34" s="153">
        <f t="shared" si="14"/>
        <v>20</v>
      </c>
      <c r="H34" s="153">
        <v>20</v>
      </c>
      <c r="I34" s="178">
        <v>0</v>
      </c>
      <c r="J34" s="153">
        <v>2</v>
      </c>
      <c r="K34" s="153">
        <f t="shared" si="15"/>
        <v>1.8</v>
      </c>
      <c r="L34" s="153">
        <f t="shared" si="16"/>
        <v>2.862</v>
      </c>
      <c r="M34" s="153">
        <f t="shared" si="17"/>
        <v>34.662</v>
      </c>
      <c r="N34" s="164">
        <f t="shared" si="13"/>
        <v>0</v>
      </c>
      <c r="O34" s="69" t="s">
        <v>227</v>
      </c>
    </row>
    <row r="35" ht="72" outlineLevel="1" spans="1:15">
      <c r="A35" s="161">
        <v>11</v>
      </c>
      <c r="B35" s="170" t="s">
        <v>230</v>
      </c>
      <c r="C35" s="163" t="s">
        <v>231</v>
      </c>
      <c r="D35" s="162" t="s">
        <v>99</v>
      </c>
      <c r="E35" s="69">
        <v>1</v>
      </c>
      <c r="F35" s="153">
        <v>10</v>
      </c>
      <c r="G35" s="153">
        <f t="shared" si="14"/>
        <v>13</v>
      </c>
      <c r="H35" s="153">
        <v>13</v>
      </c>
      <c r="I35" s="178">
        <v>0</v>
      </c>
      <c r="J35" s="153">
        <v>2</v>
      </c>
      <c r="K35" s="153">
        <f t="shared" si="15"/>
        <v>1.5</v>
      </c>
      <c r="L35" s="153">
        <f t="shared" si="16"/>
        <v>2.385</v>
      </c>
      <c r="M35" s="153">
        <f t="shared" si="17"/>
        <v>28.885</v>
      </c>
      <c r="N35" s="164">
        <f t="shared" si="13"/>
        <v>28.885</v>
      </c>
      <c r="O35" s="69" t="s">
        <v>227</v>
      </c>
    </row>
    <row r="36" ht="48" outlineLevel="1" spans="1:15">
      <c r="A36" s="161">
        <v>12</v>
      </c>
      <c r="B36" s="170" t="s">
        <v>232</v>
      </c>
      <c r="C36" s="163" t="s">
        <v>233</v>
      </c>
      <c r="D36" s="162" t="s">
        <v>99</v>
      </c>
      <c r="E36" s="164">
        <v>1</v>
      </c>
      <c r="F36" s="153">
        <v>10</v>
      </c>
      <c r="G36" s="153">
        <f t="shared" si="14"/>
        <v>22</v>
      </c>
      <c r="H36" s="153">
        <v>22</v>
      </c>
      <c r="I36" s="178">
        <v>0</v>
      </c>
      <c r="J36" s="153">
        <v>2</v>
      </c>
      <c r="K36" s="153">
        <f t="shared" si="15"/>
        <v>2.04</v>
      </c>
      <c r="L36" s="153">
        <f t="shared" si="16"/>
        <v>3.2436</v>
      </c>
      <c r="M36" s="153">
        <f t="shared" si="17"/>
        <v>39.2836</v>
      </c>
      <c r="N36" s="164">
        <f t="shared" si="13"/>
        <v>39.2836</v>
      </c>
      <c r="O36" s="69" t="s">
        <v>227</v>
      </c>
    </row>
    <row r="37" ht="60" outlineLevel="1" spans="1:15">
      <c r="A37" s="161">
        <v>13</v>
      </c>
      <c r="B37" s="170" t="s">
        <v>234</v>
      </c>
      <c r="C37" s="163" t="s">
        <v>235</v>
      </c>
      <c r="D37" s="164" t="s">
        <v>165</v>
      </c>
      <c r="E37" s="164">
        <v>0</v>
      </c>
      <c r="F37" s="153">
        <v>10</v>
      </c>
      <c r="G37" s="153">
        <f t="shared" si="14"/>
        <v>8.08</v>
      </c>
      <c r="H37" s="153">
        <v>8</v>
      </c>
      <c r="I37" s="178">
        <v>0.01</v>
      </c>
      <c r="J37" s="153">
        <v>2</v>
      </c>
      <c r="K37" s="153">
        <f t="shared" si="15"/>
        <v>1.2048</v>
      </c>
      <c r="L37" s="153">
        <f t="shared" si="16"/>
        <v>1.915632</v>
      </c>
      <c r="M37" s="153">
        <f t="shared" si="17"/>
        <v>23.200432</v>
      </c>
      <c r="N37" s="164">
        <f t="shared" si="13"/>
        <v>0</v>
      </c>
      <c r="O37" s="179"/>
    </row>
    <row r="38" ht="60" outlineLevel="1" spans="1:15">
      <c r="A38" s="161">
        <v>14</v>
      </c>
      <c r="B38" s="170" t="s">
        <v>234</v>
      </c>
      <c r="C38" s="163" t="s">
        <v>236</v>
      </c>
      <c r="D38" s="164" t="s">
        <v>165</v>
      </c>
      <c r="E38" s="164">
        <v>54</v>
      </c>
      <c r="F38" s="153">
        <v>10</v>
      </c>
      <c r="G38" s="153">
        <f t="shared" si="14"/>
        <v>6.06</v>
      </c>
      <c r="H38" s="153">
        <v>6</v>
      </c>
      <c r="I38" s="178">
        <v>0.01</v>
      </c>
      <c r="J38" s="153">
        <v>2</v>
      </c>
      <c r="K38" s="153">
        <f t="shared" si="15"/>
        <v>1.0836</v>
      </c>
      <c r="L38" s="153">
        <f t="shared" si="16"/>
        <v>1.722924</v>
      </c>
      <c r="M38" s="153">
        <f t="shared" si="17"/>
        <v>20.866524</v>
      </c>
      <c r="N38" s="164">
        <f t="shared" si="13"/>
        <v>1126.792296</v>
      </c>
      <c r="O38" s="179"/>
    </row>
    <row r="39" ht="60" outlineLevel="1" spans="1:15">
      <c r="A39" s="161">
        <v>15</v>
      </c>
      <c r="B39" s="170" t="s">
        <v>234</v>
      </c>
      <c r="C39" s="163" t="s">
        <v>237</v>
      </c>
      <c r="D39" s="164" t="s">
        <v>165</v>
      </c>
      <c r="E39" s="164">
        <v>0</v>
      </c>
      <c r="F39" s="153">
        <v>12</v>
      </c>
      <c r="G39" s="153">
        <f t="shared" si="14"/>
        <v>10.1</v>
      </c>
      <c r="H39" s="153">
        <v>10</v>
      </c>
      <c r="I39" s="178">
        <v>0.01</v>
      </c>
      <c r="J39" s="153">
        <v>2</v>
      </c>
      <c r="K39" s="153">
        <f t="shared" si="15"/>
        <v>1.446</v>
      </c>
      <c r="L39" s="153">
        <f t="shared" si="16"/>
        <v>2.29914</v>
      </c>
      <c r="M39" s="153">
        <f t="shared" si="17"/>
        <v>27.84514</v>
      </c>
      <c r="N39" s="164">
        <f t="shared" si="13"/>
        <v>0</v>
      </c>
      <c r="O39" s="179"/>
    </row>
    <row r="40" ht="48" outlineLevel="1" spans="1:15">
      <c r="A40" s="161">
        <v>16</v>
      </c>
      <c r="B40" s="170" t="s">
        <v>238</v>
      </c>
      <c r="C40" s="163" t="s">
        <v>239</v>
      </c>
      <c r="D40" s="164" t="s">
        <v>165</v>
      </c>
      <c r="E40" s="164">
        <v>6.87</v>
      </c>
      <c r="F40" s="153">
        <v>1.5</v>
      </c>
      <c r="G40" s="153">
        <f t="shared" si="14"/>
        <v>2</v>
      </c>
      <c r="H40" s="153">
        <v>2</v>
      </c>
      <c r="I40" s="178">
        <v>0</v>
      </c>
      <c r="J40" s="153">
        <v>1</v>
      </c>
      <c r="K40" s="153">
        <f t="shared" si="15"/>
        <v>0.27</v>
      </c>
      <c r="L40" s="153">
        <f t="shared" si="16"/>
        <v>0.4293</v>
      </c>
      <c r="M40" s="153">
        <f t="shared" si="17"/>
        <v>5.1993</v>
      </c>
      <c r="N40" s="164">
        <f t="shared" si="13"/>
        <v>35.719191</v>
      </c>
      <c r="O40" s="164"/>
    </row>
    <row r="41" ht="48" outlineLevel="1" spans="1:15">
      <c r="A41" s="161">
        <v>17</v>
      </c>
      <c r="B41" s="170" t="s">
        <v>240</v>
      </c>
      <c r="C41" s="163" t="s">
        <v>241</v>
      </c>
      <c r="D41" s="164" t="s">
        <v>165</v>
      </c>
      <c r="E41" s="164">
        <v>19.31</v>
      </c>
      <c r="F41" s="153">
        <v>1</v>
      </c>
      <c r="G41" s="153">
        <f t="shared" ref="G41:G49" si="18">H41*(1+I41)</f>
        <v>3</v>
      </c>
      <c r="H41" s="153">
        <v>3</v>
      </c>
      <c r="I41" s="178">
        <v>0</v>
      </c>
      <c r="J41" s="153">
        <v>0.1</v>
      </c>
      <c r="K41" s="153">
        <f t="shared" ref="K41:K49" si="19">(F41+G41+J41)*0.06</f>
        <v>0.246</v>
      </c>
      <c r="L41" s="153">
        <f t="shared" ref="L41:L49" si="20">(F41+G41+J41+K41)*0.09</f>
        <v>0.39114</v>
      </c>
      <c r="M41" s="153">
        <f t="shared" ref="M41:M49" si="21">F41+G41+J41+K41+L41</f>
        <v>4.73714</v>
      </c>
      <c r="N41" s="164">
        <f t="shared" si="13"/>
        <v>91.4741734</v>
      </c>
      <c r="O41" s="164"/>
    </row>
    <row r="42" ht="48" outlineLevel="1" spans="1:15">
      <c r="A42" s="161">
        <v>18</v>
      </c>
      <c r="B42" s="170" t="s">
        <v>240</v>
      </c>
      <c r="C42" s="163" t="s">
        <v>243</v>
      </c>
      <c r="D42" s="164" t="s">
        <v>165</v>
      </c>
      <c r="E42" s="164">
        <v>82.56</v>
      </c>
      <c r="F42" s="153">
        <v>1</v>
      </c>
      <c r="G42" s="153">
        <f t="shared" si="18"/>
        <v>2.1</v>
      </c>
      <c r="H42" s="153">
        <v>2.1</v>
      </c>
      <c r="I42" s="178">
        <v>0</v>
      </c>
      <c r="J42" s="153">
        <v>0.1</v>
      </c>
      <c r="K42" s="153">
        <f t="shared" si="19"/>
        <v>0.192</v>
      </c>
      <c r="L42" s="153">
        <f t="shared" si="20"/>
        <v>0.30528</v>
      </c>
      <c r="M42" s="153">
        <f t="shared" si="21"/>
        <v>3.69728</v>
      </c>
      <c r="N42" s="164">
        <f t="shared" si="13"/>
        <v>305.2474368</v>
      </c>
      <c r="O42" s="164"/>
    </row>
    <row r="43" spans="1:15">
      <c r="A43" s="161">
        <v>19</v>
      </c>
      <c r="B43" s="171" t="s">
        <v>187</v>
      </c>
      <c r="C43" s="171"/>
      <c r="D43" s="172" t="s">
        <v>188</v>
      </c>
      <c r="E43" s="171"/>
      <c r="F43" s="173"/>
      <c r="G43" s="173"/>
      <c r="H43" s="173"/>
      <c r="I43" s="173"/>
      <c r="J43" s="171"/>
      <c r="K43" s="171"/>
      <c r="L43" s="171"/>
      <c r="M43" s="171"/>
      <c r="N43" s="172">
        <f>SUM(N25:N42)</f>
        <v>7442.4721272</v>
      </c>
      <c r="O43" s="171"/>
    </row>
    <row r="44" ht="33.75" spans="1:15">
      <c r="A44" s="161" t="s">
        <v>72</v>
      </c>
      <c r="B44" s="158" t="s">
        <v>104</v>
      </c>
      <c r="C44" s="158" t="s">
        <v>142</v>
      </c>
      <c r="D44" s="164" t="s">
        <v>108</v>
      </c>
      <c r="E44" s="164"/>
      <c r="F44" s="164"/>
      <c r="G44" s="164"/>
      <c r="H44" s="164"/>
      <c r="I44" s="164"/>
      <c r="J44" s="164"/>
      <c r="K44" s="180"/>
      <c r="L44" s="180"/>
      <c r="M44" s="164"/>
      <c r="N44" s="164"/>
      <c r="O44" s="164"/>
    </row>
    <row r="45" ht="60" outlineLevel="1" spans="1:15">
      <c r="A45" s="161">
        <v>1</v>
      </c>
      <c r="B45" s="162" t="s">
        <v>210</v>
      </c>
      <c r="C45" s="163" t="s">
        <v>211</v>
      </c>
      <c r="D45" s="162" t="s">
        <v>99</v>
      </c>
      <c r="E45" s="164">
        <v>2</v>
      </c>
      <c r="F45" s="153">
        <v>15</v>
      </c>
      <c r="G45" s="153">
        <f t="shared" si="18"/>
        <v>85</v>
      </c>
      <c r="H45" s="153">
        <v>85</v>
      </c>
      <c r="I45" s="178">
        <v>0</v>
      </c>
      <c r="J45" s="153">
        <v>2</v>
      </c>
      <c r="K45" s="153">
        <f t="shared" si="19"/>
        <v>6.12</v>
      </c>
      <c r="L45" s="153">
        <f t="shared" si="20"/>
        <v>9.7308</v>
      </c>
      <c r="M45" s="153">
        <f t="shared" si="21"/>
        <v>117.8508</v>
      </c>
      <c r="N45" s="164">
        <f>M45*E45</f>
        <v>235.7016</v>
      </c>
      <c r="O45" s="164" t="s">
        <v>212</v>
      </c>
    </row>
    <row r="46" ht="48" outlineLevel="1" spans="1:15">
      <c r="A46" s="161">
        <v>2</v>
      </c>
      <c r="B46" s="162" t="s">
        <v>213</v>
      </c>
      <c r="C46" s="163" t="s">
        <v>214</v>
      </c>
      <c r="D46" s="162" t="s">
        <v>99</v>
      </c>
      <c r="E46" s="164">
        <v>8</v>
      </c>
      <c r="F46" s="153">
        <v>15</v>
      </c>
      <c r="G46" s="153">
        <f t="shared" si="18"/>
        <v>35</v>
      </c>
      <c r="H46" s="153">
        <v>35</v>
      </c>
      <c r="I46" s="178">
        <v>0</v>
      </c>
      <c r="J46" s="153">
        <v>2</v>
      </c>
      <c r="K46" s="153">
        <f t="shared" si="19"/>
        <v>3.12</v>
      </c>
      <c r="L46" s="153">
        <f t="shared" si="20"/>
        <v>4.9608</v>
      </c>
      <c r="M46" s="153">
        <f t="shared" si="21"/>
        <v>60.0808</v>
      </c>
      <c r="N46" s="164">
        <f>M46*E46</f>
        <v>480.6464</v>
      </c>
      <c r="O46" s="164" t="s">
        <v>212</v>
      </c>
    </row>
    <row r="47" ht="48" outlineLevel="1" spans="1:15">
      <c r="A47" s="161">
        <v>3</v>
      </c>
      <c r="B47" s="162" t="s">
        <v>215</v>
      </c>
      <c r="C47" s="163" t="s">
        <v>216</v>
      </c>
      <c r="D47" s="162" t="s">
        <v>99</v>
      </c>
      <c r="E47" s="165">
        <v>2</v>
      </c>
      <c r="F47" s="153">
        <v>15</v>
      </c>
      <c r="G47" s="153">
        <f t="shared" si="18"/>
        <v>35</v>
      </c>
      <c r="H47" s="153">
        <v>35</v>
      </c>
      <c r="I47" s="178">
        <v>0</v>
      </c>
      <c r="J47" s="153">
        <v>2</v>
      </c>
      <c r="K47" s="153">
        <f t="shared" si="19"/>
        <v>3.12</v>
      </c>
      <c r="L47" s="153">
        <f t="shared" si="20"/>
        <v>4.9608</v>
      </c>
      <c r="M47" s="153">
        <f t="shared" si="21"/>
        <v>60.0808</v>
      </c>
      <c r="N47" s="164">
        <f t="shared" ref="N46:N61" si="22">M47*E47</f>
        <v>120.1616</v>
      </c>
      <c r="O47" s="164" t="s">
        <v>212</v>
      </c>
    </row>
    <row r="48" ht="48" outlineLevel="1" spans="1:15">
      <c r="A48" s="161">
        <v>4</v>
      </c>
      <c r="B48" s="166" t="s">
        <v>217</v>
      </c>
      <c r="C48" s="163" t="s">
        <v>218</v>
      </c>
      <c r="D48" s="162" t="s">
        <v>99</v>
      </c>
      <c r="E48" s="165">
        <v>1</v>
      </c>
      <c r="F48" s="153">
        <v>200</v>
      </c>
      <c r="G48" s="153">
        <f t="shared" si="18"/>
        <v>2000</v>
      </c>
      <c r="H48" s="153">
        <v>2000</v>
      </c>
      <c r="I48" s="178">
        <v>0</v>
      </c>
      <c r="J48" s="153">
        <v>2</v>
      </c>
      <c r="K48" s="153">
        <f t="shared" si="19"/>
        <v>132.12</v>
      </c>
      <c r="L48" s="153">
        <f t="shared" si="20"/>
        <v>210.0708</v>
      </c>
      <c r="M48" s="153">
        <f t="shared" si="21"/>
        <v>2544.1908</v>
      </c>
      <c r="N48" s="164">
        <f t="shared" si="22"/>
        <v>2544.1908</v>
      </c>
      <c r="O48" s="164"/>
    </row>
    <row r="49" ht="25" customHeight="1" outlineLevel="1" spans="1:15">
      <c r="A49" s="161">
        <v>5</v>
      </c>
      <c r="B49" s="162" t="s">
        <v>219</v>
      </c>
      <c r="C49" s="163"/>
      <c r="D49" s="162" t="s">
        <v>99</v>
      </c>
      <c r="E49" s="165">
        <v>4</v>
      </c>
      <c r="F49" s="153">
        <v>15</v>
      </c>
      <c r="G49" s="153">
        <f t="shared" si="18"/>
        <v>50</v>
      </c>
      <c r="H49" s="153">
        <v>50</v>
      </c>
      <c r="I49" s="178">
        <v>0</v>
      </c>
      <c r="J49" s="153">
        <v>2</v>
      </c>
      <c r="K49" s="153">
        <f t="shared" si="19"/>
        <v>4.02</v>
      </c>
      <c r="L49" s="153">
        <f t="shared" si="20"/>
        <v>6.3918</v>
      </c>
      <c r="M49" s="153">
        <f t="shared" si="21"/>
        <v>77.4118</v>
      </c>
      <c r="N49" s="164">
        <f t="shared" si="22"/>
        <v>309.6472</v>
      </c>
      <c r="O49" s="164"/>
    </row>
    <row r="50" ht="48" outlineLevel="1" spans="1:15">
      <c r="A50" s="161">
        <v>6</v>
      </c>
      <c r="B50" s="167" t="s">
        <v>220</v>
      </c>
      <c r="C50" s="163" t="s">
        <v>221</v>
      </c>
      <c r="D50" s="162" t="s">
        <v>99</v>
      </c>
      <c r="E50" s="165">
        <v>2</v>
      </c>
      <c r="F50" s="153">
        <v>120</v>
      </c>
      <c r="G50" s="153">
        <f t="shared" ref="G50:G59" si="23">H50*(1+I50)</f>
        <v>600</v>
      </c>
      <c r="H50" s="153">
        <v>600</v>
      </c>
      <c r="I50" s="178">
        <v>0</v>
      </c>
      <c r="J50" s="153">
        <v>5</v>
      </c>
      <c r="K50" s="153">
        <f t="shared" ref="K50:K59" si="24">(F50+G50+J50)*0.06</f>
        <v>43.5</v>
      </c>
      <c r="L50" s="153">
        <f t="shared" ref="L50:L59" si="25">(F50+G50+J50+K50)*0.09</f>
        <v>69.165</v>
      </c>
      <c r="M50" s="153">
        <f t="shared" ref="M50:M59" si="26">F50+G50+J50+K50+L50</f>
        <v>837.665</v>
      </c>
      <c r="N50" s="164">
        <f t="shared" si="22"/>
        <v>1675.33</v>
      </c>
      <c r="O50" s="164"/>
    </row>
    <row r="51" ht="48" outlineLevel="1" spans="1:15">
      <c r="A51" s="161">
        <v>7</v>
      </c>
      <c r="B51" s="166" t="s">
        <v>222</v>
      </c>
      <c r="C51" s="163" t="s">
        <v>223</v>
      </c>
      <c r="D51" s="168" t="s">
        <v>165</v>
      </c>
      <c r="E51" s="169">
        <v>9.32</v>
      </c>
      <c r="F51" s="153">
        <v>8</v>
      </c>
      <c r="G51" s="153">
        <f t="shared" si="23"/>
        <v>25</v>
      </c>
      <c r="H51" s="153">
        <v>25</v>
      </c>
      <c r="I51" s="178">
        <v>0</v>
      </c>
      <c r="J51" s="153">
        <v>2</v>
      </c>
      <c r="K51" s="153">
        <f t="shared" si="24"/>
        <v>2.1</v>
      </c>
      <c r="L51" s="153">
        <f t="shared" si="25"/>
        <v>3.339</v>
      </c>
      <c r="M51" s="153">
        <f t="shared" si="26"/>
        <v>40.439</v>
      </c>
      <c r="N51" s="164">
        <f t="shared" si="22"/>
        <v>376.89148</v>
      </c>
      <c r="O51" s="164" t="s">
        <v>224</v>
      </c>
    </row>
    <row r="52" ht="48" outlineLevel="1" spans="1:15">
      <c r="A52" s="161">
        <v>8</v>
      </c>
      <c r="B52" s="162" t="s">
        <v>225</v>
      </c>
      <c r="C52" s="163" t="s">
        <v>226</v>
      </c>
      <c r="D52" s="162" t="s">
        <v>99</v>
      </c>
      <c r="E52" s="165">
        <v>1</v>
      </c>
      <c r="F52" s="153">
        <v>8</v>
      </c>
      <c r="G52" s="153">
        <f t="shared" si="23"/>
        <v>30</v>
      </c>
      <c r="H52" s="153">
        <v>30</v>
      </c>
      <c r="I52" s="178">
        <v>0</v>
      </c>
      <c r="J52" s="153">
        <v>2</v>
      </c>
      <c r="K52" s="153">
        <f t="shared" si="24"/>
        <v>2.4</v>
      </c>
      <c r="L52" s="153">
        <f t="shared" si="25"/>
        <v>3.816</v>
      </c>
      <c r="M52" s="153">
        <f t="shared" si="26"/>
        <v>46.216</v>
      </c>
      <c r="N52" s="164">
        <f t="shared" si="22"/>
        <v>46.216</v>
      </c>
      <c r="O52" s="69"/>
    </row>
    <row r="53" ht="48" outlineLevel="1" spans="1:15">
      <c r="A53" s="161">
        <v>9</v>
      </c>
      <c r="B53" s="162" t="s">
        <v>228</v>
      </c>
      <c r="C53" s="163" t="s">
        <v>229</v>
      </c>
      <c r="D53" s="162" t="s">
        <v>99</v>
      </c>
      <c r="E53" s="165">
        <v>1</v>
      </c>
      <c r="F53" s="153">
        <v>8</v>
      </c>
      <c r="G53" s="153">
        <f t="shared" si="23"/>
        <v>20</v>
      </c>
      <c r="H53" s="153">
        <v>20</v>
      </c>
      <c r="I53" s="178">
        <v>0</v>
      </c>
      <c r="J53" s="153">
        <v>2</v>
      </c>
      <c r="K53" s="153">
        <f t="shared" si="24"/>
        <v>1.8</v>
      </c>
      <c r="L53" s="153">
        <f t="shared" si="25"/>
        <v>2.862</v>
      </c>
      <c r="M53" s="153">
        <f t="shared" si="26"/>
        <v>34.662</v>
      </c>
      <c r="N53" s="164">
        <f t="shared" si="22"/>
        <v>34.662</v>
      </c>
      <c r="O53" s="69" t="s">
        <v>227</v>
      </c>
    </row>
    <row r="54" ht="72" outlineLevel="1" spans="1:15">
      <c r="A54" s="161">
        <v>10</v>
      </c>
      <c r="B54" s="170" t="s">
        <v>230</v>
      </c>
      <c r="C54" s="163" t="s">
        <v>231</v>
      </c>
      <c r="D54" s="162" t="s">
        <v>99</v>
      </c>
      <c r="E54" s="69">
        <v>1</v>
      </c>
      <c r="F54" s="153">
        <v>10</v>
      </c>
      <c r="G54" s="153">
        <f t="shared" si="23"/>
        <v>13</v>
      </c>
      <c r="H54" s="153">
        <v>13</v>
      </c>
      <c r="I54" s="178">
        <v>0</v>
      </c>
      <c r="J54" s="153">
        <v>2</v>
      </c>
      <c r="K54" s="153">
        <f t="shared" si="24"/>
        <v>1.5</v>
      </c>
      <c r="L54" s="153">
        <f t="shared" si="25"/>
        <v>2.385</v>
      </c>
      <c r="M54" s="153">
        <f t="shared" si="26"/>
        <v>28.885</v>
      </c>
      <c r="N54" s="164">
        <f t="shared" si="22"/>
        <v>28.885</v>
      </c>
      <c r="O54" s="69" t="s">
        <v>227</v>
      </c>
    </row>
    <row r="55" ht="48" outlineLevel="1" spans="1:15">
      <c r="A55" s="161">
        <v>11</v>
      </c>
      <c r="B55" s="170" t="s">
        <v>232</v>
      </c>
      <c r="C55" s="163" t="s">
        <v>233</v>
      </c>
      <c r="D55" s="162" t="s">
        <v>99</v>
      </c>
      <c r="E55" s="164">
        <v>1</v>
      </c>
      <c r="F55" s="153">
        <v>10</v>
      </c>
      <c r="G55" s="153">
        <f t="shared" si="23"/>
        <v>22</v>
      </c>
      <c r="H55" s="153">
        <v>22</v>
      </c>
      <c r="I55" s="178">
        <v>0</v>
      </c>
      <c r="J55" s="153">
        <v>2</v>
      </c>
      <c r="K55" s="153">
        <f t="shared" si="24"/>
        <v>2.04</v>
      </c>
      <c r="L55" s="153">
        <f t="shared" si="25"/>
        <v>3.2436</v>
      </c>
      <c r="M55" s="153">
        <f t="shared" si="26"/>
        <v>39.2836</v>
      </c>
      <c r="N55" s="164">
        <f t="shared" si="22"/>
        <v>39.2836</v>
      </c>
      <c r="O55" s="69" t="s">
        <v>227</v>
      </c>
    </row>
    <row r="56" ht="60" outlineLevel="1" spans="1:15">
      <c r="A56" s="161">
        <v>12</v>
      </c>
      <c r="B56" s="170" t="s">
        <v>234</v>
      </c>
      <c r="C56" s="163" t="s">
        <v>235</v>
      </c>
      <c r="D56" s="164" t="s">
        <v>165</v>
      </c>
      <c r="E56" s="164">
        <v>0</v>
      </c>
      <c r="F56" s="153">
        <v>10</v>
      </c>
      <c r="G56" s="153">
        <f t="shared" si="23"/>
        <v>8.08</v>
      </c>
      <c r="H56" s="153">
        <v>8</v>
      </c>
      <c r="I56" s="178">
        <v>0.01</v>
      </c>
      <c r="J56" s="153">
        <v>2</v>
      </c>
      <c r="K56" s="153">
        <f t="shared" si="24"/>
        <v>1.2048</v>
      </c>
      <c r="L56" s="153">
        <f t="shared" si="25"/>
        <v>1.915632</v>
      </c>
      <c r="M56" s="153">
        <f t="shared" si="26"/>
        <v>23.200432</v>
      </c>
      <c r="N56" s="164">
        <f t="shared" si="22"/>
        <v>0</v>
      </c>
      <c r="O56" s="179"/>
    </row>
    <row r="57" ht="60" outlineLevel="1" spans="1:15">
      <c r="A57" s="161">
        <v>13</v>
      </c>
      <c r="B57" s="170" t="s">
        <v>234</v>
      </c>
      <c r="C57" s="163" t="s">
        <v>236</v>
      </c>
      <c r="D57" s="164" t="s">
        <v>165</v>
      </c>
      <c r="E57" s="164">
        <v>55</v>
      </c>
      <c r="F57" s="153">
        <v>10</v>
      </c>
      <c r="G57" s="153">
        <f t="shared" si="23"/>
        <v>6.06</v>
      </c>
      <c r="H57" s="153">
        <v>6</v>
      </c>
      <c r="I57" s="178">
        <v>0.01</v>
      </c>
      <c r="J57" s="153">
        <v>2</v>
      </c>
      <c r="K57" s="153">
        <f t="shared" si="24"/>
        <v>1.0836</v>
      </c>
      <c r="L57" s="153">
        <f t="shared" si="25"/>
        <v>1.722924</v>
      </c>
      <c r="M57" s="153">
        <f t="shared" si="26"/>
        <v>20.866524</v>
      </c>
      <c r="N57" s="164">
        <f t="shared" si="22"/>
        <v>1147.65882</v>
      </c>
      <c r="O57" s="179"/>
    </row>
    <row r="58" ht="60" outlineLevel="1" spans="1:15">
      <c r="A58" s="161">
        <v>14</v>
      </c>
      <c r="B58" s="170" t="s">
        <v>234</v>
      </c>
      <c r="C58" s="163" t="s">
        <v>237</v>
      </c>
      <c r="D58" s="164" t="s">
        <v>165</v>
      </c>
      <c r="E58" s="164">
        <v>0</v>
      </c>
      <c r="F58" s="153">
        <v>12</v>
      </c>
      <c r="G58" s="153">
        <f t="shared" si="23"/>
        <v>10.1</v>
      </c>
      <c r="H58" s="153">
        <v>10</v>
      </c>
      <c r="I58" s="178">
        <v>0.01</v>
      </c>
      <c r="J58" s="153">
        <v>2</v>
      </c>
      <c r="K58" s="153">
        <f t="shared" si="24"/>
        <v>1.446</v>
      </c>
      <c r="L58" s="153">
        <f t="shared" si="25"/>
        <v>2.29914</v>
      </c>
      <c r="M58" s="153">
        <f t="shared" si="26"/>
        <v>27.84514</v>
      </c>
      <c r="N58" s="164">
        <f t="shared" si="22"/>
        <v>0</v>
      </c>
      <c r="O58" s="179"/>
    </row>
    <row r="59" ht="48" outlineLevel="1" spans="1:15">
      <c r="A59" s="161">
        <v>15</v>
      </c>
      <c r="B59" s="170" t="s">
        <v>238</v>
      </c>
      <c r="C59" s="163" t="s">
        <v>239</v>
      </c>
      <c r="D59" s="164" t="s">
        <v>165</v>
      </c>
      <c r="E59" s="164">
        <v>14.08</v>
      </c>
      <c r="F59" s="153">
        <v>1.5</v>
      </c>
      <c r="G59" s="153">
        <f t="shared" si="23"/>
        <v>2</v>
      </c>
      <c r="H59" s="153">
        <v>2</v>
      </c>
      <c r="I59" s="178">
        <v>0</v>
      </c>
      <c r="J59" s="153">
        <v>1</v>
      </c>
      <c r="K59" s="153">
        <f t="shared" si="24"/>
        <v>0.27</v>
      </c>
      <c r="L59" s="153">
        <f t="shared" si="25"/>
        <v>0.4293</v>
      </c>
      <c r="M59" s="153">
        <f t="shared" si="26"/>
        <v>5.1993</v>
      </c>
      <c r="N59" s="164">
        <f t="shared" si="22"/>
        <v>73.206144</v>
      </c>
      <c r="O59" s="164"/>
    </row>
    <row r="60" ht="48" outlineLevel="1" spans="1:15">
      <c r="A60" s="161">
        <v>16</v>
      </c>
      <c r="B60" s="170" t="s">
        <v>240</v>
      </c>
      <c r="C60" s="163" t="s">
        <v>241</v>
      </c>
      <c r="D60" s="164" t="s">
        <v>165</v>
      </c>
      <c r="E60" s="164">
        <v>42.11</v>
      </c>
      <c r="F60" s="153">
        <v>1</v>
      </c>
      <c r="G60" s="153">
        <f t="shared" ref="G60:G68" si="27">H60*(1+I60)</f>
        <v>3</v>
      </c>
      <c r="H60" s="153">
        <v>3</v>
      </c>
      <c r="I60" s="178">
        <v>0</v>
      </c>
      <c r="J60" s="153">
        <v>0.1</v>
      </c>
      <c r="K60" s="153">
        <f t="shared" ref="K60:K68" si="28">(F60+G60+J60)*0.06</f>
        <v>0.246</v>
      </c>
      <c r="L60" s="153">
        <f t="shared" ref="L60:L68" si="29">(F60+G60+J60+K60)*0.09</f>
        <v>0.39114</v>
      </c>
      <c r="M60" s="153">
        <f t="shared" ref="M60:M68" si="30">F60+G60+J60+K60+L60</f>
        <v>4.73714</v>
      </c>
      <c r="N60" s="164">
        <f t="shared" si="22"/>
        <v>199.4809654</v>
      </c>
      <c r="O60" s="164"/>
    </row>
    <row r="61" ht="48" outlineLevel="1" spans="1:15">
      <c r="A61" s="161">
        <v>17</v>
      </c>
      <c r="B61" s="170" t="s">
        <v>240</v>
      </c>
      <c r="C61" s="163" t="s">
        <v>243</v>
      </c>
      <c r="D61" s="164" t="s">
        <v>165</v>
      </c>
      <c r="E61" s="164">
        <v>109.23</v>
      </c>
      <c r="F61" s="153">
        <v>1</v>
      </c>
      <c r="G61" s="153">
        <f t="shared" si="27"/>
        <v>2.1</v>
      </c>
      <c r="H61" s="153">
        <v>2.1</v>
      </c>
      <c r="I61" s="178">
        <v>0</v>
      </c>
      <c r="J61" s="153">
        <v>0.1</v>
      </c>
      <c r="K61" s="153">
        <f t="shared" si="28"/>
        <v>0.192</v>
      </c>
      <c r="L61" s="153">
        <f t="shared" si="29"/>
        <v>0.30528</v>
      </c>
      <c r="M61" s="153">
        <f t="shared" si="30"/>
        <v>3.69728</v>
      </c>
      <c r="N61" s="164">
        <f t="shared" si="22"/>
        <v>403.8538944</v>
      </c>
      <c r="O61" s="164"/>
    </row>
    <row r="62" spans="1:15">
      <c r="A62" s="161">
        <v>18</v>
      </c>
      <c r="B62" s="171" t="s">
        <v>187</v>
      </c>
      <c r="C62" s="171"/>
      <c r="D62" s="172" t="s">
        <v>188</v>
      </c>
      <c r="E62" s="171"/>
      <c r="F62" s="173"/>
      <c r="G62" s="173"/>
      <c r="H62" s="173"/>
      <c r="I62" s="173"/>
      <c r="J62" s="171"/>
      <c r="K62" s="171"/>
      <c r="L62" s="171"/>
      <c r="M62" s="171"/>
      <c r="N62" s="172">
        <f>SUM(N45:N61)</f>
        <v>7715.8155038</v>
      </c>
      <c r="O62" s="171"/>
    </row>
    <row r="63" ht="45" spans="1:15">
      <c r="A63" s="161" t="s">
        <v>76</v>
      </c>
      <c r="B63" s="158" t="s">
        <v>106</v>
      </c>
      <c r="C63" s="158" t="s">
        <v>142</v>
      </c>
      <c r="D63" s="164" t="s">
        <v>108</v>
      </c>
      <c r="E63" s="164"/>
      <c r="F63" s="164"/>
      <c r="G63" s="164"/>
      <c r="H63" s="164"/>
      <c r="I63" s="164"/>
      <c r="J63" s="164"/>
      <c r="K63" s="180"/>
      <c r="L63" s="180"/>
      <c r="M63" s="164"/>
      <c r="N63" s="164"/>
      <c r="O63" s="164"/>
    </row>
    <row r="64" ht="60" outlineLevel="1" spans="1:15">
      <c r="A64" s="161">
        <v>1</v>
      </c>
      <c r="B64" s="162" t="s">
        <v>210</v>
      </c>
      <c r="C64" s="163" t="s">
        <v>211</v>
      </c>
      <c r="D64" s="162" t="s">
        <v>99</v>
      </c>
      <c r="E64" s="164">
        <v>2</v>
      </c>
      <c r="F64" s="153">
        <v>15</v>
      </c>
      <c r="G64" s="153">
        <f t="shared" si="27"/>
        <v>85</v>
      </c>
      <c r="H64" s="153">
        <v>85</v>
      </c>
      <c r="I64" s="178">
        <v>0</v>
      </c>
      <c r="J64" s="153">
        <v>2</v>
      </c>
      <c r="K64" s="153">
        <f t="shared" si="28"/>
        <v>6.12</v>
      </c>
      <c r="L64" s="153">
        <f t="shared" si="29"/>
        <v>9.7308</v>
      </c>
      <c r="M64" s="153">
        <f t="shared" si="30"/>
        <v>117.8508</v>
      </c>
      <c r="N64" s="164">
        <f>M64*E64</f>
        <v>235.7016</v>
      </c>
      <c r="O64" s="164" t="s">
        <v>212</v>
      </c>
    </row>
    <row r="65" ht="48" outlineLevel="1" spans="1:15">
      <c r="A65" s="161">
        <v>2</v>
      </c>
      <c r="B65" s="162" t="s">
        <v>213</v>
      </c>
      <c r="C65" s="163" t="s">
        <v>214</v>
      </c>
      <c r="D65" s="162" t="s">
        <v>99</v>
      </c>
      <c r="E65" s="164">
        <v>9</v>
      </c>
      <c r="F65" s="153">
        <v>15</v>
      </c>
      <c r="G65" s="153">
        <f t="shared" si="27"/>
        <v>35</v>
      </c>
      <c r="H65" s="153">
        <v>35</v>
      </c>
      <c r="I65" s="178">
        <v>0</v>
      </c>
      <c r="J65" s="153">
        <v>2</v>
      </c>
      <c r="K65" s="153">
        <f t="shared" si="28"/>
        <v>3.12</v>
      </c>
      <c r="L65" s="153">
        <f t="shared" si="29"/>
        <v>4.9608</v>
      </c>
      <c r="M65" s="153">
        <f t="shared" si="30"/>
        <v>60.0808</v>
      </c>
      <c r="N65" s="164">
        <f t="shared" ref="N65:N80" si="31">M65*E65</f>
        <v>540.7272</v>
      </c>
      <c r="O65" s="164" t="s">
        <v>212</v>
      </c>
    </row>
    <row r="66" ht="48" outlineLevel="1" spans="1:15">
      <c r="A66" s="161">
        <v>3</v>
      </c>
      <c r="B66" s="162" t="s">
        <v>215</v>
      </c>
      <c r="C66" s="163" t="s">
        <v>216</v>
      </c>
      <c r="D66" s="162" t="s">
        <v>99</v>
      </c>
      <c r="E66" s="165">
        <v>2</v>
      </c>
      <c r="F66" s="153">
        <v>15</v>
      </c>
      <c r="G66" s="153">
        <f t="shared" si="27"/>
        <v>35</v>
      </c>
      <c r="H66" s="153">
        <v>35</v>
      </c>
      <c r="I66" s="178">
        <v>0</v>
      </c>
      <c r="J66" s="153">
        <v>2</v>
      </c>
      <c r="K66" s="153">
        <f t="shared" si="28"/>
        <v>3.12</v>
      </c>
      <c r="L66" s="153">
        <f t="shared" si="29"/>
        <v>4.9608</v>
      </c>
      <c r="M66" s="153">
        <f t="shared" si="30"/>
        <v>60.0808</v>
      </c>
      <c r="N66" s="164">
        <f t="shared" si="31"/>
        <v>120.1616</v>
      </c>
      <c r="O66" s="164" t="s">
        <v>212</v>
      </c>
    </row>
    <row r="67" ht="48" outlineLevel="1" spans="1:15">
      <c r="A67" s="161">
        <v>4</v>
      </c>
      <c r="B67" s="166" t="s">
        <v>217</v>
      </c>
      <c r="C67" s="163" t="s">
        <v>218</v>
      </c>
      <c r="D67" s="162" t="s">
        <v>99</v>
      </c>
      <c r="E67" s="165">
        <v>1</v>
      </c>
      <c r="F67" s="153">
        <v>200</v>
      </c>
      <c r="G67" s="153">
        <f t="shared" si="27"/>
        <v>2000</v>
      </c>
      <c r="H67" s="153">
        <v>2000</v>
      </c>
      <c r="I67" s="178">
        <v>0</v>
      </c>
      <c r="J67" s="153">
        <v>2</v>
      </c>
      <c r="K67" s="153">
        <f t="shared" si="28"/>
        <v>132.12</v>
      </c>
      <c r="L67" s="153">
        <f t="shared" si="29"/>
        <v>210.0708</v>
      </c>
      <c r="M67" s="153">
        <f t="shared" si="30"/>
        <v>2544.1908</v>
      </c>
      <c r="N67" s="164">
        <f t="shared" si="31"/>
        <v>2544.1908</v>
      </c>
      <c r="O67" s="164"/>
    </row>
    <row r="68" ht="25" customHeight="1" outlineLevel="1" spans="1:15">
      <c r="A68" s="161">
        <v>5</v>
      </c>
      <c r="B68" s="162" t="s">
        <v>219</v>
      </c>
      <c r="C68" s="163"/>
      <c r="D68" s="162" t="s">
        <v>99</v>
      </c>
      <c r="E68" s="165">
        <v>3</v>
      </c>
      <c r="F68" s="153">
        <v>15</v>
      </c>
      <c r="G68" s="153">
        <f t="shared" si="27"/>
        <v>50</v>
      </c>
      <c r="H68" s="153">
        <v>50</v>
      </c>
      <c r="I68" s="178">
        <v>0</v>
      </c>
      <c r="J68" s="153">
        <v>2</v>
      </c>
      <c r="K68" s="153">
        <f t="shared" si="28"/>
        <v>4.02</v>
      </c>
      <c r="L68" s="153">
        <f t="shared" si="29"/>
        <v>6.3918</v>
      </c>
      <c r="M68" s="153">
        <f t="shared" si="30"/>
        <v>77.4118</v>
      </c>
      <c r="N68" s="164">
        <f t="shared" si="31"/>
        <v>232.2354</v>
      </c>
      <c r="O68" s="164"/>
    </row>
    <row r="69" ht="48" outlineLevel="1" spans="1:15">
      <c r="A69" s="161">
        <v>6</v>
      </c>
      <c r="B69" s="167" t="s">
        <v>220</v>
      </c>
      <c r="C69" s="163" t="s">
        <v>221</v>
      </c>
      <c r="D69" s="162" t="s">
        <v>99</v>
      </c>
      <c r="E69" s="165">
        <v>2</v>
      </c>
      <c r="F69" s="153">
        <v>120</v>
      </c>
      <c r="G69" s="153">
        <f t="shared" ref="G69:G80" si="32">H69*(1+I69)</f>
        <v>600</v>
      </c>
      <c r="H69" s="153">
        <v>600</v>
      </c>
      <c r="I69" s="178">
        <v>0</v>
      </c>
      <c r="J69" s="153">
        <v>5</v>
      </c>
      <c r="K69" s="153">
        <f t="shared" ref="K69:K80" si="33">(F69+G69+J69)*0.06</f>
        <v>43.5</v>
      </c>
      <c r="L69" s="153">
        <f t="shared" ref="L69:L80" si="34">(F69+G69+J69+K69)*0.09</f>
        <v>69.165</v>
      </c>
      <c r="M69" s="153">
        <f t="shared" ref="M69:M80" si="35">F69+G69+J69+K69+L69</f>
        <v>837.665</v>
      </c>
      <c r="N69" s="164">
        <f t="shared" si="31"/>
        <v>1675.33</v>
      </c>
      <c r="O69" s="164"/>
    </row>
    <row r="70" ht="48" outlineLevel="1" spans="1:15">
      <c r="A70" s="161">
        <v>7</v>
      </c>
      <c r="B70" s="166" t="s">
        <v>222</v>
      </c>
      <c r="C70" s="163" t="s">
        <v>223</v>
      </c>
      <c r="D70" s="168" t="s">
        <v>165</v>
      </c>
      <c r="E70" s="169">
        <v>14.16</v>
      </c>
      <c r="F70" s="153">
        <v>8</v>
      </c>
      <c r="G70" s="153">
        <f t="shared" si="32"/>
        <v>25</v>
      </c>
      <c r="H70" s="153">
        <v>25</v>
      </c>
      <c r="I70" s="178">
        <v>0</v>
      </c>
      <c r="J70" s="153">
        <v>2</v>
      </c>
      <c r="K70" s="153">
        <f t="shared" si="33"/>
        <v>2.1</v>
      </c>
      <c r="L70" s="153">
        <f t="shared" si="34"/>
        <v>3.339</v>
      </c>
      <c r="M70" s="153">
        <f t="shared" si="35"/>
        <v>40.439</v>
      </c>
      <c r="N70" s="164">
        <f t="shared" si="31"/>
        <v>572.61624</v>
      </c>
      <c r="O70" s="164" t="s">
        <v>224</v>
      </c>
    </row>
    <row r="71" ht="48" outlineLevel="1" spans="1:15">
      <c r="A71" s="161">
        <v>8</v>
      </c>
      <c r="B71" s="162" t="s">
        <v>225</v>
      </c>
      <c r="C71" s="163" t="s">
        <v>226</v>
      </c>
      <c r="D71" s="162" t="s">
        <v>99</v>
      </c>
      <c r="E71" s="165">
        <v>1</v>
      </c>
      <c r="F71" s="153">
        <v>8</v>
      </c>
      <c r="G71" s="153">
        <f t="shared" si="32"/>
        <v>30</v>
      </c>
      <c r="H71" s="153">
        <v>30</v>
      </c>
      <c r="I71" s="178">
        <v>0</v>
      </c>
      <c r="J71" s="153">
        <v>2</v>
      </c>
      <c r="K71" s="153">
        <f t="shared" si="33"/>
        <v>2.4</v>
      </c>
      <c r="L71" s="153">
        <f t="shared" si="34"/>
        <v>3.816</v>
      </c>
      <c r="M71" s="153">
        <f t="shared" si="35"/>
        <v>46.216</v>
      </c>
      <c r="N71" s="164">
        <f t="shared" si="31"/>
        <v>46.216</v>
      </c>
      <c r="O71" s="69"/>
    </row>
    <row r="72" ht="48" outlineLevel="1" spans="1:15">
      <c r="A72" s="161">
        <v>9</v>
      </c>
      <c r="B72" s="162" t="s">
        <v>228</v>
      </c>
      <c r="C72" s="163" t="s">
        <v>229</v>
      </c>
      <c r="D72" s="162" t="s">
        <v>99</v>
      </c>
      <c r="E72" s="165">
        <v>0</v>
      </c>
      <c r="F72" s="153">
        <v>8</v>
      </c>
      <c r="G72" s="153">
        <f t="shared" si="32"/>
        <v>20</v>
      </c>
      <c r="H72" s="153">
        <v>20</v>
      </c>
      <c r="I72" s="178">
        <v>0</v>
      </c>
      <c r="J72" s="153">
        <v>2</v>
      </c>
      <c r="K72" s="153">
        <f t="shared" si="33"/>
        <v>1.8</v>
      </c>
      <c r="L72" s="153">
        <f t="shared" si="34"/>
        <v>2.862</v>
      </c>
      <c r="M72" s="153">
        <f t="shared" si="35"/>
        <v>34.662</v>
      </c>
      <c r="N72" s="164">
        <f t="shared" si="31"/>
        <v>0</v>
      </c>
      <c r="O72" s="69" t="s">
        <v>227</v>
      </c>
    </row>
    <row r="73" ht="72" outlineLevel="1" spans="1:15">
      <c r="A73" s="161">
        <v>10</v>
      </c>
      <c r="B73" s="170" t="s">
        <v>230</v>
      </c>
      <c r="C73" s="163" t="s">
        <v>231</v>
      </c>
      <c r="D73" s="162" t="s">
        <v>99</v>
      </c>
      <c r="E73" s="69">
        <v>1</v>
      </c>
      <c r="F73" s="153">
        <v>10</v>
      </c>
      <c r="G73" s="153">
        <f t="shared" si="32"/>
        <v>13</v>
      </c>
      <c r="H73" s="153">
        <v>13</v>
      </c>
      <c r="I73" s="178">
        <v>0</v>
      </c>
      <c r="J73" s="153">
        <v>2</v>
      </c>
      <c r="K73" s="153">
        <f t="shared" si="33"/>
        <v>1.5</v>
      </c>
      <c r="L73" s="153">
        <f t="shared" si="34"/>
        <v>2.385</v>
      </c>
      <c r="M73" s="153">
        <f t="shared" si="35"/>
        <v>28.885</v>
      </c>
      <c r="N73" s="164">
        <f t="shared" si="31"/>
        <v>28.885</v>
      </c>
      <c r="O73" s="69" t="s">
        <v>227</v>
      </c>
    </row>
    <row r="74" ht="48" outlineLevel="1" spans="1:15">
      <c r="A74" s="161">
        <v>11</v>
      </c>
      <c r="B74" s="170" t="s">
        <v>232</v>
      </c>
      <c r="C74" s="163" t="s">
        <v>233</v>
      </c>
      <c r="D74" s="162" t="s">
        <v>99</v>
      </c>
      <c r="E74" s="164">
        <v>1</v>
      </c>
      <c r="F74" s="153">
        <v>10</v>
      </c>
      <c r="G74" s="153">
        <f t="shared" si="32"/>
        <v>22</v>
      </c>
      <c r="H74" s="153">
        <v>22</v>
      </c>
      <c r="I74" s="178">
        <v>0</v>
      </c>
      <c r="J74" s="153">
        <v>2</v>
      </c>
      <c r="K74" s="153">
        <f t="shared" si="33"/>
        <v>2.04</v>
      </c>
      <c r="L74" s="153">
        <f t="shared" si="34"/>
        <v>3.2436</v>
      </c>
      <c r="M74" s="153">
        <f t="shared" si="35"/>
        <v>39.2836</v>
      </c>
      <c r="N74" s="164">
        <f t="shared" si="31"/>
        <v>39.2836</v>
      </c>
      <c r="O74" s="69" t="s">
        <v>227</v>
      </c>
    </row>
    <row r="75" ht="60" outlineLevel="1" spans="1:15">
      <c r="A75" s="161">
        <v>12</v>
      </c>
      <c r="B75" s="170" t="s">
        <v>234</v>
      </c>
      <c r="C75" s="163" t="s">
        <v>235</v>
      </c>
      <c r="D75" s="164" t="s">
        <v>165</v>
      </c>
      <c r="E75" s="164">
        <v>0</v>
      </c>
      <c r="F75" s="153">
        <v>10</v>
      </c>
      <c r="G75" s="153">
        <f t="shared" si="32"/>
        <v>8.08</v>
      </c>
      <c r="H75" s="153">
        <v>8</v>
      </c>
      <c r="I75" s="178">
        <v>0.01</v>
      </c>
      <c r="J75" s="153">
        <v>2</v>
      </c>
      <c r="K75" s="153">
        <f t="shared" si="33"/>
        <v>1.2048</v>
      </c>
      <c r="L75" s="153">
        <f t="shared" si="34"/>
        <v>1.915632</v>
      </c>
      <c r="M75" s="153">
        <f t="shared" si="35"/>
        <v>23.200432</v>
      </c>
      <c r="N75" s="164">
        <f t="shared" si="31"/>
        <v>0</v>
      </c>
      <c r="O75" s="179"/>
    </row>
    <row r="76" ht="60" outlineLevel="1" spans="1:15">
      <c r="A76" s="161">
        <v>13</v>
      </c>
      <c r="B76" s="170" t="s">
        <v>234</v>
      </c>
      <c r="C76" s="163" t="s">
        <v>236</v>
      </c>
      <c r="D76" s="164" t="s">
        <v>165</v>
      </c>
      <c r="E76" s="164">
        <v>76</v>
      </c>
      <c r="F76" s="153">
        <v>10</v>
      </c>
      <c r="G76" s="153">
        <f t="shared" si="32"/>
        <v>6.06</v>
      </c>
      <c r="H76" s="153">
        <v>6</v>
      </c>
      <c r="I76" s="178">
        <v>0.01</v>
      </c>
      <c r="J76" s="153">
        <v>2</v>
      </c>
      <c r="K76" s="153">
        <f t="shared" si="33"/>
        <v>1.0836</v>
      </c>
      <c r="L76" s="153">
        <f t="shared" si="34"/>
        <v>1.722924</v>
      </c>
      <c r="M76" s="153">
        <f t="shared" si="35"/>
        <v>20.866524</v>
      </c>
      <c r="N76" s="164">
        <f t="shared" si="31"/>
        <v>1585.855824</v>
      </c>
      <c r="O76" s="179"/>
    </row>
    <row r="77" ht="60" outlineLevel="1" spans="1:15">
      <c r="A77" s="161">
        <v>14</v>
      </c>
      <c r="B77" s="170" t="s">
        <v>234</v>
      </c>
      <c r="C77" s="163" t="s">
        <v>237</v>
      </c>
      <c r="D77" s="164" t="s">
        <v>165</v>
      </c>
      <c r="E77" s="164">
        <v>0</v>
      </c>
      <c r="F77" s="153">
        <v>12</v>
      </c>
      <c r="G77" s="153">
        <f t="shared" si="32"/>
        <v>10.1</v>
      </c>
      <c r="H77" s="153">
        <v>10</v>
      </c>
      <c r="I77" s="178">
        <v>0.01</v>
      </c>
      <c r="J77" s="153">
        <v>2</v>
      </c>
      <c r="K77" s="153">
        <f t="shared" si="33"/>
        <v>1.446</v>
      </c>
      <c r="L77" s="153">
        <f t="shared" si="34"/>
        <v>2.29914</v>
      </c>
      <c r="M77" s="153">
        <f t="shared" si="35"/>
        <v>27.84514</v>
      </c>
      <c r="N77" s="164">
        <f t="shared" si="31"/>
        <v>0</v>
      </c>
      <c r="O77" s="179"/>
    </row>
    <row r="78" ht="48" outlineLevel="1" spans="1:15">
      <c r="A78" s="161">
        <v>15</v>
      </c>
      <c r="B78" s="170" t="s">
        <v>238</v>
      </c>
      <c r="C78" s="163" t="s">
        <v>239</v>
      </c>
      <c r="D78" s="164" t="s">
        <v>165</v>
      </c>
      <c r="E78" s="164">
        <v>7.41</v>
      </c>
      <c r="F78" s="153">
        <v>1.5</v>
      </c>
      <c r="G78" s="153">
        <f t="shared" si="32"/>
        <v>2</v>
      </c>
      <c r="H78" s="153">
        <v>2</v>
      </c>
      <c r="I78" s="178">
        <v>0</v>
      </c>
      <c r="J78" s="153">
        <v>1</v>
      </c>
      <c r="K78" s="153">
        <f t="shared" si="33"/>
        <v>0.27</v>
      </c>
      <c r="L78" s="153">
        <f t="shared" si="34"/>
        <v>0.4293</v>
      </c>
      <c r="M78" s="153">
        <f t="shared" si="35"/>
        <v>5.1993</v>
      </c>
      <c r="N78" s="164">
        <f t="shared" si="31"/>
        <v>38.526813</v>
      </c>
      <c r="O78" s="164"/>
    </row>
    <row r="79" ht="48" outlineLevel="1" spans="1:15">
      <c r="A79" s="161">
        <v>16</v>
      </c>
      <c r="B79" s="170" t="s">
        <v>240</v>
      </c>
      <c r="C79" s="163" t="s">
        <v>241</v>
      </c>
      <c r="D79" s="164" t="s">
        <v>165</v>
      </c>
      <c r="E79" s="164">
        <v>21.3</v>
      </c>
      <c r="F79" s="153">
        <v>1</v>
      </c>
      <c r="G79" s="153">
        <f t="shared" si="32"/>
        <v>3</v>
      </c>
      <c r="H79" s="153">
        <v>3</v>
      </c>
      <c r="I79" s="178">
        <v>0</v>
      </c>
      <c r="J79" s="153">
        <v>0.1</v>
      </c>
      <c r="K79" s="153">
        <f t="shared" si="33"/>
        <v>0.246</v>
      </c>
      <c r="L79" s="153">
        <f t="shared" si="34"/>
        <v>0.39114</v>
      </c>
      <c r="M79" s="153">
        <f t="shared" si="35"/>
        <v>4.73714</v>
      </c>
      <c r="N79" s="164">
        <f t="shared" si="31"/>
        <v>100.901082</v>
      </c>
      <c r="O79" s="164"/>
    </row>
    <row r="80" ht="48" outlineLevel="1" spans="1:15">
      <c r="A80" s="161">
        <v>17</v>
      </c>
      <c r="B80" s="170" t="s">
        <v>240</v>
      </c>
      <c r="C80" s="163" t="s">
        <v>243</v>
      </c>
      <c r="D80" s="164" t="s">
        <v>165</v>
      </c>
      <c r="E80" s="164">
        <v>123.82</v>
      </c>
      <c r="F80" s="153">
        <v>1</v>
      </c>
      <c r="G80" s="153">
        <f t="shared" si="32"/>
        <v>2.1</v>
      </c>
      <c r="H80" s="153">
        <v>2.1</v>
      </c>
      <c r="I80" s="178">
        <v>0</v>
      </c>
      <c r="J80" s="153">
        <v>0.1</v>
      </c>
      <c r="K80" s="153">
        <f t="shared" si="33"/>
        <v>0.192</v>
      </c>
      <c r="L80" s="153">
        <f t="shared" si="34"/>
        <v>0.30528</v>
      </c>
      <c r="M80" s="153">
        <f t="shared" si="35"/>
        <v>3.69728</v>
      </c>
      <c r="N80" s="164">
        <f t="shared" si="31"/>
        <v>457.7972096</v>
      </c>
      <c r="O80" s="164"/>
    </row>
    <row r="81" ht="19" customHeight="1" spans="1:15">
      <c r="A81" s="161">
        <v>18</v>
      </c>
      <c r="B81" s="171" t="s">
        <v>187</v>
      </c>
      <c r="C81" s="171"/>
      <c r="D81" s="172" t="s">
        <v>188</v>
      </c>
      <c r="E81" s="171"/>
      <c r="F81" s="173"/>
      <c r="G81" s="173"/>
      <c r="H81" s="173"/>
      <c r="I81" s="173"/>
      <c r="J81" s="171"/>
      <c r="K81" s="171"/>
      <c r="L81" s="171"/>
      <c r="M81" s="171"/>
      <c r="N81" s="172">
        <f>SUM(N64:N80)</f>
        <v>8218.4283686</v>
      </c>
      <c r="O81" s="171"/>
    </row>
  </sheetData>
  <autoFilter xmlns:etc="http://www.wps.cn/officeDocument/2017/etCustomData" ref="A3:O81" etc:filterBottomFollowUsedRange="0">
    <extLst/>
  </autoFilter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conditionalFormatting sqref="D6">
    <cfRule type="cellIs" dxfId="0" priority="40" operator="equal">
      <formula>0</formula>
    </cfRule>
  </conditionalFormatting>
  <conditionalFormatting sqref="D7">
    <cfRule type="cellIs" dxfId="0" priority="39" operator="equal">
      <formula>0</formula>
    </cfRule>
  </conditionalFormatting>
  <conditionalFormatting sqref="D8">
    <cfRule type="cellIs" dxfId="0" priority="38" operator="equal">
      <formula>0</formula>
    </cfRule>
  </conditionalFormatting>
  <conditionalFormatting sqref="D9">
    <cfRule type="cellIs" dxfId="0" priority="37" operator="equal">
      <formula>0</formula>
    </cfRule>
  </conditionalFormatting>
  <conditionalFormatting sqref="D10">
    <cfRule type="cellIs" dxfId="0" priority="35" operator="equal">
      <formula>0</formula>
    </cfRule>
  </conditionalFormatting>
  <conditionalFormatting sqref="D11">
    <cfRule type="cellIs" dxfId="0" priority="14" operator="equal">
      <formula>0</formula>
    </cfRule>
  </conditionalFormatting>
  <conditionalFormatting sqref="D12">
    <cfRule type="cellIs" dxfId="0" priority="36" operator="equal">
      <formula>0</formula>
    </cfRule>
  </conditionalFormatting>
  <conditionalFormatting sqref="D13">
    <cfRule type="cellIs" dxfId="0" priority="15" operator="equal">
      <formula>0</formula>
    </cfRule>
  </conditionalFormatting>
  <conditionalFormatting sqref="D14">
    <cfRule type="cellIs" dxfId="0" priority="10" operator="equal">
      <formula>0</formula>
    </cfRule>
  </conditionalFormatting>
  <conditionalFormatting sqref="D25">
    <cfRule type="cellIs" dxfId="0" priority="34" operator="equal">
      <formula>0</formula>
    </cfRule>
  </conditionalFormatting>
  <conditionalFormatting sqref="D26">
    <cfRule type="cellIs" dxfId="0" priority="33" operator="equal">
      <formula>0</formula>
    </cfRule>
  </conditionalFormatting>
  <conditionalFormatting sqref="D27">
    <cfRule type="cellIs" dxfId="0" priority="32" operator="equal">
      <formula>0</formula>
    </cfRule>
  </conditionalFormatting>
  <conditionalFormatting sqref="D28">
    <cfRule type="cellIs" dxfId="0" priority="31" operator="equal">
      <formula>0</formula>
    </cfRule>
  </conditionalFormatting>
  <conditionalFormatting sqref="D29">
    <cfRule type="cellIs" dxfId="0" priority="28" operator="equal">
      <formula>0</formula>
    </cfRule>
  </conditionalFormatting>
  <conditionalFormatting sqref="D30">
    <cfRule type="cellIs" dxfId="0" priority="13" operator="equal">
      <formula>0</formula>
    </cfRule>
  </conditionalFormatting>
  <conditionalFormatting sqref="D31">
    <cfRule type="cellIs" dxfId="0" priority="12" operator="equal">
      <formula>0</formula>
    </cfRule>
  </conditionalFormatting>
  <conditionalFormatting sqref="D32">
    <cfRule type="cellIs" dxfId="0" priority="30" operator="equal">
      <formula>0</formula>
    </cfRule>
  </conditionalFormatting>
  <conditionalFormatting sqref="D33">
    <cfRule type="cellIs" dxfId="0" priority="11" operator="equal">
      <formula>0</formula>
    </cfRule>
  </conditionalFormatting>
  <conditionalFormatting sqref="D34">
    <cfRule type="cellIs" dxfId="0" priority="9" operator="equal">
      <formula>0</formula>
    </cfRule>
  </conditionalFormatting>
  <conditionalFormatting sqref="D45">
    <cfRule type="cellIs" dxfId="0" priority="21" operator="equal">
      <formula>0</formula>
    </cfRule>
  </conditionalFormatting>
  <conditionalFormatting sqref="D46">
    <cfRule type="cellIs" dxfId="0" priority="20" operator="equal">
      <formula>0</formula>
    </cfRule>
  </conditionalFormatting>
  <conditionalFormatting sqref="D47">
    <cfRule type="cellIs" dxfId="0" priority="19" operator="equal">
      <formula>0</formula>
    </cfRule>
  </conditionalFormatting>
  <conditionalFormatting sqref="D48">
    <cfRule type="cellIs" dxfId="0" priority="18" operator="equal">
      <formula>0</formula>
    </cfRule>
  </conditionalFormatting>
  <conditionalFormatting sqref="D49">
    <cfRule type="cellIs" dxfId="0" priority="8" operator="equal">
      <formula>0</formula>
    </cfRule>
  </conditionalFormatting>
  <conditionalFormatting sqref="D50">
    <cfRule type="cellIs" dxfId="0" priority="7" operator="equal">
      <formula>0</formula>
    </cfRule>
  </conditionalFormatting>
  <conditionalFormatting sqref="D51">
    <cfRule type="cellIs" dxfId="0" priority="17" operator="equal">
      <formula>0</formula>
    </cfRule>
  </conditionalFormatting>
  <conditionalFormatting sqref="D52">
    <cfRule type="cellIs" dxfId="0" priority="6" operator="equal">
      <formula>0</formula>
    </cfRule>
  </conditionalFormatting>
  <conditionalFormatting sqref="D53">
    <cfRule type="cellIs" dxfId="0" priority="5" operator="equal">
      <formula>0</formula>
    </cfRule>
  </conditionalFormatting>
  <conditionalFormatting sqref="D64">
    <cfRule type="cellIs" dxfId="0" priority="27" operator="equal">
      <formula>0</formula>
    </cfRule>
  </conditionalFormatting>
  <conditionalFormatting sqref="D65">
    <cfRule type="cellIs" dxfId="0" priority="26" operator="equal">
      <formula>0</formula>
    </cfRule>
  </conditionalFormatting>
  <conditionalFormatting sqref="D66">
    <cfRule type="cellIs" dxfId="0" priority="25" operator="equal">
      <formula>0</formula>
    </cfRule>
  </conditionalFormatting>
  <conditionalFormatting sqref="D67">
    <cfRule type="cellIs" dxfId="0" priority="24" operator="equal">
      <formula>0</formula>
    </cfRule>
  </conditionalFormatting>
  <conditionalFormatting sqref="D68">
    <cfRule type="cellIs" dxfId="0" priority="4" operator="equal">
      <formula>0</formula>
    </cfRule>
  </conditionalFormatting>
  <conditionalFormatting sqref="D69">
    <cfRule type="cellIs" dxfId="0" priority="3" operator="equal">
      <formula>0</formula>
    </cfRule>
  </conditionalFormatting>
  <conditionalFormatting sqref="D70">
    <cfRule type="cellIs" dxfId="0" priority="23" operator="equal">
      <formula>0</formula>
    </cfRule>
  </conditionalFormatting>
  <conditionalFormatting sqref="D71">
    <cfRule type="cellIs" dxfId="0" priority="2" operator="equal">
      <formula>0</formula>
    </cfRule>
  </conditionalFormatting>
  <conditionalFormatting sqref="D72">
    <cfRule type="cellIs" dxfId="0" priority="1" operator="equal">
      <formula>0</formula>
    </cfRule>
  </conditionalFormatting>
  <pageMargins left="0.25" right="0.25" top="0.75" bottom="0.75" header="0.298611111111111" footer="0.298611111111111"/>
  <pageSetup paperSize="9" scale="6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view="pageBreakPreview" zoomScaleNormal="100" topLeftCell="A10" workbookViewId="0">
      <selection activeCell="A18" sqref="$A18:$XFD18"/>
    </sheetView>
  </sheetViews>
  <sheetFormatPr defaultColWidth="9" defaultRowHeight="12.75"/>
  <cols>
    <col min="1" max="1" width="5" style="129" customWidth="1"/>
    <col min="2" max="2" width="12.8571428571429" style="129" customWidth="1"/>
    <col min="3" max="3" width="30.5714285714286" style="129" customWidth="1"/>
    <col min="4" max="4" width="5.28571428571429" style="129" customWidth="1"/>
    <col min="5" max="6" width="7.42857142857143" style="129" customWidth="1"/>
    <col min="7" max="7" width="8.14285714285714" style="129" customWidth="1"/>
    <col min="8" max="8" width="8.42857142857143" style="129" customWidth="1"/>
    <col min="9" max="9" width="7.14285714285714" style="129" customWidth="1"/>
    <col min="10" max="10" width="7.57142857142857" style="129" customWidth="1"/>
    <col min="11" max="12" width="7.42857142857143" style="129" customWidth="1"/>
    <col min="13" max="13" width="8.28571428571429" style="129" customWidth="1"/>
    <col min="14" max="14" width="10" style="129" customWidth="1"/>
    <col min="15" max="15" width="9.71428571428571" style="129" customWidth="1"/>
    <col min="16" max="16" width="10.5714285714286" style="129"/>
    <col min="17" max="16384" width="9" style="129"/>
  </cols>
  <sheetData>
    <row r="1" ht="22.5" spans="1:15">
      <c r="A1" s="130" t="s">
        <v>246</v>
      </c>
      <c r="B1" s="131"/>
      <c r="C1" s="130"/>
      <c r="D1" s="130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0"/>
    </row>
    <row r="2" spans="1:15">
      <c r="A2" s="120" t="s">
        <v>1</v>
      </c>
      <c r="B2" s="120" t="s">
        <v>124</v>
      </c>
      <c r="C2" s="120" t="s">
        <v>125</v>
      </c>
      <c r="D2" s="120" t="s">
        <v>93</v>
      </c>
      <c r="E2" s="122" t="s">
        <v>126</v>
      </c>
      <c r="F2" s="123" t="s">
        <v>209</v>
      </c>
      <c r="G2" s="123"/>
      <c r="H2" s="123"/>
      <c r="I2" s="123"/>
      <c r="J2" s="123"/>
      <c r="K2" s="123"/>
      <c r="L2" s="123"/>
      <c r="M2" s="123" t="s">
        <v>247</v>
      </c>
      <c r="N2" s="123" t="s">
        <v>129</v>
      </c>
      <c r="O2" s="108" t="s">
        <v>130</v>
      </c>
    </row>
    <row r="3" ht="45" spans="1:15">
      <c r="A3" s="120"/>
      <c r="B3" s="120"/>
      <c r="C3" s="120"/>
      <c r="D3" s="120"/>
      <c r="E3" s="122"/>
      <c r="F3" s="123" t="s">
        <v>131</v>
      </c>
      <c r="G3" s="112" t="s">
        <v>248</v>
      </c>
      <c r="H3" s="112" t="s">
        <v>249</v>
      </c>
      <c r="I3" s="112" t="s">
        <v>250</v>
      </c>
      <c r="J3" s="123" t="s">
        <v>135</v>
      </c>
      <c r="K3" s="123" t="s">
        <v>136</v>
      </c>
      <c r="L3" s="123" t="s">
        <v>137</v>
      </c>
      <c r="M3" s="123"/>
      <c r="N3" s="123"/>
      <c r="O3" s="108"/>
    </row>
    <row r="4" ht="29" customHeight="1" spans="1:15">
      <c r="A4" s="120"/>
      <c r="B4" s="120"/>
      <c r="C4" s="120"/>
      <c r="D4" s="120"/>
      <c r="E4" s="122"/>
      <c r="F4" s="123"/>
      <c r="G4" s="133" t="s">
        <v>138</v>
      </c>
      <c r="H4" s="112" t="s">
        <v>139</v>
      </c>
      <c r="I4" s="112" t="s">
        <v>140</v>
      </c>
      <c r="J4" s="123"/>
      <c r="K4" s="123"/>
      <c r="L4" s="123"/>
      <c r="M4" s="123"/>
      <c r="N4" s="123"/>
      <c r="O4" s="108"/>
    </row>
    <row r="5" ht="20" customHeight="1" spans="1:15">
      <c r="A5" s="120" t="s">
        <v>62</v>
      </c>
      <c r="B5" s="134" t="s">
        <v>251</v>
      </c>
      <c r="C5" s="135"/>
      <c r="D5" s="120"/>
      <c r="E5" s="122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ht="88" customHeight="1" outlineLevel="1" spans="1:15">
      <c r="A6" s="120">
        <v>1</v>
      </c>
      <c r="B6" s="120" t="s">
        <v>144</v>
      </c>
      <c r="C6" s="136" t="s">
        <v>145</v>
      </c>
      <c r="D6" s="120" t="s">
        <v>118</v>
      </c>
      <c r="E6" s="137">
        <v>2542.87</v>
      </c>
      <c r="F6" s="108">
        <v>55</v>
      </c>
      <c r="G6" s="108">
        <f t="shared" ref="G6:G11" si="0">H6*(1+I6)</f>
        <v>63.24</v>
      </c>
      <c r="H6" s="108">
        <v>62</v>
      </c>
      <c r="I6" s="128">
        <v>0.02</v>
      </c>
      <c r="J6" s="108">
        <v>25</v>
      </c>
      <c r="K6" s="108">
        <f t="shared" ref="K6:K11" si="1">(F6+G6+J6)*0.06</f>
        <v>8.5944</v>
      </c>
      <c r="L6" s="108">
        <f t="shared" ref="L6:L11" si="2">(F6+G6+J6+K6)*0.09</f>
        <v>13.665096</v>
      </c>
      <c r="M6" s="108">
        <f t="shared" ref="M6:M11" si="3">F6+G6+J6+K6+L6</f>
        <v>165.499496</v>
      </c>
      <c r="N6" s="123">
        <f>M6*E6</f>
        <v>420843.70339352</v>
      </c>
      <c r="O6" s="108" t="s">
        <v>252</v>
      </c>
    </row>
    <row r="7" ht="87" customHeight="1" outlineLevel="1" spans="1:15">
      <c r="A7" s="120">
        <v>2</v>
      </c>
      <c r="B7" s="120" t="s">
        <v>148</v>
      </c>
      <c r="C7" s="136" t="s">
        <v>149</v>
      </c>
      <c r="D7" s="120" t="s">
        <v>118</v>
      </c>
      <c r="E7" s="122"/>
      <c r="F7" s="108">
        <v>70</v>
      </c>
      <c r="G7" s="108">
        <f t="shared" si="0"/>
        <v>63.24</v>
      </c>
      <c r="H7" s="108">
        <v>62</v>
      </c>
      <c r="I7" s="128">
        <v>0.02</v>
      </c>
      <c r="J7" s="108">
        <v>25</v>
      </c>
      <c r="K7" s="108">
        <f t="shared" si="1"/>
        <v>9.4944</v>
      </c>
      <c r="L7" s="108">
        <f t="shared" si="2"/>
        <v>15.096096</v>
      </c>
      <c r="M7" s="108">
        <f t="shared" si="3"/>
        <v>182.830496</v>
      </c>
      <c r="N7" s="123">
        <f t="shared" ref="N7:N16" si="4">M7*E7</f>
        <v>0</v>
      </c>
      <c r="O7" s="108" t="s">
        <v>252</v>
      </c>
    </row>
    <row r="8" ht="20" customHeight="1" spans="1:15">
      <c r="A8" s="120" t="s">
        <v>69</v>
      </c>
      <c r="B8" s="134" t="s">
        <v>253</v>
      </c>
      <c r="C8" s="135"/>
      <c r="D8" s="120"/>
      <c r="E8" s="122"/>
      <c r="F8" s="123"/>
      <c r="G8" s="123"/>
      <c r="H8" s="123"/>
      <c r="I8" s="123"/>
      <c r="J8" s="123"/>
      <c r="K8" s="123"/>
      <c r="L8" s="123"/>
      <c r="M8" s="123"/>
      <c r="N8" s="123">
        <f t="shared" si="4"/>
        <v>0</v>
      </c>
      <c r="O8" s="123"/>
    </row>
    <row r="9" ht="128" customHeight="1" outlineLevel="1" spans="1:15">
      <c r="A9" s="120">
        <v>1</v>
      </c>
      <c r="B9" s="120" t="s">
        <v>254</v>
      </c>
      <c r="C9" s="136" t="s">
        <v>145</v>
      </c>
      <c r="D9" s="120" t="s">
        <v>118</v>
      </c>
      <c r="E9" s="129">
        <f>[3]标准层及地下!$J$4+[3]标准层及地下!$J$13+[3]标准层及地下!$J$14+[3]标准层及地下!$J$24+[3]标准层及地下!$J$25+[3]标准层及地下!$J$35+[3]标准层及地下!$J$44+[3]标准层及地下!$J$53+[3]标准层及地下!$J$62+[3]标准层及地下!$J$71+[3]标准层及地下!$J$80+[3]标准层及地下!$J$89+[3]标准层及地下!$J$100+[3]标准层及地下!$J$110+[3]标准层及地下!$J$120+[3]标准层及地下!$J$130+[3]标准层及地下!$J$146+[3]标准层及地下!$J$156+[3]标准层及地下!$J$165+[3]标准层及地下!$J$174+[3]标准层及地下!$J$183+[3]标准层及地下!$J$184+[3]标准层及地下!$J$192+[3]标准层及地下!$J$203+[3]标准层及地下!$J$212+[3]标准层及地下!$J$213+[3]标准层及地下!$J$223</f>
        <v>793.468</v>
      </c>
      <c r="F9" s="108">
        <v>55</v>
      </c>
      <c r="G9" s="108">
        <f t="shared" si="0"/>
        <v>66.3</v>
      </c>
      <c r="H9" s="108">
        <v>65</v>
      </c>
      <c r="I9" s="128">
        <v>0.02</v>
      </c>
      <c r="J9" s="108">
        <v>25</v>
      </c>
      <c r="K9" s="108">
        <f t="shared" si="1"/>
        <v>8.778</v>
      </c>
      <c r="L9" s="108">
        <f t="shared" si="2"/>
        <v>13.95702</v>
      </c>
      <c r="M9" s="108">
        <f t="shared" si="3"/>
        <v>169.03502</v>
      </c>
      <c r="N9" s="123">
        <f t="shared" si="4"/>
        <v>134123.87924936</v>
      </c>
      <c r="O9" s="108" t="s">
        <v>252</v>
      </c>
    </row>
    <row r="10" ht="117" customHeight="1" outlineLevel="1" spans="1:15">
      <c r="A10" s="120">
        <v>2</v>
      </c>
      <c r="B10" s="120" t="s">
        <v>255</v>
      </c>
      <c r="C10" s="136" t="s">
        <v>256</v>
      </c>
      <c r="D10" s="120" t="s">
        <v>118</v>
      </c>
      <c r="E10" s="129">
        <f>[3]标准层及地下!$J$5+[3]标准层及地下!$J$15+[3]标准层及地下!$J$16+[3]标准层及地下!$J$26+[3]标准层及地下!$J$27+[3]标准层及地下!$J$36+[3]标准层及地下!$J$45+[3]标准层及地下!$J$54+[3]标准层及地下!$J$63+[3]标准层及地下!$J$72+[3]标准层及地下!$J$81+[3]标准层及地下!$J$90+[3]标准层及地下!$J$101+[3]标准层及地下!$J$111+[3]标准层及地下!$J$121+[3]标准层及地下!$J$131+[3]标准层及地下!$J$147+[3]标准层及地下!$J$157+[3]标准层及地下!$J$166+[3]标准层及地下!$J$175+[3]标准层及地下!$J$185+[3]标准层及地下!$J$193+[3]标准层及地下!$J$204+[3]标准层及地下!$J$214+[3]标准层及地下!$J$224</f>
        <v>1010.8048</v>
      </c>
      <c r="F10" s="108">
        <v>65</v>
      </c>
      <c r="G10" s="108">
        <f t="shared" si="0"/>
        <v>86.7</v>
      </c>
      <c r="H10" s="108">
        <v>85</v>
      </c>
      <c r="I10" s="128">
        <v>0.02</v>
      </c>
      <c r="J10" s="108">
        <v>25</v>
      </c>
      <c r="K10" s="108">
        <f t="shared" si="1"/>
        <v>10.602</v>
      </c>
      <c r="L10" s="108">
        <f t="shared" si="2"/>
        <v>16.85718</v>
      </c>
      <c r="M10" s="108">
        <f t="shared" si="3"/>
        <v>204.15918</v>
      </c>
      <c r="N10" s="123">
        <f t="shared" si="4"/>
        <v>206365.079108064</v>
      </c>
      <c r="O10" s="108" t="s">
        <v>252</v>
      </c>
    </row>
    <row r="11" ht="112" customHeight="1" outlineLevel="1" spans="1:15">
      <c r="A11" s="120">
        <v>3</v>
      </c>
      <c r="B11" s="120" t="s">
        <v>257</v>
      </c>
      <c r="C11" s="136" t="s">
        <v>145</v>
      </c>
      <c r="D11" s="120" t="s">
        <v>118</v>
      </c>
      <c r="E11" s="122"/>
      <c r="F11" s="108">
        <v>80</v>
      </c>
      <c r="G11" s="108">
        <f t="shared" si="0"/>
        <v>90.9</v>
      </c>
      <c r="H11" s="108">
        <v>90</v>
      </c>
      <c r="I11" s="128">
        <v>0.01</v>
      </c>
      <c r="J11" s="108">
        <v>25</v>
      </c>
      <c r="K11" s="108">
        <f t="shared" si="1"/>
        <v>11.754</v>
      </c>
      <c r="L11" s="108">
        <f t="shared" si="2"/>
        <v>18.68886</v>
      </c>
      <c r="M11" s="108">
        <f t="shared" si="3"/>
        <v>226.34286</v>
      </c>
      <c r="N11" s="123">
        <f t="shared" si="4"/>
        <v>0</v>
      </c>
      <c r="O11" s="108" t="s">
        <v>252</v>
      </c>
    </row>
    <row r="12" spans="1:15">
      <c r="A12" s="120" t="s">
        <v>72</v>
      </c>
      <c r="B12" s="134" t="s">
        <v>151</v>
      </c>
      <c r="C12" s="135"/>
      <c r="D12" s="120"/>
      <c r="E12" s="122"/>
      <c r="F12" s="123"/>
      <c r="G12" s="123"/>
      <c r="H12" s="123"/>
      <c r="I12" s="123"/>
      <c r="J12" s="123"/>
      <c r="K12" s="123"/>
      <c r="L12" s="123"/>
      <c r="M12" s="123"/>
      <c r="N12" s="123">
        <f t="shared" si="4"/>
        <v>0</v>
      </c>
      <c r="O12" s="123"/>
    </row>
    <row r="13" ht="100" customHeight="1" outlineLevel="1" spans="1:15">
      <c r="A13" s="120">
        <v>1</v>
      </c>
      <c r="B13" s="138" t="s">
        <v>152</v>
      </c>
      <c r="C13" s="139" t="s">
        <v>258</v>
      </c>
      <c r="D13" s="120" t="s">
        <v>118</v>
      </c>
      <c r="E13" s="140">
        <v>5680.2</v>
      </c>
      <c r="F13" s="108">
        <v>55</v>
      </c>
      <c r="G13" s="108">
        <f t="shared" ref="G13:G16" si="5">H13*(1+I13)</f>
        <v>66.3</v>
      </c>
      <c r="H13" s="108">
        <v>65</v>
      </c>
      <c r="I13" s="128">
        <v>0.02</v>
      </c>
      <c r="J13" s="108">
        <v>25</v>
      </c>
      <c r="K13" s="108">
        <f t="shared" ref="K13:K16" si="6">(F13+G13+J13)*0.06</f>
        <v>8.778</v>
      </c>
      <c r="L13" s="108">
        <f t="shared" ref="L13:L16" si="7">(F13+G13+J13+K13)*0.09</f>
        <v>13.95702</v>
      </c>
      <c r="M13" s="108">
        <f t="shared" ref="M13:M16" si="8">F13+G13+J13+K13+L13</f>
        <v>169.03502</v>
      </c>
      <c r="N13" s="123">
        <f t="shared" si="4"/>
        <v>960152.720604</v>
      </c>
      <c r="O13" s="108" t="s">
        <v>252</v>
      </c>
    </row>
    <row r="14" ht="61" customHeight="1" outlineLevel="1" spans="1:15">
      <c r="A14" s="120">
        <v>2</v>
      </c>
      <c r="B14" s="120" t="s">
        <v>160</v>
      </c>
      <c r="C14" s="136" t="s">
        <v>161</v>
      </c>
      <c r="D14" s="120" t="s">
        <v>162</v>
      </c>
      <c r="E14" s="122">
        <v>274</v>
      </c>
      <c r="F14" s="108">
        <v>155</v>
      </c>
      <c r="G14" s="108">
        <f t="shared" si="5"/>
        <v>459</v>
      </c>
      <c r="H14" s="108">
        <v>450</v>
      </c>
      <c r="I14" s="128">
        <v>0.02</v>
      </c>
      <c r="J14" s="108">
        <v>15</v>
      </c>
      <c r="K14" s="108">
        <f t="shared" si="6"/>
        <v>37.74</v>
      </c>
      <c r="L14" s="108">
        <f t="shared" si="7"/>
        <v>60.0066</v>
      </c>
      <c r="M14" s="108">
        <f t="shared" si="8"/>
        <v>726.7466</v>
      </c>
      <c r="N14" s="123">
        <f t="shared" si="4"/>
        <v>199128.5684</v>
      </c>
      <c r="O14" s="123"/>
    </row>
    <row r="15" ht="30.75" customHeight="1" outlineLevel="1" spans="1:15">
      <c r="A15" s="120">
        <v>3</v>
      </c>
      <c r="B15" s="120" t="s">
        <v>259</v>
      </c>
      <c r="C15" s="136" t="s">
        <v>260</v>
      </c>
      <c r="D15" s="120" t="s">
        <v>165</v>
      </c>
      <c r="E15" s="129">
        <f>[3]标准层及地下!$J$11+[3]标准层及地下!$J$22+[3]标准层及地下!$J$33+[3]标准层及地下!$J$42+[3]标准层及地下!$J$51+[3]标准层及地下!$J$59+[3]标准层及地下!$J$69+[3]标准层及地下!$J$78+[3]标准层及地下!$J$87+[3]标准层及地下!$J$96+[3]标准层及地下!$J$153+[3]标准层及地下!$J$163+[3]标准层及地下!$J$172+[3]标准层及地下!$J$190+[3]标准层及地下!$J$229</f>
        <v>3350.276</v>
      </c>
      <c r="F15" s="108">
        <v>6</v>
      </c>
      <c r="G15" s="108">
        <f t="shared" si="5"/>
        <v>6</v>
      </c>
      <c r="H15" s="108">
        <v>6</v>
      </c>
      <c r="I15" s="128">
        <v>0</v>
      </c>
      <c r="J15" s="108">
        <v>2</v>
      </c>
      <c r="K15" s="108">
        <f t="shared" si="6"/>
        <v>0.84</v>
      </c>
      <c r="L15" s="108">
        <f t="shared" si="7"/>
        <v>1.3356</v>
      </c>
      <c r="M15" s="108">
        <f t="shared" si="8"/>
        <v>16.1756</v>
      </c>
      <c r="N15" s="123">
        <f t="shared" si="4"/>
        <v>54192.7244656</v>
      </c>
      <c r="O15" s="123"/>
    </row>
    <row r="16" ht="51" customHeight="1" outlineLevel="1" spans="1:15">
      <c r="A16" s="120">
        <v>4</v>
      </c>
      <c r="B16" s="120" t="s">
        <v>261</v>
      </c>
      <c r="C16" s="136" t="s">
        <v>262</v>
      </c>
      <c r="D16" s="120" t="s">
        <v>165</v>
      </c>
      <c r="E16" s="122"/>
      <c r="F16" s="108">
        <v>5</v>
      </c>
      <c r="G16" s="108">
        <f t="shared" si="5"/>
        <v>10.1</v>
      </c>
      <c r="H16" s="108">
        <v>10</v>
      </c>
      <c r="I16" s="128">
        <v>0.01</v>
      </c>
      <c r="J16" s="108">
        <v>0.1</v>
      </c>
      <c r="K16" s="108">
        <f t="shared" si="6"/>
        <v>0.912</v>
      </c>
      <c r="L16" s="108">
        <f t="shared" si="7"/>
        <v>1.45008</v>
      </c>
      <c r="M16" s="108">
        <f t="shared" si="8"/>
        <v>17.56208</v>
      </c>
      <c r="N16" s="123">
        <f t="shared" si="4"/>
        <v>0</v>
      </c>
      <c r="O16" s="123"/>
    </row>
    <row r="17" spans="1:15">
      <c r="A17" s="120" t="s">
        <v>76</v>
      </c>
      <c r="B17" s="120" t="s">
        <v>187</v>
      </c>
      <c r="C17" s="120"/>
      <c r="D17" s="120" t="s">
        <v>188</v>
      </c>
      <c r="E17" s="122"/>
      <c r="F17" s="123"/>
      <c r="G17" s="123"/>
      <c r="H17" s="123"/>
      <c r="I17" s="123"/>
      <c r="J17" s="123"/>
      <c r="K17" s="123"/>
      <c r="L17" s="123"/>
      <c r="M17" s="123"/>
      <c r="N17" s="123">
        <f>SUM(N6:N16)</f>
        <v>1974806.67522054</v>
      </c>
      <c r="O17" s="123"/>
    </row>
  </sheetData>
  <autoFilter xmlns:etc="http://www.wps.cn/officeDocument/2017/etCustomData" ref="A2:O17" etc:filterBottomFollowUsedRange="0">
    <extLst/>
  </autoFilter>
  <mergeCells count="16">
    <mergeCell ref="A1:O1"/>
    <mergeCell ref="F2:L2"/>
    <mergeCell ref="B5:C5"/>
    <mergeCell ref="B8:C8"/>
    <mergeCell ref="B12:C12"/>
    <mergeCell ref="B17:C17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view="pageBreakPreview" zoomScaleNormal="100" topLeftCell="A40" workbookViewId="0">
      <selection activeCell="I16" sqref="I16"/>
    </sheetView>
  </sheetViews>
  <sheetFormatPr defaultColWidth="10.2857142857143" defaultRowHeight="13.5"/>
  <cols>
    <col min="1" max="1" width="5" style="100" customWidth="1"/>
    <col min="2" max="2" width="11" style="101" customWidth="1"/>
    <col min="3" max="3" width="26.4285714285714" style="101" customWidth="1"/>
    <col min="4" max="4" width="5.57142857142857" style="100" customWidth="1"/>
    <col min="5" max="5" width="7" style="102" customWidth="1"/>
    <col min="6" max="6" width="8.28571428571429" style="102" customWidth="1"/>
    <col min="7" max="7" width="8.85714285714286" style="102" customWidth="1"/>
    <col min="8" max="9" width="8.42857142857143" style="102" customWidth="1"/>
    <col min="10" max="10" width="9.71428571428571" style="102" customWidth="1"/>
    <col min="11" max="11" width="9.57142857142857" style="102" customWidth="1"/>
    <col min="12" max="12" width="8.71428571428571" style="102" customWidth="1"/>
    <col min="13" max="13" width="9" style="102" customWidth="1"/>
    <col min="14" max="14" width="10.7142857142857" style="102" customWidth="1"/>
    <col min="15" max="15" width="11.5714285714286" style="100" customWidth="1"/>
    <col min="16" max="16384" width="10.2857142857143" style="101"/>
  </cols>
  <sheetData>
    <row r="1" ht="35.1" customHeight="1" spans="1:15">
      <c r="A1" s="103" t="s">
        <v>263</v>
      </c>
      <c r="B1" s="104"/>
      <c r="C1" s="103"/>
      <c r="D1" s="103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3"/>
    </row>
    <row r="2" s="98" customFormat="1" ht="33.95" customHeight="1" spans="1:15">
      <c r="A2" s="106" t="s">
        <v>1</v>
      </c>
      <c r="B2" s="106" t="s">
        <v>124</v>
      </c>
      <c r="C2" s="106" t="s">
        <v>125</v>
      </c>
      <c r="D2" s="106" t="s">
        <v>93</v>
      </c>
      <c r="E2" s="107" t="s">
        <v>126</v>
      </c>
      <c r="F2" s="108" t="s">
        <v>127</v>
      </c>
      <c r="G2" s="108"/>
      <c r="H2" s="108"/>
      <c r="I2" s="108"/>
      <c r="J2" s="108"/>
      <c r="K2" s="108"/>
      <c r="L2" s="108"/>
      <c r="M2" s="112" t="s">
        <v>128</v>
      </c>
      <c r="N2" s="112" t="s">
        <v>129</v>
      </c>
      <c r="O2" s="108" t="s">
        <v>130</v>
      </c>
    </row>
    <row r="3" s="98" customFormat="1" ht="33.95" customHeight="1" spans="1:15">
      <c r="A3" s="106"/>
      <c r="B3" s="106"/>
      <c r="C3" s="106"/>
      <c r="D3" s="106"/>
      <c r="E3" s="107"/>
      <c r="F3" s="108" t="s">
        <v>131</v>
      </c>
      <c r="G3" s="108" t="s">
        <v>132</v>
      </c>
      <c r="H3" s="108" t="s">
        <v>133</v>
      </c>
      <c r="I3" s="108" t="s">
        <v>134</v>
      </c>
      <c r="J3" s="108" t="s">
        <v>135</v>
      </c>
      <c r="K3" s="108" t="s">
        <v>136</v>
      </c>
      <c r="L3" s="108" t="s">
        <v>137</v>
      </c>
      <c r="M3" s="112"/>
      <c r="N3" s="112"/>
      <c r="O3" s="108"/>
    </row>
    <row r="4" s="98" customFormat="1" ht="29" customHeight="1" spans="1:15">
      <c r="A4" s="106"/>
      <c r="B4" s="106"/>
      <c r="C4" s="106"/>
      <c r="D4" s="106"/>
      <c r="E4" s="107"/>
      <c r="F4" s="108"/>
      <c r="G4" s="109" t="s">
        <v>138</v>
      </c>
      <c r="H4" s="108" t="s">
        <v>139</v>
      </c>
      <c r="I4" s="108" t="s">
        <v>140</v>
      </c>
      <c r="J4" s="108"/>
      <c r="K4" s="108" t="s">
        <v>141</v>
      </c>
      <c r="L4" s="108" t="s">
        <v>141</v>
      </c>
      <c r="M4" s="112"/>
      <c r="N4" s="112"/>
      <c r="O4" s="108"/>
    </row>
    <row r="5" s="99" customFormat="1" ht="36" customHeight="1" spans="1:15">
      <c r="A5" s="106" t="s">
        <v>62</v>
      </c>
      <c r="B5" s="110" t="s">
        <v>264</v>
      </c>
      <c r="C5" s="110" t="s">
        <v>265</v>
      </c>
      <c r="D5" s="111"/>
      <c r="E5" s="107"/>
      <c r="F5" s="112"/>
      <c r="G5" s="112"/>
      <c r="H5" s="112"/>
      <c r="I5" s="112"/>
      <c r="J5" s="112"/>
      <c r="K5" s="112"/>
      <c r="L5" s="112"/>
      <c r="M5" s="112"/>
      <c r="N5" s="112"/>
      <c r="O5" s="112"/>
    </row>
    <row r="6" s="99" customFormat="1" ht="98" customHeight="1" outlineLevel="1" spans="1:15">
      <c r="A6" s="106">
        <v>1</v>
      </c>
      <c r="B6" s="113" t="s">
        <v>266</v>
      </c>
      <c r="C6" s="113" t="s">
        <v>267</v>
      </c>
      <c r="D6" s="111" t="s">
        <v>268</v>
      </c>
      <c r="E6" s="114">
        <f>门头钢结构工程量计算!F25/1000</f>
        <v>1.71356248</v>
      </c>
      <c r="F6" s="108">
        <v>3000</v>
      </c>
      <c r="G6" s="108">
        <f t="shared" ref="G6:G9" si="0">H6*(1+I6)</f>
        <v>4700</v>
      </c>
      <c r="H6" s="108">
        <v>4700</v>
      </c>
      <c r="I6" s="128">
        <v>0</v>
      </c>
      <c r="J6" s="108">
        <v>500</v>
      </c>
      <c r="K6" s="108">
        <f t="shared" ref="K6:K17" si="1">(F6+G6+J6)*0.06</f>
        <v>492</v>
      </c>
      <c r="L6" s="108">
        <f t="shared" ref="L6:L17" si="2">(F6+G6+J6+K6)*0.09</f>
        <v>782.28</v>
      </c>
      <c r="M6" s="108">
        <f t="shared" ref="M6:M17" si="3">F6+G6+J6+K6+L6</f>
        <v>9474.28</v>
      </c>
      <c r="N6" s="112">
        <f t="shared" ref="N6:N17" si="4">M6*E6</f>
        <v>16234.7707330144</v>
      </c>
      <c r="O6" s="112"/>
    </row>
    <row r="7" s="99" customFormat="1" ht="51" customHeight="1" outlineLevel="1" spans="1:15">
      <c r="A7" s="106">
        <v>2</v>
      </c>
      <c r="B7" s="113" t="s">
        <v>269</v>
      </c>
      <c r="C7" s="115" t="s">
        <v>270</v>
      </c>
      <c r="D7" s="116" t="s">
        <v>271</v>
      </c>
      <c r="E7" s="117">
        <v>2</v>
      </c>
      <c r="F7" s="108">
        <v>15</v>
      </c>
      <c r="G7" s="108">
        <f t="shared" si="0"/>
        <v>70</v>
      </c>
      <c r="H7" s="108">
        <v>70</v>
      </c>
      <c r="I7" s="128">
        <v>0</v>
      </c>
      <c r="J7" s="108">
        <v>20</v>
      </c>
      <c r="K7" s="108">
        <f t="shared" si="1"/>
        <v>6.3</v>
      </c>
      <c r="L7" s="108">
        <f t="shared" si="2"/>
        <v>10.017</v>
      </c>
      <c r="M7" s="108">
        <f t="shared" si="3"/>
        <v>121.317</v>
      </c>
      <c r="N7" s="112">
        <f t="shared" si="4"/>
        <v>242.634</v>
      </c>
      <c r="O7" s="112"/>
    </row>
    <row r="8" s="99" customFormat="1" ht="42" customHeight="1" outlineLevel="1" spans="1:15">
      <c r="A8" s="106">
        <v>3</v>
      </c>
      <c r="B8" s="113" t="s">
        <v>269</v>
      </c>
      <c r="C8" s="113" t="s">
        <v>272</v>
      </c>
      <c r="D8" s="111" t="s">
        <v>271</v>
      </c>
      <c r="E8" s="114">
        <f>门头钢结构工程量计算!D10+门头钢结构工程量计算!D16+门头钢结构工程量计算!D23</f>
        <v>49</v>
      </c>
      <c r="F8" s="108">
        <v>15</v>
      </c>
      <c r="G8" s="108">
        <f t="shared" ref="G8:G17" si="5">H8*(1+I8)</f>
        <v>20</v>
      </c>
      <c r="H8" s="108">
        <v>20</v>
      </c>
      <c r="I8" s="128">
        <v>0</v>
      </c>
      <c r="J8" s="108">
        <v>5</v>
      </c>
      <c r="K8" s="108">
        <f t="shared" si="1"/>
        <v>2.4</v>
      </c>
      <c r="L8" s="108">
        <f t="shared" si="2"/>
        <v>3.816</v>
      </c>
      <c r="M8" s="108">
        <f t="shared" si="3"/>
        <v>46.216</v>
      </c>
      <c r="N8" s="112">
        <f t="shared" si="4"/>
        <v>2264.584</v>
      </c>
      <c r="O8" s="112"/>
    </row>
    <row r="9" s="99" customFormat="1" ht="88" customHeight="1" outlineLevel="1" spans="1:15">
      <c r="A9" s="106">
        <v>5</v>
      </c>
      <c r="B9" s="113" t="s">
        <v>273</v>
      </c>
      <c r="C9" s="113" t="s">
        <v>274</v>
      </c>
      <c r="D9" s="111" t="s">
        <v>118</v>
      </c>
      <c r="E9" s="114">
        <f>2.659*4.25*2</f>
        <v>22.6015</v>
      </c>
      <c r="F9" s="108">
        <v>130</v>
      </c>
      <c r="G9" s="108">
        <f t="shared" si="5"/>
        <v>303.756</v>
      </c>
      <c r="H9" s="108">
        <v>297.8</v>
      </c>
      <c r="I9" s="128">
        <v>0.02</v>
      </c>
      <c r="J9" s="108">
        <v>30</v>
      </c>
      <c r="K9" s="108">
        <f t="shared" si="1"/>
        <v>27.82536</v>
      </c>
      <c r="L9" s="108">
        <f t="shared" si="2"/>
        <v>44.2423224</v>
      </c>
      <c r="M9" s="108">
        <f t="shared" si="3"/>
        <v>535.8236824</v>
      </c>
      <c r="N9" s="112">
        <f t="shared" si="4"/>
        <v>12110.4189577636</v>
      </c>
      <c r="O9" s="112"/>
    </row>
    <row r="10" s="99" customFormat="1" ht="45" customHeight="1" outlineLevel="1" spans="1:15">
      <c r="A10" s="106">
        <v>6</v>
      </c>
      <c r="B10" s="118" t="s">
        <v>275</v>
      </c>
      <c r="C10" s="118" t="s">
        <v>276</v>
      </c>
      <c r="D10" s="111" t="s">
        <v>118</v>
      </c>
      <c r="E10" s="114">
        <f>门头钢结构工程量计算!D42-E11</f>
        <v>37.26751</v>
      </c>
      <c r="F10" s="108">
        <v>130</v>
      </c>
      <c r="G10" s="108">
        <f t="shared" si="5"/>
        <v>265.2</v>
      </c>
      <c r="H10" s="108">
        <v>260</v>
      </c>
      <c r="I10" s="128">
        <v>0.02</v>
      </c>
      <c r="J10" s="108">
        <v>30</v>
      </c>
      <c r="K10" s="108">
        <f t="shared" si="1"/>
        <v>25.512</v>
      </c>
      <c r="L10" s="108">
        <f t="shared" si="2"/>
        <v>40.56408</v>
      </c>
      <c r="M10" s="108">
        <f t="shared" si="3"/>
        <v>491.27608</v>
      </c>
      <c r="N10" s="112">
        <f t="shared" si="4"/>
        <v>18308.6362241608</v>
      </c>
      <c r="O10" s="112"/>
    </row>
    <row r="11" s="99" customFormat="1" ht="44" customHeight="1" outlineLevel="1" spans="1:15">
      <c r="A11" s="106">
        <v>7</v>
      </c>
      <c r="B11" s="118" t="s">
        <v>277</v>
      </c>
      <c r="C11" s="118" t="s">
        <v>278</v>
      </c>
      <c r="D11" s="111" t="s">
        <v>118</v>
      </c>
      <c r="E11" s="114">
        <f>门头钢结构工程量计算!D29+门头钢结构工程量计算!D40</f>
        <v>32.01</v>
      </c>
      <c r="F11" s="108">
        <v>130</v>
      </c>
      <c r="G11" s="108">
        <f t="shared" si="5"/>
        <v>265.2</v>
      </c>
      <c r="H11" s="108">
        <v>260</v>
      </c>
      <c r="I11" s="128">
        <v>0.02</v>
      </c>
      <c r="J11" s="108">
        <v>30</v>
      </c>
      <c r="K11" s="108">
        <f t="shared" si="1"/>
        <v>25.512</v>
      </c>
      <c r="L11" s="108">
        <f t="shared" si="2"/>
        <v>40.56408</v>
      </c>
      <c r="M11" s="108">
        <f t="shared" si="3"/>
        <v>491.27608</v>
      </c>
      <c r="N11" s="112">
        <f t="shared" si="4"/>
        <v>15725.7473208</v>
      </c>
      <c r="O11" s="112"/>
    </row>
    <row r="12" s="99" customFormat="1" ht="40" customHeight="1" outlineLevel="1" spans="1:15">
      <c r="A12" s="106">
        <v>8</v>
      </c>
      <c r="B12" s="113" t="s">
        <v>279</v>
      </c>
      <c r="C12" s="113" t="s">
        <v>280</v>
      </c>
      <c r="D12" s="111" t="s">
        <v>118</v>
      </c>
      <c r="E12" s="107"/>
      <c r="F12" s="108">
        <v>35</v>
      </c>
      <c r="G12" s="108">
        <f t="shared" si="5"/>
        <v>50.5</v>
      </c>
      <c r="H12" s="108">
        <v>50</v>
      </c>
      <c r="I12" s="128">
        <v>0.01</v>
      </c>
      <c r="J12" s="108">
        <v>20</v>
      </c>
      <c r="K12" s="108">
        <f t="shared" si="1"/>
        <v>6.33</v>
      </c>
      <c r="L12" s="108">
        <f t="shared" si="2"/>
        <v>10.0647</v>
      </c>
      <c r="M12" s="108">
        <f t="shared" si="3"/>
        <v>121.8947</v>
      </c>
      <c r="N12" s="112">
        <f t="shared" si="4"/>
        <v>0</v>
      </c>
      <c r="O12" s="112"/>
    </row>
    <row r="13" s="99" customFormat="1" ht="36" customHeight="1" outlineLevel="1" spans="1:15">
      <c r="A13" s="106">
        <v>9</v>
      </c>
      <c r="B13" s="113" t="s">
        <v>281</v>
      </c>
      <c r="C13" s="113" t="s">
        <v>282</v>
      </c>
      <c r="D13" s="111" t="s">
        <v>118</v>
      </c>
      <c r="E13" s="107"/>
      <c r="F13" s="108">
        <v>20</v>
      </c>
      <c r="G13" s="108">
        <f t="shared" si="5"/>
        <v>25</v>
      </c>
      <c r="H13" s="108">
        <v>25</v>
      </c>
      <c r="I13" s="128">
        <v>0</v>
      </c>
      <c r="J13" s="108">
        <v>5</v>
      </c>
      <c r="K13" s="108">
        <f t="shared" si="1"/>
        <v>3</v>
      </c>
      <c r="L13" s="108">
        <f t="shared" si="2"/>
        <v>4.77</v>
      </c>
      <c r="M13" s="108">
        <f t="shared" si="3"/>
        <v>57.77</v>
      </c>
      <c r="N13" s="112">
        <f t="shared" si="4"/>
        <v>0</v>
      </c>
      <c r="O13" s="112"/>
    </row>
    <row r="14" s="99" customFormat="1" ht="33" customHeight="1" outlineLevel="1" spans="1:15">
      <c r="A14" s="106">
        <v>10</v>
      </c>
      <c r="B14" s="113" t="s">
        <v>283</v>
      </c>
      <c r="C14" s="113" t="s">
        <v>284</v>
      </c>
      <c r="D14" s="111" t="s">
        <v>165</v>
      </c>
      <c r="E14" s="107">
        <v>5.45</v>
      </c>
      <c r="F14" s="108">
        <v>130</v>
      </c>
      <c r="G14" s="108">
        <f t="shared" si="5"/>
        <v>154.5</v>
      </c>
      <c r="H14" s="108">
        <v>150</v>
      </c>
      <c r="I14" s="128">
        <v>0.03</v>
      </c>
      <c r="J14" s="108">
        <v>5</v>
      </c>
      <c r="K14" s="108">
        <f t="shared" si="1"/>
        <v>17.37</v>
      </c>
      <c r="L14" s="108">
        <f t="shared" si="2"/>
        <v>27.6183</v>
      </c>
      <c r="M14" s="108">
        <f t="shared" si="3"/>
        <v>334.4883</v>
      </c>
      <c r="N14" s="112">
        <f t="shared" si="4"/>
        <v>1822.961235</v>
      </c>
      <c r="O14" s="112"/>
    </row>
    <row r="15" s="99" customFormat="1" ht="34" customHeight="1" outlineLevel="1" spans="1:15">
      <c r="A15" s="106">
        <v>11</v>
      </c>
      <c r="B15" s="119" t="s">
        <v>285</v>
      </c>
      <c r="C15" s="119" t="s">
        <v>286</v>
      </c>
      <c r="D15" s="111" t="s">
        <v>118</v>
      </c>
      <c r="E15" s="107">
        <f>1.05+0.181*2</f>
        <v>1.412</v>
      </c>
      <c r="F15" s="108">
        <v>130</v>
      </c>
      <c r="G15" s="108">
        <f t="shared" si="5"/>
        <v>309</v>
      </c>
      <c r="H15" s="108">
        <v>300</v>
      </c>
      <c r="I15" s="128">
        <v>0.03</v>
      </c>
      <c r="J15" s="108">
        <v>50</v>
      </c>
      <c r="K15" s="108">
        <f t="shared" si="1"/>
        <v>29.34</v>
      </c>
      <c r="L15" s="108">
        <f t="shared" si="2"/>
        <v>46.6506</v>
      </c>
      <c r="M15" s="108">
        <f t="shared" si="3"/>
        <v>564.9906</v>
      </c>
      <c r="N15" s="112">
        <f t="shared" si="4"/>
        <v>797.7667272</v>
      </c>
      <c r="O15" s="112"/>
    </row>
    <row r="16" s="99" customFormat="1" ht="28" customHeight="1" outlineLevel="1" spans="1:15">
      <c r="A16" s="106">
        <v>12</v>
      </c>
      <c r="B16" s="113" t="s">
        <v>287</v>
      </c>
      <c r="C16" s="113" t="s">
        <v>288</v>
      </c>
      <c r="D16" s="111" t="s">
        <v>99</v>
      </c>
      <c r="E16" s="107"/>
      <c r="F16" s="108"/>
      <c r="G16" s="108"/>
      <c r="H16" s="108"/>
      <c r="I16" s="128"/>
      <c r="J16" s="108"/>
      <c r="K16" s="108"/>
      <c r="L16" s="108"/>
      <c r="M16" s="108"/>
      <c r="N16" s="112">
        <f t="shared" si="4"/>
        <v>0</v>
      </c>
      <c r="O16" s="112"/>
    </row>
    <row r="17" s="99" customFormat="1" ht="32" customHeight="1" outlineLevel="1" spans="1:15">
      <c r="A17" s="106">
        <v>13</v>
      </c>
      <c r="B17" s="113" t="s">
        <v>289</v>
      </c>
      <c r="C17" s="113" t="s">
        <v>290</v>
      </c>
      <c r="D17" s="111" t="s">
        <v>99</v>
      </c>
      <c r="E17" s="107">
        <v>1</v>
      </c>
      <c r="F17" s="108">
        <v>300</v>
      </c>
      <c r="G17" s="108">
        <f t="shared" si="5"/>
        <v>2000</v>
      </c>
      <c r="H17" s="108">
        <v>2000</v>
      </c>
      <c r="I17" s="128">
        <v>0</v>
      </c>
      <c r="J17" s="108">
        <v>50</v>
      </c>
      <c r="K17" s="108">
        <f t="shared" si="1"/>
        <v>141</v>
      </c>
      <c r="L17" s="108">
        <f t="shared" si="2"/>
        <v>224.19</v>
      </c>
      <c r="M17" s="108">
        <f t="shared" si="3"/>
        <v>2715.19</v>
      </c>
      <c r="N17" s="112">
        <f t="shared" si="4"/>
        <v>2715.19</v>
      </c>
      <c r="O17" s="112"/>
    </row>
    <row r="18" s="99" customFormat="1" ht="23" customHeight="1" spans="1:15">
      <c r="A18" s="106">
        <v>14</v>
      </c>
      <c r="B18" s="106" t="s">
        <v>187</v>
      </c>
      <c r="C18" s="106"/>
      <c r="D18" s="106" t="s">
        <v>188</v>
      </c>
      <c r="E18" s="107"/>
      <c r="F18" s="112"/>
      <c r="G18" s="112"/>
      <c r="H18" s="112"/>
      <c r="I18" s="112"/>
      <c r="J18" s="112"/>
      <c r="K18" s="112"/>
      <c r="L18" s="112"/>
      <c r="M18" s="112"/>
      <c r="N18" s="112">
        <f>SUM(N6:N17)</f>
        <v>70222.7091979388</v>
      </c>
      <c r="O18" s="112"/>
    </row>
    <row r="19" s="99" customFormat="1" ht="30" customHeight="1" spans="1:15">
      <c r="A19" s="120" t="s">
        <v>69</v>
      </c>
      <c r="B19" s="110" t="s">
        <v>291</v>
      </c>
      <c r="C19" s="110" t="s">
        <v>265</v>
      </c>
      <c r="D19" s="121"/>
      <c r="E19" s="122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="99" customFormat="1" ht="80.25" customHeight="1" outlineLevel="1" spans="1:15">
      <c r="A20" s="106">
        <v>1</v>
      </c>
      <c r="B20" s="113" t="s">
        <v>266</v>
      </c>
      <c r="C20" s="113" t="s">
        <v>267</v>
      </c>
      <c r="D20" s="111" t="s">
        <v>268</v>
      </c>
      <c r="E20" s="107">
        <f>门头钢结构工程量计算!N25/1000</f>
        <v>1.21117062</v>
      </c>
      <c r="F20" s="108">
        <v>3000</v>
      </c>
      <c r="G20" s="108">
        <f>H20*(1+I20)</f>
        <v>4700</v>
      </c>
      <c r="H20" s="108">
        <v>4700</v>
      </c>
      <c r="I20" s="128">
        <v>0</v>
      </c>
      <c r="J20" s="108">
        <v>500</v>
      </c>
      <c r="K20" s="108">
        <f t="shared" ref="K20:K25" si="6">(F20+G20+J20)*0.06</f>
        <v>492</v>
      </c>
      <c r="L20" s="108">
        <f t="shared" ref="L20:L25" si="7">(F20+G20+J20+K20)*0.09</f>
        <v>782.28</v>
      </c>
      <c r="M20" s="108">
        <f t="shared" ref="M20:M25" si="8">F20+G20+J20+K20+L20</f>
        <v>9474.28</v>
      </c>
      <c r="N20" s="123">
        <f>M20*E20</f>
        <v>11474.9695816536</v>
      </c>
      <c r="O20" s="123"/>
    </row>
    <row r="21" s="99" customFormat="1" ht="52" customHeight="1" outlineLevel="1" spans="1:15">
      <c r="A21" s="106">
        <v>2</v>
      </c>
      <c r="B21" s="113" t="s">
        <v>269</v>
      </c>
      <c r="C21" s="115" t="s">
        <v>270</v>
      </c>
      <c r="D21" s="124" t="s">
        <v>271</v>
      </c>
      <c r="E21" s="125">
        <v>2</v>
      </c>
      <c r="F21" s="108">
        <v>15</v>
      </c>
      <c r="G21" s="108">
        <f t="shared" ref="G21:G26" si="9">H21*(1+I21)</f>
        <v>70</v>
      </c>
      <c r="H21" s="108">
        <v>70</v>
      </c>
      <c r="I21" s="128">
        <v>0</v>
      </c>
      <c r="J21" s="108">
        <v>20</v>
      </c>
      <c r="K21" s="108">
        <f t="shared" si="6"/>
        <v>6.3</v>
      </c>
      <c r="L21" s="108">
        <f t="shared" si="7"/>
        <v>10.017</v>
      </c>
      <c r="M21" s="108">
        <f t="shared" si="8"/>
        <v>121.317</v>
      </c>
      <c r="N21" s="123">
        <f t="shared" ref="N21:N28" si="10">M21*E21</f>
        <v>242.634</v>
      </c>
      <c r="O21" s="123"/>
    </row>
    <row r="22" s="99" customFormat="1" ht="39" customHeight="1" outlineLevel="1" spans="1:15">
      <c r="A22" s="106">
        <v>3</v>
      </c>
      <c r="B22" s="113" t="s">
        <v>269</v>
      </c>
      <c r="C22" s="113" t="s">
        <v>272</v>
      </c>
      <c r="D22" s="111" t="s">
        <v>271</v>
      </c>
      <c r="E22" s="107">
        <f>门头钢结构工程量计算!L16+门头钢结构工程量计算!L10</f>
        <v>26</v>
      </c>
      <c r="F22" s="108">
        <v>15</v>
      </c>
      <c r="G22" s="108">
        <f t="shared" si="9"/>
        <v>20</v>
      </c>
      <c r="H22" s="108">
        <v>20</v>
      </c>
      <c r="I22" s="128">
        <v>0</v>
      </c>
      <c r="J22" s="108">
        <v>5</v>
      </c>
      <c r="K22" s="108">
        <f t="shared" si="6"/>
        <v>2.4</v>
      </c>
      <c r="L22" s="108">
        <f t="shared" si="7"/>
        <v>3.816</v>
      </c>
      <c r="M22" s="108">
        <f t="shared" si="8"/>
        <v>46.216</v>
      </c>
      <c r="N22" s="123">
        <f t="shared" si="10"/>
        <v>1201.616</v>
      </c>
      <c r="O22" s="123"/>
    </row>
    <row r="23" s="99" customFormat="1" ht="65" customHeight="1" outlineLevel="1" spans="1:15">
      <c r="A23" s="106">
        <v>5</v>
      </c>
      <c r="B23" s="113" t="s">
        <v>273</v>
      </c>
      <c r="C23" s="113" t="s">
        <v>274</v>
      </c>
      <c r="D23" s="111" t="s">
        <v>118</v>
      </c>
      <c r="E23" s="107">
        <f>2.9*4.25*2</f>
        <v>24.65</v>
      </c>
      <c r="F23" s="108">
        <v>130</v>
      </c>
      <c r="G23" s="108">
        <f t="shared" si="9"/>
        <v>303.756</v>
      </c>
      <c r="H23" s="108">
        <v>297.8</v>
      </c>
      <c r="I23" s="128">
        <v>0.02</v>
      </c>
      <c r="J23" s="108">
        <v>30</v>
      </c>
      <c r="K23" s="108">
        <f t="shared" si="6"/>
        <v>27.82536</v>
      </c>
      <c r="L23" s="108">
        <f t="shared" si="7"/>
        <v>44.2423224</v>
      </c>
      <c r="M23" s="108">
        <f t="shared" si="8"/>
        <v>535.8236824</v>
      </c>
      <c r="N23" s="123">
        <f t="shared" si="10"/>
        <v>13208.05377116</v>
      </c>
      <c r="O23" s="123"/>
    </row>
    <row r="24" s="99" customFormat="1" ht="39" customHeight="1" outlineLevel="1" spans="1:15">
      <c r="A24" s="106">
        <v>6</v>
      </c>
      <c r="B24" s="118" t="s">
        <v>275</v>
      </c>
      <c r="C24" s="118" t="s">
        <v>276</v>
      </c>
      <c r="D24" s="111" t="s">
        <v>118</v>
      </c>
      <c r="E24" s="107">
        <f>门头钢结构工程量计算!L42</f>
        <v>42.855536</v>
      </c>
      <c r="F24" s="108">
        <v>130</v>
      </c>
      <c r="G24" s="108">
        <f t="shared" si="9"/>
        <v>265.2</v>
      </c>
      <c r="H24" s="108">
        <v>260</v>
      </c>
      <c r="I24" s="128">
        <v>0.02</v>
      </c>
      <c r="J24" s="108">
        <v>30</v>
      </c>
      <c r="K24" s="108">
        <f t="shared" si="6"/>
        <v>25.512</v>
      </c>
      <c r="L24" s="108">
        <f t="shared" si="7"/>
        <v>40.56408</v>
      </c>
      <c r="M24" s="108">
        <f t="shared" si="8"/>
        <v>491.27608</v>
      </c>
      <c r="N24" s="123">
        <f t="shared" si="10"/>
        <v>21053.8997323789</v>
      </c>
      <c r="O24" s="123"/>
    </row>
    <row r="25" s="99" customFormat="1" ht="26" customHeight="1" outlineLevel="1" spans="1:15">
      <c r="A25" s="106">
        <v>7</v>
      </c>
      <c r="B25" s="113" t="s">
        <v>283</v>
      </c>
      <c r="C25" s="113" t="s">
        <v>284</v>
      </c>
      <c r="D25" s="111" t="s">
        <v>165</v>
      </c>
      <c r="E25" s="107">
        <v>4</v>
      </c>
      <c r="F25" s="108">
        <v>130</v>
      </c>
      <c r="G25" s="108">
        <f t="shared" si="9"/>
        <v>154.5</v>
      </c>
      <c r="H25" s="108">
        <v>150</v>
      </c>
      <c r="I25" s="128">
        <v>0.03</v>
      </c>
      <c r="J25" s="108">
        <v>5</v>
      </c>
      <c r="K25" s="108">
        <f t="shared" si="6"/>
        <v>17.37</v>
      </c>
      <c r="L25" s="108">
        <f t="shared" si="7"/>
        <v>27.6183</v>
      </c>
      <c r="M25" s="108">
        <f t="shared" si="8"/>
        <v>334.4883</v>
      </c>
      <c r="N25" s="123">
        <f t="shared" si="10"/>
        <v>1337.9532</v>
      </c>
      <c r="O25" s="123"/>
    </row>
    <row r="26" s="99" customFormat="1" ht="32" customHeight="1" outlineLevel="1" spans="1:15">
      <c r="A26" s="106">
        <v>8</v>
      </c>
      <c r="B26" s="119" t="s">
        <v>285</v>
      </c>
      <c r="C26" s="119" t="s">
        <v>286</v>
      </c>
      <c r="D26" s="111" t="s">
        <v>118</v>
      </c>
      <c r="E26" s="107">
        <f>3.8*0.2+0.181*2</f>
        <v>1.122</v>
      </c>
      <c r="F26" s="108">
        <v>130</v>
      </c>
      <c r="G26" s="108">
        <f t="shared" si="9"/>
        <v>309</v>
      </c>
      <c r="H26" s="108">
        <v>300</v>
      </c>
      <c r="I26" s="128">
        <v>0.03</v>
      </c>
      <c r="J26" s="108">
        <v>50</v>
      </c>
      <c r="K26" s="108">
        <f t="shared" ref="K26:K35" si="11">(F26+G26+J26)*0.06</f>
        <v>29.34</v>
      </c>
      <c r="L26" s="108">
        <f t="shared" ref="L26:L35" si="12">(F26+G26+J26+K26)*0.09</f>
        <v>46.6506</v>
      </c>
      <c r="M26" s="108">
        <f t="shared" ref="M26:M35" si="13">F26+G26+J26+K26+L26</f>
        <v>564.9906</v>
      </c>
      <c r="N26" s="123">
        <f t="shared" si="10"/>
        <v>633.9194532</v>
      </c>
      <c r="O26" s="123"/>
    </row>
    <row r="27" s="99" customFormat="1" ht="30" customHeight="1" outlineLevel="1" spans="1:15">
      <c r="A27" s="106">
        <v>9</v>
      </c>
      <c r="B27" s="113" t="s">
        <v>287</v>
      </c>
      <c r="C27" s="113" t="s">
        <v>288</v>
      </c>
      <c r="D27" s="111" t="s">
        <v>99</v>
      </c>
      <c r="E27" s="107">
        <v>0</v>
      </c>
      <c r="F27" s="108"/>
      <c r="G27" s="108"/>
      <c r="H27" s="108"/>
      <c r="I27" s="128"/>
      <c r="J27" s="108"/>
      <c r="K27" s="108"/>
      <c r="L27" s="108"/>
      <c r="M27" s="108"/>
      <c r="N27" s="123"/>
      <c r="O27" s="123"/>
    </row>
    <row r="28" s="99" customFormat="1" ht="27" customHeight="1" outlineLevel="1" spans="1:15">
      <c r="A28" s="106">
        <v>10</v>
      </c>
      <c r="B28" s="113" t="s">
        <v>289</v>
      </c>
      <c r="C28" s="113" t="s">
        <v>290</v>
      </c>
      <c r="D28" s="111" t="s">
        <v>99</v>
      </c>
      <c r="E28" s="107">
        <v>1</v>
      </c>
      <c r="F28" s="108">
        <v>300</v>
      </c>
      <c r="G28" s="108">
        <f t="shared" ref="G26:G36" si="14">H28*(1+I28)</f>
        <v>2000</v>
      </c>
      <c r="H28" s="108">
        <v>2000</v>
      </c>
      <c r="I28" s="128">
        <v>0</v>
      </c>
      <c r="J28" s="108">
        <v>50</v>
      </c>
      <c r="K28" s="108">
        <f t="shared" si="11"/>
        <v>141</v>
      </c>
      <c r="L28" s="108">
        <f t="shared" si="12"/>
        <v>224.19</v>
      </c>
      <c r="M28" s="108">
        <f t="shared" si="13"/>
        <v>2715.19</v>
      </c>
      <c r="N28" s="123">
        <f t="shared" si="10"/>
        <v>2715.19</v>
      </c>
      <c r="O28" s="123"/>
    </row>
    <row r="29" s="99" customFormat="1" ht="24" customHeight="1" spans="1:15">
      <c r="A29" s="106">
        <v>11</v>
      </c>
      <c r="B29" s="120" t="s">
        <v>187</v>
      </c>
      <c r="C29" s="120"/>
      <c r="D29" s="120" t="s">
        <v>188</v>
      </c>
      <c r="E29" s="122"/>
      <c r="F29" s="123"/>
      <c r="G29" s="123"/>
      <c r="H29" s="123"/>
      <c r="I29" s="123"/>
      <c r="J29" s="123"/>
      <c r="K29" s="123"/>
      <c r="L29" s="123"/>
      <c r="M29" s="123"/>
      <c r="N29" s="112">
        <f>SUM(N20:N28)</f>
        <v>51868.2357383925</v>
      </c>
      <c r="O29" s="123"/>
    </row>
    <row r="30" s="99" customFormat="1" ht="24" customHeight="1" spans="1:15">
      <c r="A30" s="106" t="s">
        <v>72</v>
      </c>
      <c r="B30" s="110" t="s">
        <v>292</v>
      </c>
      <c r="C30" s="110" t="s">
        <v>265</v>
      </c>
      <c r="D30" s="111"/>
      <c r="E30" s="107"/>
      <c r="F30" s="112"/>
      <c r="G30" s="112"/>
      <c r="H30" s="112"/>
      <c r="I30" s="112"/>
      <c r="J30" s="112"/>
      <c r="K30" s="112"/>
      <c r="L30" s="112"/>
      <c r="M30" s="112"/>
      <c r="N30" s="112"/>
      <c r="O30" s="112"/>
    </row>
    <row r="31" s="99" customFormat="1" ht="81" customHeight="1" outlineLevel="1" spans="1:15">
      <c r="A31" s="106">
        <v>1</v>
      </c>
      <c r="B31" s="113" t="s">
        <v>266</v>
      </c>
      <c r="C31" s="113" t="s">
        <v>267</v>
      </c>
      <c r="D31" s="111" t="s">
        <v>268</v>
      </c>
      <c r="E31" s="107">
        <f>门头钢结构工程量计算!V25/1000</f>
        <v>1.9156855</v>
      </c>
      <c r="F31" s="108">
        <v>3000</v>
      </c>
      <c r="G31" s="108">
        <f t="shared" si="14"/>
        <v>4700</v>
      </c>
      <c r="H31" s="108">
        <v>4700</v>
      </c>
      <c r="I31" s="128">
        <v>0</v>
      </c>
      <c r="J31" s="108">
        <v>500</v>
      </c>
      <c r="K31" s="108">
        <f t="shared" si="11"/>
        <v>492</v>
      </c>
      <c r="L31" s="108">
        <f t="shared" si="12"/>
        <v>782.28</v>
      </c>
      <c r="M31" s="108">
        <f t="shared" si="13"/>
        <v>9474.28</v>
      </c>
      <c r="N31" s="112">
        <f>M31*E31</f>
        <v>18149.74081894</v>
      </c>
      <c r="O31" s="112"/>
    </row>
    <row r="32" s="99" customFormat="1" ht="52" customHeight="1" outlineLevel="1" spans="1:15">
      <c r="A32" s="106">
        <v>2</v>
      </c>
      <c r="B32" s="113" t="s">
        <v>269</v>
      </c>
      <c r="C32" s="115" t="s">
        <v>270</v>
      </c>
      <c r="D32" s="124" t="s">
        <v>271</v>
      </c>
      <c r="E32" s="125">
        <v>2</v>
      </c>
      <c r="F32" s="108">
        <v>15</v>
      </c>
      <c r="G32" s="108">
        <f t="shared" si="14"/>
        <v>70</v>
      </c>
      <c r="H32" s="108">
        <v>70</v>
      </c>
      <c r="I32" s="128">
        <v>0</v>
      </c>
      <c r="J32" s="108">
        <v>20</v>
      </c>
      <c r="K32" s="108">
        <f t="shared" si="11"/>
        <v>6.3</v>
      </c>
      <c r="L32" s="108">
        <f t="shared" si="12"/>
        <v>10.017</v>
      </c>
      <c r="M32" s="108">
        <f t="shared" si="13"/>
        <v>121.317</v>
      </c>
      <c r="N32" s="112">
        <f>M32*E32</f>
        <v>242.634</v>
      </c>
      <c r="O32" s="112"/>
    </row>
    <row r="33" s="99" customFormat="1" ht="39" customHeight="1" outlineLevel="1" spans="1:15">
      <c r="A33" s="106">
        <v>3</v>
      </c>
      <c r="B33" s="113" t="s">
        <v>269</v>
      </c>
      <c r="C33" s="113" t="s">
        <v>272</v>
      </c>
      <c r="D33" s="111" t="s">
        <v>271</v>
      </c>
      <c r="E33" s="107">
        <f>门头钢结构工程量计算!T23+门头钢结构工程量计算!T16+门头钢结构工程量计算!T10</f>
        <v>55</v>
      </c>
      <c r="F33" s="108">
        <v>15</v>
      </c>
      <c r="G33" s="108">
        <f t="shared" si="14"/>
        <v>20</v>
      </c>
      <c r="H33" s="108">
        <v>20</v>
      </c>
      <c r="I33" s="128">
        <v>0</v>
      </c>
      <c r="J33" s="108">
        <v>5</v>
      </c>
      <c r="K33" s="108">
        <f t="shared" si="11"/>
        <v>2.4</v>
      </c>
      <c r="L33" s="108">
        <f t="shared" si="12"/>
        <v>3.816</v>
      </c>
      <c r="M33" s="108">
        <f t="shared" si="13"/>
        <v>46.216</v>
      </c>
      <c r="N33" s="112">
        <f>M33*E33</f>
        <v>2541.88</v>
      </c>
      <c r="O33" s="112"/>
    </row>
    <row r="34" s="99" customFormat="1" ht="81" customHeight="1" outlineLevel="1" spans="1:15">
      <c r="A34" s="106">
        <v>5</v>
      </c>
      <c r="B34" s="113" t="s">
        <v>273</v>
      </c>
      <c r="C34" s="113" t="s">
        <v>274</v>
      </c>
      <c r="D34" s="111" t="s">
        <v>118</v>
      </c>
      <c r="E34" s="114">
        <f>2.8*4.25*2</f>
        <v>23.8</v>
      </c>
      <c r="F34" s="108">
        <v>130</v>
      </c>
      <c r="G34" s="108">
        <f t="shared" si="14"/>
        <v>303.756</v>
      </c>
      <c r="H34" s="108">
        <v>297.8</v>
      </c>
      <c r="I34" s="128">
        <v>0.02</v>
      </c>
      <c r="J34" s="108">
        <v>30</v>
      </c>
      <c r="K34" s="108">
        <f t="shared" si="11"/>
        <v>27.82536</v>
      </c>
      <c r="L34" s="108">
        <f t="shared" si="12"/>
        <v>44.2423224</v>
      </c>
      <c r="M34" s="108">
        <f t="shared" si="13"/>
        <v>535.8236824</v>
      </c>
      <c r="N34" s="112">
        <f>M34*E34</f>
        <v>12752.60364112</v>
      </c>
      <c r="O34" s="112"/>
    </row>
    <row r="35" s="99" customFormat="1" ht="39" customHeight="1" outlineLevel="1" spans="1:15">
      <c r="A35" s="106">
        <v>6</v>
      </c>
      <c r="B35" s="118" t="s">
        <v>275</v>
      </c>
      <c r="C35" s="118" t="s">
        <v>276</v>
      </c>
      <c r="D35" s="111" t="s">
        <v>118</v>
      </c>
      <c r="E35" s="107">
        <f>门头钢结构工程量计算!T42-E36</f>
        <v>42.83802</v>
      </c>
      <c r="F35" s="108">
        <v>130</v>
      </c>
      <c r="G35" s="108">
        <f t="shared" si="14"/>
        <v>265.2</v>
      </c>
      <c r="H35" s="108">
        <v>260</v>
      </c>
      <c r="I35" s="128">
        <v>0.02</v>
      </c>
      <c r="J35" s="108">
        <v>30</v>
      </c>
      <c r="K35" s="108">
        <f t="shared" si="11"/>
        <v>25.512</v>
      </c>
      <c r="L35" s="108">
        <f t="shared" si="12"/>
        <v>40.56408</v>
      </c>
      <c r="M35" s="108">
        <f t="shared" si="13"/>
        <v>491.27608</v>
      </c>
      <c r="N35" s="112">
        <f>M35*E35</f>
        <v>21045.2945405616</v>
      </c>
      <c r="O35" s="112"/>
    </row>
    <row r="36" s="99" customFormat="1" ht="39" customHeight="1" outlineLevel="1" spans="1:15">
      <c r="A36" s="106">
        <v>7</v>
      </c>
      <c r="B36" s="118" t="s">
        <v>277</v>
      </c>
      <c r="C36" s="118" t="s">
        <v>278</v>
      </c>
      <c r="D36" s="111" t="s">
        <v>118</v>
      </c>
      <c r="E36" s="107">
        <f>门头钢结构工程量计算!T29+门头钢结构工程量计算!T40</f>
        <v>39.33</v>
      </c>
      <c r="F36" s="108">
        <v>130</v>
      </c>
      <c r="G36" s="108">
        <f t="shared" si="14"/>
        <v>265.2</v>
      </c>
      <c r="H36" s="108">
        <v>260</v>
      </c>
      <c r="I36" s="128">
        <v>0.02</v>
      </c>
      <c r="J36" s="108">
        <v>30</v>
      </c>
      <c r="K36" s="108">
        <f t="shared" ref="K36:K39" si="15">(F36+G36+J36)*0.06</f>
        <v>25.512</v>
      </c>
      <c r="L36" s="108">
        <f t="shared" ref="L36:L39" si="16">(F36+G36+J36+K36)*0.09</f>
        <v>40.56408</v>
      </c>
      <c r="M36" s="108">
        <f t="shared" ref="M36:M39" si="17">F36+G36+J36+K36+L36</f>
        <v>491.27608</v>
      </c>
      <c r="N36" s="112">
        <f t="shared" ref="N36:N42" si="18">M36*E36</f>
        <v>19321.8882264</v>
      </c>
      <c r="O36" s="112"/>
    </row>
    <row r="37" s="99" customFormat="1" ht="30" customHeight="1" outlineLevel="1" spans="1:15">
      <c r="A37" s="106">
        <v>8</v>
      </c>
      <c r="B37" s="113" t="s">
        <v>279</v>
      </c>
      <c r="C37" s="113" t="s">
        <v>280</v>
      </c>
      <c r="D37" s="111" t="s">
        <v>118</v>
      </c>
      <c r="E37" s="107"/>
      <c r="F37" s="108">
        <v>35</v>
      </c>
      <c r="G37" s="108">
        <f t="shared" ref="G36:G39" si="19">H37*(1+I37)</f>
        <v>50.5</v>
      </c>
      <c r="H37" s="108">
        <v>50</v>
      </c>
      <c r="I37" s="128">
        <v>0.01</v>
      </c>
      <c r="J37" s="108">
        <v>20</v>
      </c>
      <c r="K37" s="108">
        <f t="shared" si="15"/>
        <v>6.33</v>
      </c>
      <c r="L37" s="108">
        <f t="shared" si="16"/>
        <v>10.0647</v>
      </c>
      <c r="M37" s="108">
        <f t="shared" si="17"/>
        <v>121.8947</v>
      </c>
      <c r="N37" s="112">
        <f t="shared" si="18"/>
        <v>0</v>
      </c>
      <c r="O37" s="112"/>
    </row>
    <row r="38" s="99" customFormat="1" ht="30" customHeight="1" outlineLevel="1" spans="1:15">
      <c r="A38" s="106">
        <v>9</v>
      </c>
      <c r="B38" s="113" t="s">
        <v>281</v>
      </c>
      <c r="C38" s="113" t="s">
        <v>282</v>
      </c>
      <c r="D38" s="111" t="s">
        <v>118</v>
      </c>
      <c r="E38" s="107"/>
      <c r="F38" s="108">
        <v>20</v>
      </c>
      <c r="G38" s="108">
        <f t="shared" si="19"/>
        <v>25</v>
      </c>
      <c r="H38" s="108">
        <v>25</v>
      </c>
      <c r="I38" s="128">
        <v>0</v>
      </c>
      <c r="J38" s="108">
        <v>5</v>
      </c>
      <c r="K38" s="108">
        <f t="shared" si="15"/>
        <v>3</v>
      </c>
      <c r="L38" s="108">
        <f t="shared" si="16"/>
        <v>4.77</v>
      </c>
      <c r="M38" s="108">
        <f t="shared" si="17"/>
        <v>57.77</v>
      </c>
      <c r="N38" s="112">
        <f t="shared" si="18"/>
        <v>0</v>
      </c>
      <c r="O38" s="112"/>
    </row>
    <row r="39" s="99" customFormat="1" ht="26" customHeight="1" outlineLevel="1" spans="1:15">
      <c r="A39" s="106">
        <v>10</v>
      </c>
      <c r="B39" s="113" t="s">
        <v>283</v>
      </c>
      <c r="C39" s="113" t="s">
        <v>284</v>
      </c>
      <c r="D39" s="111" t="s">
        <v>165</v>
      </c>
      <c r="E39" s="107">
        <v>7.1</v>
      </c>
      <c r="F39" s="108">
        <v>130</v>
      </c>
      <c r="G39" s="108">
        <f t="shared" si="19"/>
        <v>154.5</v>
      </c>
      <c r="H39" s="108">
        <v>150</v>
      </c>
      <c r="I39" s="128">
        <v>0.03</v>
      </c>
      <c r="J39" s="108">
        <v>5</v>
      </c>
      <c r="K39" s="108">
        <f t="shared" si="15"/>
        <v>17.37</v>
      </c>
      <c r="L39" s="108">
        <f t="shared" si="16"/>
        <v>27.6183</v>
      </c>
      <c r="M39" s="108">
        <f t="shared" si="17"/>
        <v>334.4883</v>
      </c>
      <c r="N39" s="112">
        <f t="shared" si="18"/>
        <v>2374.86693</v>
      </c>
      <c r="O39" s="112"/>
    </row>
    <row r="40" s="99" customFormat="1" ht="28" customHeight="1" outlineLevel="1" spans="1:15">
      <c r="A40" s="106">
        <v>11</v>
      </c>
      <c r="B40" s="119" t="s">
        <v>285</v>
      </c>
      <c r="C40" s="119" t="s">
        <v>286</v>
      </c>
      <c r="D40" s="111" t="s">
        <v>118</v>
      </c>
      <c r="E40" s="107">
        <f>6.35*0.2+0.181*2</f>
        <v>1.632</v>
      </c>
      <c r="F40" s="108">
        <v>130</v>
      </c>
      <c r="G40" s="108">
        <f t="shared" ref="G40:G50" si="20">H40*(1+I40)</f>
        <v>309</v>
      </c>
      <c r="H40" s="108">
        <v>300</v>
      </c>
      <c r="I40" s="128">
        <v>0.03</v>
      </c>
      <c r="J40" s="108">
        <v>50</v>
      </c>
      <c r="K40" s="108">
        <f t="shared" ref="K40:K50" si="21">(F40+G40+J40)*0.06</f>
        <v>29.34</v>
      </c>
      <c r="L40" s="108">
        <f t="shared" ref="L40:L50" si="22">(F40+G40+J40+K40)*0.09</f>
        <v>46.6506</v>
      </c>
      <c r="M40" s="108">
        <f t="shared" ref="M40:M50" si="23">F40+G40+J40+K40+L40</f>
        <v>564.9906</v>
      </c>
      <c r="N40" s="112">
        <f t="shared" si="18"/>
        <v>922.0646592</v>
      </c>
      <c r="O40" s="112"/>
    </row>
    <row r="41" s="99" customFormat="1" ht="30" customHeight="1" outlineLevel="1" spans="1:15">
      <c r="A41" s="106">
        <v>12</v>
      </c>
      <c r="B41" s="113" t="s">
        <v>287</v>
      </c>
      <c r="C41" s="113" t="s">
        <v>288</v>
      </c>
      <c r="D41" s="111" t="s">
        <v>99</v>
      </c>
      <c r="E41" s="107">
        <v>0</v>
      </c>
      <c r="F41" s="108"/>
      <c r="G41" s="108"/>
      <c r="H41" s="108"/>
      <c r="I41" s="128"/>
      <c r="J41" s="108"/>
      <c r="K41" s="108"/>
      <c r="L41" s="108"/>
      <c r="M41" s="108"/>
      <c r="N41" s="112"/>
      <c r="O41" s="112"/>
    </row>
    <row r="42" s="99" customFormat="1" ht="27" customHeight="1" outlineLevel="1" spans="1:15">
      <c r="A42" s="106">
        <v>13</v>
      </c>
      <c r="B42" s="113" t="s">
        <v>289</v>
      </c>
      <c r="C42" s="113" t="s">
        <v>290</v>
      </c>
      <c r="D42" s="111" t="s">
        <v>99</v>
      </c>
      <c r="E42" s="107">
        <v>1</v>
      </c>
      <c r="F42" s="108">
        <v>300</v>
      </c>
      <c r="G42" s="108">
        <f t="shared" si="20"/>
        <v>2000</v>
      </c>
      <c r="H42" s="108">
        <v>2000</v>
      </c>
      <c r="I42" s="128">
        <v>0</v>
      </c>
      <c r="J42" s="108">
        <v>50</v>
      </c>
      <c r="K42" s="108">
        <f t="shared" si="21"/>
        <v>141</v>
      </c>
      <c r="L42" s="108">
        <f t="shared" si="22"/>
        <v>224.19</v>
      </c>
      <c r="M42" s="108">
        <f t="shared" si="23"/>
        <v>2715.19</v>
      </c>
      <c r="N42" s="112">
        <f t="shared" si="18"/>
        <v>2715.19</v>
      </c>
      <c r="O42" s="112"/>
    </row>
    <row r="43" s="99" customFormat="1" ht="24" customHeight="1" spans="1:15">
      <c r="A43" s="106">
        <v>14</v>
      </c>
      <c r="B43" s="106" t="s">
        <v>187</v>
      </c>
      <c r="C43" s="106"/>
      <c r="D43" s="106" t="s">
        <v>188</v>
      </c>
      <c r="E43" s="107"/>
      <c r="F43" s="112"/>
      <c r="G43" s="112"/>
      <c r="H43" s="112"/>
      <c r="I43" s="112"/>
      <c r="J43" s="112"/>
      <c r="K43" s="112"/>
      <c r="L43" s="112"/>
      <c r="M43" s="112"/>
      <c r="N43" s="112">
        <f>SUM(N31:N42)</f>
        <v>80066.1628162216</v>
      </c>
      <c r="O43" s="112"/>
    </row>
    <row r="44" s="99" customFormat="1" ht="39" customHeight="1" spans="1:15">
      <c r="A44" s="120" t="s">
        <v>76</v>
      </c>
      <c r="B44" s="110" t="s">
        <v>293</v>
      </c>
      <c r="C44" s="110"/>
      <c r="D44" s="121"/>
      <c r="E44" s="122"/>
      <c r="F44" s="112"/>
      <c r="G44" s="112"/>
      <c r="H44" s="112"/>
      <c r="I44" s="112"/>
      <c r="J44" s="112"/>
      <c r="K44" s="112"/>
      <c r="L44" s="112"/>
      <c r="M44" s="112"/>
      <c r="N44" s="112"/>
      <c r="O44" s="112"/>
    </row>
    <row r="45" s="99" customFormat="1" ht="48" customHeight="1" outlineLevel="1" spans="1:15">
      <c r="A45" s="106">
        <v>1</v>
      </c>
      <c r="B45" s="113" t="s">
        <v>266</v>
      </c>
      <c r="C45" s="113" t="s">
        <v>267</v>
      </c>
      <c r="D45" s="111" t="s">
        <v>268</v>
      </c>
      <c r="E45" s="107">
        <f>门头钢结构工程量计算!AD25/1000</f>
        <v>1.72733562</v>
      </c>
      <c r="F45" s="108">
        <v>3000</v>
      </c>
      <c r="G45" s="108">
        <f t="shared" si="20"/>
        <v>4700</v>
      </c>
      <c r="H45" s="108">
        <v>4700</v>
      </c>
      <c r="I45" s="128">
        <v>0</v>
      </c>
      <c r="J45" s="108">
        <v>500</v>
      </c>
      <c r="K45" s="108">
        <f t="shared" si="21"/>
        <v>492</v>
      </c>
      <c r="L45" s="108">
        <f t="shared" si="22"/>
        <v>782.28</v>
      </c>
      <c r="M45" s="108">
        <f t="shared" si="23"/>
        <v>9474.28</v>
      </c>
      <c r="N45" s="112">
        <f>M45*E45</f>
        <v>16365.2613178536</v>
      </c>
      <c r="O45" s="112"/>
    </row>
    <row r="46" s="99" customFormat="1" ht="39" customHeight="1" outlineLevel="1" spans="1:15">
      <c r="A46" s="106">
        <v>2</v>
      </c>
      <c r="B46" s="113" t="s">
        <v>269</v>
      </c>
      <c r="C46" s="115" t="s">
        <v>270</v>
      </c>
      <c r="D46" s="126" t="s">
        <v>271</v>
      </c>
      <c r="E46" s="127">
        <v>2</v>
      </c>
      <c r="F46" s="108">
        <v>15</v>
      </c>
      <c r="G46" s="108">
        <f t="shared" si="20"/>
        <v>70</v>
      </c>
      <c r="H46" s="108">
        <v>70</v>
      </c>
      <c r="I46" s="128">
        <v>0</v>
      </c>
      <c r="J46" s="108">
        <v>20</v>
      </c>
      <c r="K46" s="108">
        <f t="shared" si="21"/>
        <v>6.3</v>
      </c>
      <c r="L46" s="108">
        <f t="shared" si="22"/>
        <v>10.017</v>
      </c>
      <c r="M46" s="108">
        <f t="shared" si="23"/>
        <v>121.317</v>
      </c>
      <c r="N46" s="112">
        <f t="shared" ref="N46:N53" si="24">M46*E46</f>
        <v>242.634</v>
      </c>
      <c r="O46" s="112"/>
    </row>
    <row r="47" s="99" customFormat="1" ht="39" customHeight="1" outlineLevel="1" spans="1:15">
      <c r="A47" s="106">
        <v>3</v>
      </c>
      <c r="B47" s="113" t="s">
        <v>269</v>
      </c>
      <c r="C47" s="113" t="s">
        <v>272</v>
      </c>
      <c r="D47" s="111" t="s">
        <v>271</v>
      </c>
      <c r="E47" s="107">
        <f>门头钢结构工程量计算!AB16+门头钢结构工程量计算!AB10</f>
        <v>31</v>
      </c>
      <c r="F47" s="108">
        <v>15</v>
      </c>
      <c r="G47" s="108">
        <f t="shared" si="20"/>
        <v>20</v>
      </c>
      <c r="H47" s="108">
        <v>20</v>
      </c>
      <c r="I47" s="128">
        <v>0</v>
      </c>
      <c r="J47" s="108">
        <v>5</v>
      </c>
      <c r="K47" s="108">
        <f t="shared" si="21"/>
        <v>2.4</v>
      </c>
      <c r="L47" s="108">
        <f t="shared" si="22"/>
        <v>3.816</v>
      </c>
      <c r="M47" s="108">
        <f t="shared" si="23"/>
        <v>46.216</v>
      </c>
      <c r="N47" s="112">
        <f t="shared" si="24"/>
        <v>1432.696</v>
      </c>
      <c r="O47" s="112"/>
    </row>
    <row r="48" s="99" customFormat="1" ht="61.5" customHeight="1" outlineLevel="1" spans="1:15">
      <c r="A48" s="106">
        <v>5</v>
      </c>
      <c r="B48" s="113" t="s">
        <v>273</v>
      </c>
      <c r="C48" s="113" t="s">
        <v>274</v>
      </c>
      <c r="D48" s="111" t="s">
        <v>118</v>
      </c>
      <c r="E48" s="107">
        <f>2.9*4.25*2</f>
        <v>24.65</v>
      </c>
      <c r="F48" s="108">
        <v>130</v>
      </c>
      <c r="G48" s="108">
        <f t="shared" si="20"/>
        <v>303.756</v>
      </c>
      <c r="H48" s="108">
        <v>297.8</v>
      </c>
      <c r="I48" s="128">
        <v>0.02</v>
      </c>
      <c r="J48" s="108">
        <v>30</v>
      </c>
      <c r="K48" s="108">
        <f t="shared" si="21"/>
        <v>27.82536</v>
      </c>
      <c r="L48" s="108">
        <f t="shared" si="22"/>
        <v>44.2423224</v>
      </c>
      <c r="M48" s="108">
        <f t="shared" si="23"/>
        <v>535.8236824</v>
      </c>
      <c r="N48" s="112">
        <f t="shared" si="24"/>
        <v>13208.05377116</v>
      </c>
      <c r="O48" s="112"/>
    </row>
    <row r="49" s="99" customFormat="1" ht="39" customHeight="1" outlineLevel="1" spans="1:15">
      <c r="A49" s="106">
        <v>6</v>
      </c>
      <c r="B49" s="118" t="s">
        <v>275</v>
      </c>
      <c r="C49" s="118" t="s">
        <v>276</v>
      </c>
      <c r="D49" s="111" t="s">
        <v>118</v>
      </c>
      <c r="E49" s="107">
        <f>门头钢结构工程量计算!AB42</f>
        <v>52.361552</v>
      </c>
      <c r="F49" s="108">
        <v>130</v>
      </c>
      <c r="G49" s="108">
        <f t="shared" si="20"/>
        <v>265.2</v>
      </c>
      <c r="H49" s="108">
        <v>260</v>
      </c>
      <c r="I49" s="128">
        <v>0.02</v>
      </c>
      <c r="J49" s="108">
        <v>30</v>
      </c>
      <c r="K49" s="108">
        <f t="shared" si="21"/>
        <v>25.512</v>
      </c>
      <c r="L49" s="108">
        <f t="shared" si="22"/>
        <v>40.56408</v>
      </c>
      <c r="M49" s="108">
        <f t="shared" si="23"/>
        <v>491.27608</v>
      </c>
      <c r="N49" s="112">
        <f t="shared" si="24"/>
        <v>25723.9780092762</v>
      </c>
      <c r="O49" s="112"/>
    </row>
    <row r="50" s="99" customFormat="1" ht="28" customHeight="1" outlineLevel="1" spans="1:15">
      <c r="A50" s="106">
        <v>7</v>
      </c>
      <c r="B50" s="113" t="s">
        <v>283</v>
      </c>
      <c r="C50" s="113" t="s">
        <v>284</v>
      </c>
      <c r="D50" s="111" t="s">
        <v>165</v>
      </c>
      <c r="E50" s="107">
        <v>5.45</v>
      </c>
      <c r="F50" s="108">
        <v>130</v>
      </c>
      <c r="G50" s="108">
        <f t="shared" si="20"/>
        <v>154.5</v>
      </c>
      <c r="H50" s="108">
        <v>150</v>
      </c>
      <c r="I50" s="128">
        <v>0.03</v>
      </c>
      <c r="J50" s="108">
        <v>5</v>
      </c>
      <c r="K50" s="108">
        <f t="shared" si="21"/>
        <v>17.37</v>
      </c>
      <c r="L50" s="108">
        <f t="shared" si="22"/>
        <v>27.6183</v>
      </c>
      <c r="M50" s="108">
        <f t="shared" si="23"/>
        <v>334.4883</v>
      </c>
      <c r="N50" s="112">
        <f t="shared" si="24"/>
        <v>1822.961235</v>
      </c>
      <c r="O50" s="112"/>
    </row>
    <row r="51" s="99" customFormat="1" ht="31" customHeight="1" outlineLevel="1" spans="1:15">
      <c r="A51" s="106">
        <v>8</v>
      </c>
      <c r="B51" s="119" t="s">
        <v>285</v>
      </c>
      <c r="C51" s="119" t="s">
        <v>286</v>
      </c>
      <c r="D51" s="111" t="s">
        <v>118</v>
      </c>
      <c r="E51" s="107">
        <f>3.8*0.2+0.181*2</f>
        <v>1.122</v>
      </c>
      <c r="F51" s="108">
        <v>130</v>
      </c>
      <c r="G51" s="108">
        <f t="shared" ref="G51:G53" si="25">H51*(1+I51)</f>
        <v>309</v>
      </c>
      <c r="H51" s="108">
        <v>300</v>
      </c>
      <c r="I51" s="128">
        <v>0.03</v>
      </c>
      <c r="J51" s="108">
        <v>50</v>
      </c>
      <c r="K51" s="108">
        <f t="shared" ref="K51:K53" si="26">(F51+G51+J51)*0.06</f>
        <v>29.34</v>
      </c>
      <c r="L51" s="108">
        <f t="shared" ref="L51:L53" si="27">(F51+G51+J51+K51)*0.09</f>
        <v>46.6506</v>
      </c>
      <c r="M51" s="108">
        <f t="shared" ref="M51:M53" si="28">F51+G51+J51+K51+L51</f>
        <v>564.9906</v>
      </c>
      <c r="N51" s="112">
        <f t="shared" si="24"/>
        <v>633.9194532</v>
      </c>
      <c r="O51" s="112"/>
    </row>
    <row r="52" s="99" customFormat="1" ht="28" customHeight="1" outlineLevel="1" spans="1:15">
      <c r="A52" s="106">
        <v>9</v>
      </c>
      <c r="B52" s="113" t="s">
        <v>287</v>
      </c>
      <c r="C52" s="113" t="s">
        <v>288</v>
      </c>
      <c r="D52" s="111" t="s">
        <v>99</v>
      </c>
      <c r="E52" s="107">
        <v>0</v>
      </c>
      <c r="F52" s="108"/>
      <c r="G52" s="108"/>
      <c r="H52" s="108"/>
      <c r="I52" s="128"/>
      <c r="J52" s="108"/>
      <c r="K52" s="108"/>
      <c r="L52" s="108"/>
      <c r="M52" s="108"/>
      <c r="N52" s="112"/>
      <c r="O52" s="112"/>
    </row>
    <row r="53" s="99" customFormat="1" ht="29" customHeight="1" outlineLevel="1" spans="1:15">
      <c r="A53" s="106">
        <v>10</v>
      </c>
      <c r="B53" s="113" t="s">
        <v>289</v>
      </c>
      <c r="C53" s="113" t="s">
        <v>290</v>
      </c>
      <c r="D53" s="111" t="s">
        <v>99</v>
      </c>
      <c r="E53" s="107">
        <v>1</v>
      </c>
      <c r="F53" s="108">
        <v>300</v>
      </c>
      <c r="G53" s="108">
        <f t="shared" si="25"/>
        <v>2000</v>
      </c>
      <c r="H53" s="108">
        <v>2000</v>
      </c>
      <c r="I53" s="128">
        <v>0</v>
      </c>
      <c r="J53" s="108">
        <v>50</v>
      </c>
      <c r="K53" s="108">
        <f t="shared" si="26"/>
        <v>141</v>
      </c>
      <c r="L53" s="108">
        <f t="shared" si="27"/>
        <v>224.19</v>
      </c>
      <c r="M53" s="108">
        <f t="shared" si="28"/>
        <v>2715.19</v>
      </c>
      <c r="N53" s="112">
        <f t="shared" si="24"/>
        <v>2715.19</v>
      </c>
      <c r="O53" s="112"/>
    </row>
    <row r="54" s="99" customFormat="1" ht="15" customHeight="1" spans="1:15">
      <c r="A54" s="106">
        <v>11</v>
      </c>
      <c r="B54" s="106" t="s">
        <v>187</v>
      </c>
      <c r="C54" s="106"/>
      <c r="D54" s="106" t="s">
        <v>188</v>
      </c>
      <c r="E54" s="107"/>
      <c r="F54" s="112"/>
      <c r="G54" s="112"/>
      <c r="H54" s="112"/>
      <c r="I54" s="112"/>
      <c r="J54" s="112"/>
      <c r="K54" s="112"/>
      <c r="L54" s="112"/>
      <c r="M54" s="112"/>
      <c r="N54" s="112">
        <f>SUM(N45:N53)</f>
        <v>62144.6937864898</v>
      </c>
      <c r="O54" s="112"/>
    </row>
  </sheetData>
  <autoFilter xmlns:etc="http://www.wps.cn/officeDocument/2017/etCustomData" ref="A2:O54" etc:filterBottomFollowUsedRange="0">
    <extLst/>
  </autoFilter>
  <mergeCells count="16">
    <mergeCell ref="A1:O1"/>
    <mergeCell ref="F2:L2"/>
    <mergeCell ref="B18:C18"/>
    <mergeCell ref="B29:C29"/>
    <mergeCell ref="B43:C43"/>
    <mergeCell ref="B54:C54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pageMargins left="0.25" right="0.25" top="0.75" bottom="0.75" header="0.298611111111111" footer="0.298611111111111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2"/>
  <sheetViews>
    <sheetView topLeftCell="D5" workbookViewId="0">
      <selection activeCell="O23" sqref="O23"/>
    </sheetView>
  </sheetViews>
  <sheetFormatPr defaultColWidth="9.14285714285714" defaultRowHeight="12.75"/>
  <cols>
    <col min="1" max="1" width="8" style="64" customWidth="1"/>
    <col min="2" max="2" width="27.1428571428571" style="65" customWidth="1"/>
    <col min="4" max="4" width="12.4285714285714" customWidth="1"/>
    <col min="5" max="6" width="13.2857142857143" customWidth="1"/>
    <col min="7" max="7" width="12.5714285714286" customWidth="1"/>
    <col min="9" max="9" width="9.14285714285714" customWidth="1"/>
    <col min="10" max="10" width="22" customWidth="1"/>
    <col min="11" max="11" width="9.14285714285714" customWidth="1"/>
    <col min="12" max="12" width="10.5714285714286" customWidth="1"/>
    <col min="13" max="13" width="9.14285714285714" customWidth="1"/>
    <col min="14" max="14" width="10.5714285714286" customWidth="1"/>
    <col min="15" max="16" width="9.14285714285714" customWidth="1"/>
    <col min="17" max="17" width="9.14285714285714" hidden="1" customWidth="1"/>
    <col min="18" max="18" width="14.5714285714286" hidden="1" customWidth="1"/>
    <col min="19" max="19" width="9.14285714285714" hidden="1" customWidth="1"/>
    <col min="20" max="20" width="9.57142857142857" hidden="1" customWidth="1"/>
    <col min="21" max="21" width="9.14285714285714" hidden="1" customWidth="1"/>
    <col min="22" max="22" width="10.5714285714286" hidden="1" customWidth="1"/>
    <col min="23" max="23" width="9.14285714285714" hidden="1" customWidth="1"/>
    <col min="26" max="26" width="17" customWidth="1"/>
    <col min="28" max="28" width="10.5714285714286"/>
    <col min="30" max="30" width="10.5714285714286"/>
  </cols>
  <sheetData>
    <row r="1" ht="41.1" customHeight="1" spans="1:31">
      <c r="A1" s="66" t="s">
        <v>294</v>
      </c>
      <c r="B1" s="67"/>
      <c r="C1" s="66"/>
      <c r="D1" s="66"/>
      <c r="E1" s="66"/>
      <c r="F1" s="66"/>
      <c r="G1" s="66"/>
      <c r="I1" s="95" t="s">
        <v>295</v>
      </c>
      <c r="J1" s="67"/>
      <c r="K1" s="66"/>
      <c r="L1" s="66"/>
      <c r="M1" s="66"/>
      <c r="N1" s="66"/>
      <c r="O1" s="66"/>
      <c r="Q1" s="95" t="s">
        <v>296</v>
      </c>
      <c r="R1" s="67"/>
      <c r="S1" s="66"/>
      <c r="T1" s="66"/>
      <c r="U1" s="66"/>
      <c r="V1" s="66"/>
      <c r="W1" s="66"/>
      <c r="Y1" s="95" t="s">
        <v>297</v>
      </c>
      <c r="Z1" s="67"/>
      <c r="AA1" s="66"/>
      <c r="AB1" s="66"/>
      <c r="AC1" s="66"/>
      <c r="AD1" s="66"/>
      <c r="AE1" s="66"/>
    </row>
    <row r="2" s="62" customFormat="1" ht="38.1" customHeight="1" spans="1:31">
      <c r="A2" s="68" t="s">
        <v>1</v>
      </c>
      <c r="B2" s="69" t="s">
        <v>57</v>
      </c>
      <c r="C2" s="68" t="s">
        <v>93</v>
      </c>
      <c r="D2" s="68" t="s">
        <v>298</v>
      </c>
      <c r="E2" s="68" t="s">
        <v>299</v>
      </c>
      <c r="F2" s="68" t="s">
        <v>300</v>
      </c>
      <c r="G2" s="68" t="s">
        <v>6</v>
      </c>
      <c r="I2" s="68" t="s">
        <v>1</v>
      </c>
      <c r="J2" s="69" t="s">
        <v>57</v>
      </c>
      <c r="K2" s="68" t="s">
        <v>93</v>
      </c>
      <c r="L2" s="68" t="s">
        <v>298</v>
      </c>
      <c r="M2" s="68" t="s">
        <v>299</v>
      </c>
      <c r="N2" s="68" t="s">
        <v>300</v>
      </c>
      <c r="O2" s="68" t="s">
        <v>6</v>
      </c>
      <c r="Q2" s="68" t="s">
        <v>1</v>
      </c>
      <c r="R2" s="69" t="s">
        <v>57</v>
      </c>
      <c r="S2" s="68" t="s">
        <v>93</v>
      </c>
      <c r="T2" s="68" t="s">
        <v>298</v>
      </c>
      <c r="U2" s="68" t="s">
        <v>299</v>
      </c>
      <c r="V2" s="68" t="s">
        <v>300</v>
      </c>
      <c r="W2" s="68" t="s">
        <v>6</v>
      </c>
      <c r="Y2" s="68" t="s">
        <v>1</v>
      </c>
      <c r="Z2" s="69" t="s">
        <v>57</v>
      </c>
      <c r="AA2" s="68" t="s">
        <v>93</v>
      </c>
      <c r="AB2" s="68" t="s">
        <v>298</v>
      </c>
      <c r="AC2" s="68" t="s">
        <v>299</v>
      </c>
      <c r="AD2" s="68" t="s">
        <v>300</v>
      </c>
      <c r="AE2" s="68" t="s">
        <v>6</v>
      </c>
    </row>
    <row r="3" s="63" customFormat="1" ht="38.1" customHeight="1" spans="1:31">
      <c r="A3" s="68"/>
      <c r="B3" s="70" t="s">
        <v>301</v>
      </c>
      <c r="C3" s="71"/>
      <c r="D3" s="71"/>
      <c r="E3" s="71"/>
      <c r="F3" s="71"/>
      <c r="G3" s="71"/>
      <c r="I3" s="68"/>
      <c r="J3" s="70" t="s">
        <v>301</v>
      </c>
      <c r="K3" s="71"/>
      <c r="L3" s="71"/>
      <c r="M3" s="71"/>
      <c r="N3" s="71"/>
      <c r="O3" s="71"/>
      <c r="Q3" s="68"/>
      <c r="R3" s="70" t="s">
        <v>301</v>
      </c>
      <c r="S3" s="71"/>
      <c r="T3" s="71"/>
      <c r="U3" s="71"/>
      <c r="V3" s="71"/>
      <c r="W3" s="71"/>
      <c r="Y3" s="68"/>
      <c r="Z3" s="70" t="s">
        <v>301</v>
      </c>
      <c r="AA3" s="71"/>
      <c r="AB3" s="71"/>
      <c r="AC3" s="71"/>
      <c r="AD3" s="71"/>
      <c r="AE3" s="71"/>
    </row>
    <row r="4" ht="48.95" customHeight="1" spans="1:31">
      <c r="A4" s="72">
        <v>1</v>
      </c>
      <c r="B4" s="73" t="s">
        <v>302</v>
      </c>
      <c r="C4" s="74" t="s">
        <v>303</v>
      </c>
      <c r="D4" s="75">
        <v>2</v>
      </c>
      <c r="E4" s="75"/>
      <c r="F4" s="75"/>
      <c r="G4" s="75"/>
      <c r="I4" s="72">
        <v>1</v>
      </c>
      <c r="J4" s="73" t="s">
        <v>302</v>
      </c>
      <c r="K4" s="74" t="s">
        <v>303</v>
      </c>
      <c r="L4" s="75">
        <v>2</v>
      </c>
      <c r="M4" s="75"/>
      <c r="N4" s="75"/>
      <c r="O4" s="75"/>
      <c r="Q4" s="72">
        <v>1</v>
      </c>
      <c r="R4" s="73" t="s">
        <v>302</v>
      </c>
      <c r="S4" s="74" t="s">
        <v>303</v>
      </c>
      <c r="T4" s="75">
        <v>2</v>
      </c>
      <c r="U4" s="75"/>
      <c r="V4" s="75"/>
      <c r="W4" s="75"/>
      <c r="Y4" s="72">
        <v>1</v>
      </c>
      <c r="Z4" s="73" t="s">
        <v>302</v>
      </c>
      <c r="AA4" s="74" t="s">
        <v>303</v>
      </c>
      <c r="AB4" s="75">
        <v>2</v>
      </c>
      <c r="AC4" s="75"/>
      <c r="AD4" s="75"/>
      <c r="AE4" s="75"/>
    </row>
    <row r="5" ht="48.95" customHeight="1" spans="1:31">
      <c r="A5" s="72">
        <v>3</v>
      </c>
      <c r="B5" s="76" t="s">
        <v>304</v>
      </c>
      <c r="C5" s="75" t="s">
        <v>165</v>
      </c>
      <c r="D5" s="75">
        <f>5.17*2</f>
        <v>10.34</v>
      </c>
      <c r="E5" s="75">
        <v>30.62</v>
      </c>
      <c r="F5" s="75">
        <f t="shared" ref="F5:F8" si="0">E5*D5</f>
        <v>316.6108</v>
      </c>
      <c r="G5" s="75"/>
      <c r="I5" s="72">
        <v>3</v>
      </c>
      <c r="J5" s="86" t="s">
        <v>304</v>
      </c>
      <c r="K5" s="75" t="s">
        <v>165</v>
      </c>
      <c r="L5" s="75">
        <f>5.17*2</f>
        <v>10.34</v>
      </c>
      <c r="M5" s="75">
        <v>30.62</v>
      </c>
      <c r="N5" s="75">
        <f t="shared" ref="N5:N8" si="1">M5*L5</f>
        <v>316.6108</v>
      </c>
      <c r="O5" s="75"/>
      <c r="Q5" s="72">
        <v>3</v>
      </c>
      <c r="R5" s="86" t="s">
        <v>304</v>
      </c>
      <c r="S5" s="75" t="s">
        <v>165</v>
      </c>
      <c r="T5" s="75">
        <f>5.17*2</f>
        <v>10.34</v>
      </c>
      <c r="U5" s="75">
        <v>30.62</v>
      </c>
      <c r="V5" s="75">
        <f t="shared" ref="V5:V11" si="2">U5*T5</f>
        <v>316.6108</v>
      </c>
      <c r="W5" s="75"/>
      <c r="Y5" s="72">
        <v>3</v>
      </c>
      <c r="Z5" s="86" t="s">
        <v>304</v>
      </c>
      <c r="AA5" s="75" t="s">
        <v>165</v>
      </c>
      <c r="AB5" s="75">
        <f>5.17*2</f>
        <v>10.34</v>
      </c>
      <c r="AC5" s="75">
        <v>30.62</v>
      </c>
      <c r="AD5" s="75">
        <f t="shared" ref="AD5:AD19" si="3">AC5*AB5</f>
        <v>316.6108</v>
      </c>
      <c r="AE5" s="75"/>
    </row>
    <row r="6" ht="48.95" customHeight="1" spans="1:31">
      <c r="A6" s="72">
        <v>4</v>
      </c>
      <c r="B6" s="76" t="s">
        <v>305</v>
      </c>
      <c r="C6" s="75" t="s">
        <v>165</v>
      </c>
      <c r="D6" s="75">
        <f>5.17*8</f>
        <v>41.36</v>
      </c>
      <c r="E6" s="75">
        <v>8</v>
      </c>
      <c r="F6" s="75">
        <f t="shared" si="0"/>
        <v>330.88</v>
      </c>
      <c r="G6" s="75"/>
      <c r="I6" s="72">
        <v>4</v>
      </c>
      <c r="J6" s="86" t="s">
        <v>305</v>
      </c>
      <c r="K6" s="75" t="s">
        <v>165</v>
      </c>
      <c r="L6" s="75">
        <f>5.17*8</f>
        <v>41.36</v>
      </c>
      <c r="M6" s="75">
        <v>8</v>
      </c>
      <c r="N6" s="75">
        <f t="shared" si="1"/>
        <v>330.88</v>
      </c>
      <c r="O6" s="75"/>
      <c r="Q6" s="72">
        <v>4</v>
      </c>
      <c r="R6" s="86" t="s">
        <v>305</v>
      </c>
      <c r="S6" s="75" t="s">
        <v>165</v>
      </c>
      <c r="T6" s="75">
        <f>5.17*8</f>
        <v>41.36</v>
      </c>
      <c r="U6" s="75">
        <v>8</v>
      </c>
      <c r="V6" s="75">
        <f t="shared" si="2"/>
        <v>330.88</v>
      </c>
      <c r="W6" s="75"/>
      <c r="Y6" s="72">
        <v>4</v>
      </c>
      <c r="Z6" s="86" t="s">
        <v>305</v>
      </c>
      <c r="AA6" s="75" t="s">
        <v>165</v>
      </c>
      <c r="AB6" s="75">
        <f>5.17*8</f>
        <v>41.36</v>
      </c>
      <c r="AC6" s="75">
        <v>8</v>
      </c>
      <c r="AD6" s="75">
        <f t="shared" si="3"/>
        <v>330.88</v>
      </c>
      <c r="AE6" s="75"/>
    </row>
    <row r="7" ht="48.95" customHeight="1" spans="1:31">
      <c r="A7" s="72">
        <v>5</v>
      </c>
      <c r="B7" s="76" t="s">
        <v>306</v>
      </c>
      <c r="C7" s="75" t="s">
        <v>165</v>
      </c>
      <c r="D7" s="77">
        <f>(0.858+0.495+0.858+0.675+0.495+0.855)*12</f>
        <v>50.832</v>
      </c>
      <c r="E7" s="75">
        <v>3.06</v>
      </c>
      <c r="F7" s="75">
        <f t="shared" si="0"/>
        <v>155.54592</v>
      </c>
      <c r="G7" s="75"/>
      <c r="I7" s="72">
        <v>5</v>
      </c>
      <c r="J7" s="79" t="s">
        <v>306</v>
      </c>
      <c r="K7" s="75" t="s">
        <v>165</v>
      </c>
      <c r="L7" s="75">
        <f>(0.817+0.495+0.855)*2*12</f>
        <v>52.008</v>
      </c>
      <c r="M7" s="75">
        <v>3.06</v>
      </c>
      <c r="N7" s="75">
        <f t="shared" si="1"/>
        <v>159.14448</v>
      </c>
      <c r="O7" s="75"/>
      <c r="Q7" s="72">
        <v>5</v>
      </c>
      <c r="R7" s="76" t="s">
        <v>306</v>
      </c>
      <c r="S7" s="75" t="s">
        <v>165</v>
      </c>
      <c r="T7" s="77">
        <f>(0.785+0.495+0.855+0.655+0.495+0.858)*12</f>
        <v>49.716</v>
      </c>
      <c r="U7" s="75">
        <v>3.06</v>
      </c>
      <c r="V7" s="75">
        <f t="shared" si="2"/>
        <v>152.13096</v>
      </c>
      <c r="W7" s="75"/>
      <c r="Y7" s="72">
        <v>5</v>
      </c>
      <c r="Z7" s="79" t="s">
        <v>306</v>
      </c>
      <c r="AA7" s="75" t="s">
        <v>165</v>
      </c>
      <c r="AB7" s="75">
        <f>(0.817+0.495+0.855)*2*12</f>
        <v>52.008</v>
      </c>
      <c r="AC7" s="75">
        <v>3.06</v>
      </c>
      <c r="AD7" s="75">
        <f t="shared" si="3"/>
        <v>159.14448</v>
      </c>
      <c r="AE7" s="75"/>
    </row>
    <row r="8" ht="48.95" customHeight="1" spans="1:31">
      <c r="A8" s="72"/>
      <c r="B8" s="76" t="s">
        <v>307</v>
      </c>
      <c r="C8" s="75" t="s">
        <v>165</v>
      </c>
      <c r="D8" s="78">
        <f>(0.157+0.1+0.225+0.229+0.166+0.156+0.25)*3</f>
        <v>3.849</v>
      </c>
      <c r="E8" s="75">
        <v>3.06</v>
      </c>
      <c r="F8" s="75">
        <f t="shared" si="0"/>
        <v>11.77794</v>
      </c>
      <c r="G8" s="75"/>
      <c r="I8" s="72"/>
      <c r="J8" s="79" t="s">
        <v>307</v>
      </c>
      <c r="K8" s="75" t="s">
        <v>165</v>
      </c>
      <c r="L8" s="78">
        <f>(0.157+0.1)*2*3</f>
        <v>1.542</v>
      </c>
      <c r="M8" s="75">
        <v>3.06</v>
      </c>
      <c r="N8" s="75">
        <f t="shared" si="1"/>
        <v>4.71852</v>
      </c>
      <c r="O8" s="75"/>
      <c r="Q8" s="72"/>
      <c r="R8" s="76" t="s">
        <v>307</v>
      </c>
      <c r="S8" s="75" t="s">
        <v>165</v>
      </c>
      <c r="T8" s="78">
        <f>(0.157+0.1+0.225+0.229+0.166+0.156+0.25)*3</f>
        <v>3.849</v>
      </c>
      <c r="U8" s="75">
        <v>3.06</v>
      </c>
      <c r="V8" s="75">
        <f t="shared" si="2"/>
        <v>11.77794</v>
      </c>
      <c r="W8" s="75"/>
      <c r="Y8" s="72"/>
      <c r="Z8" s="79" t="s">
        <v>307</v>
      </c>
      <c r="AA8" s="75" t="s">
        <v>165</v>
      </c>
      <c r="AB8" s="78">
        <f>(0.157+0.1)*2*3</f>
        <v>1.542</v>
      </c>
      <c r="AC8" s="75">
        <v>3.06</v>
      </c>
      <c r="AD8" s="75">
        <f t="shared" si="3"/>
        <v>4.71852</v>
      </c>
      <c r="AE8" s="75"/>
    </row>
    <row r="9" ht="48.95" customHeight="1" spans="1:31">
      <c r="A9" s="72">
        <v>6</v>
      </c>
      <c r="B9" s="76" t="s">
        <v>308</v>
      </c>
      <c r="C9" s="75" t="s">
        <v>165</v>
      </c>
      <c r="D9" s="78">
        <f>(0.11*2+0.185*2+0.085*2)*2*3+(0.64+0.5)*2*2</f>
        <v>9.12</v>
      </c>
      <c r="E9" s="75">
        <v>8</v>
      </c>
      <c r="F9" s="75">
        <f t="shared" ref="F9:F13" si="4">E9*D9</f>
        <v>72.96</v>
      </c>
      <c r="G9" s="75"/>
      <c r="I9" s="72">
        <v>6</v>
      </c>
      <c r="J9" s="86" t="s">
        <v>308</v>
      </c>
      <c r="K9" s="75" t="s">
        <v>165</v>
      </c>
      <c r="L9" s="75">
        <f>(0.185+0.11+0.085)*2*3*2+(0.4+0.4)*2*2</f>
        <v>7.76</v>
      </c>
      <c r="M9" s="75">
        <v>8</v>
      </c>
      <c r="N9" s="75">
        <f t="shared" ref="N9:N11" si="5">M9*L9</f>
        <v>62.08</v>
      </c>
      <c r="O9" s="75"/>
      <c r="Q9" s="72">
        <v>6</v>
      </c>
      <c r="R9" s="76" t="s">
        <v>308</v>
      </c>
      <c r="S9" s="75" t="s">
        <v>165</v>
      </c>
      <c r="T9" s="78">
        <f>(0.11*2+0.185*2+0.085*2)*2*3+(0.6+0.5)*2*2</f>
        <v>8.96</v>
      </c>
      <c r="U9" s="75">
        <v>8</v>
      </c>
      <c r="V9" s="75">
        <f t="shared" si="2"/>
        <v>71.68</v>
      </c>
      <c r="W9" s="75"/>
      <c r="Y9" s="72">
        <v>6</v>
      </c>
      <c r="Z9" s="73" t="s">
        <v>308</v>
      </c>
      <c r="AA9" s="75" t="s">
        <v>165</v>
      </c>
      <c r="AB9" s="75">
        <f>(0.185+0.11+0.085)*2*3*2+(0.4+0.4)*2*2</f>
        <v>7.76</v>
      </c>
      <c r="AC9" s="75">
        <v>8</v>
      </c>
      <c r="AD9" s="75">
        <f t="shared" si="3"/>
        <v>62.08</v>
      </c>
      <c r="AE9" s="75"/>
    </row>
    <row r="10" ht="78" customHeight="1" spans="1:31">
      <c r="A10" s="72">
        <v>7</v>
      </c>
      <c r="B10" s="79" t="s">
        <v>309</v>
      </c>
      <c r="C10" s="74" t="s">
        <v>303</v>
      </c>
      <c r="D10" s="80">
        <f>3*2</f>
        <v>6</v>
      </c>
      <c r="E10" s="75"/>
      <c r="F10" s="75">
        <f t="shared" si="4"/>
        <v>0</v>
      </c>
      <c r="G10" s="75"/>
      <c r="I10" s="72">
        <v>7</v>
      </c>
      <c r="J10" s="73" t="s">
        <v>309</v>
      </c>
      <c r="K10" s="74" t="s">
        <v>303</v>
      </c>
      <c r="L10" s="75">
        <f>6</f>
        <v>6</v>
      </c>
      <c r="M10" s="75"/>
      <c r="N10" s="75">
        <f t="shared" si="5"/>
        <v>0</v>
      </c>
      <c r="O10" s="75"/>
      <c r="Q10" s="72">
        <v>7</v>
      </c>
      <c r="R10" s="79" t="s">
        <v>309</v>
      </c>
      <c r="S10" s="74" t="s">
        <v>303</v>
      </c>
      <c r="T10" s="80">
        <f>3*2</f>
        <v>6</v>
      </c>
      <c r="U10" s="75"/>
      <c r="V10" s="75">
        <f t="shared" si="2"/>
        <v>0</v>
      </c>
      <c r="W10" s="75"/>
      <c r="Y10" s="72">
        <v>7</v>
      </c>
      <c r="Z10" s="73" t="s">
        <v>309</v>
      </c>
      <c r="AA10" s="74" t="s">
        <v>303</v>
      </c>
      <c r="AB10" s="75">
        <f>6</f>
        <v>6</v>
      </c>
      <c r="AC10" s="75"/>
      <c r="AD10" s="75">
        <f t="shared" si="3"/>
        <v>0</v>
      </c>
      <c r="AE10" s="75"/>
    </row>
    <row r="11" ht="78" customHeight="1" spans="1:31">
      <c r="A11" s="72"/>
      <c r="B11" s="76" t="s">
        <v>310</v>
      </c>
      <c r="C11" s="75" t="s">
        <v>165</v>
      </c>
      <c r="D11" s="81">
        <f>(0.117*2+0.117*2+0.067*2)*5+0.167*2*4*2</f>
        <v>5.682</v>
      </c>
      <c r="E11" s="75">
        <v>8</v>
      </c>
      <c r="F11" s="75">
        <f t="shared" si="4"/>
        <v>45.456</v>
      </c>
      <c r="G11" s="75"/>
      <c r="I11" s="72"/>
      <c r="J11" s="76" t="s">
        <v>310</v>
      </c>
      <c r="K11" s="75" t="s">
        <v>165</v>
      </c>
      <c r="L11" s="81">
        <f>(0.117*2+0.117*2+0.067*2)*4+0.167*2*4*2</f>
        <v>5.08</v>
      </c>
      <c r="M11" s="75">
        <v>8</v>
      </c>
      <c r="N11" s="75">
        <f t="shared" si="5"/>
        <v>40.64</v>
      </c>
      <c r="O11" s="75"/>
      <c r="Q11" s="72"/>
      <c r="R11" s="76" t="s">
        <v>310</v>
      </c>
      <c r="S11" s="75" t="s">
        <v>165</v>
      </c>
      <c r="T11" s="81">
        <f>(0.117*2+0.117*2+0.067*2)*7+0.167*2*4*2</f>
        <v>6.886</v>
      </c>
      <c r="U11" s="75">
        <v>8</v>
      </c>
      <c r="V11" s="75">
        <f t="shared" si="2"/>
        <v>55.088</v>
      </c>
      <c r="W11" s="75"/>
      <c r="Y11" s="72"/>
      <c r="Z11" s="79" t="s">
        <v>310</v>
      </c>
      <c r="AA11" s="75" t="s">
        <v>165</v>
      </c>
      <c r="AB11" s="81">
        <f>(0.117*2+0.117*2+0.067*2)*5+0.167*2*10</f>
        <v>6.35</v>
      </c>
      <c r="AC11" s="75">
        <v>8</v>
      </c>
      <c r="AD11" s="75">
        <f t="shared" si="3"/>
        <v>50.8</v>
      </c>
      <c r="AE11" s="75"/>
    </row>
    <row r="12" ht="78" customHeight="1" spans="1:31">
      <c r="A12" s="72"/>
      <c r="B12" s="82" t="s">
        <v>311</v>
      </c>
      <c r="C12" s="74"/>
      <c r="D12" s="75">
        <f>0.21*6</f>
        <v>1.26</v>
      </c>
      <c r="E12" s="75">
        <v>3.06</v>
      </c>
      <c r="F12" s="75">
        <f t="shared" si="4"/>
        <v>3.8556</v>
      </c>
      <c r="G12" s="75"/>
      <c r="I12" s="72"/>
      <c r="J12" s="73" t="s">
        <v>312</v>
      </c>
      <c r="K12" s="74"/>
      <c r="L12" s="75">
        <f>0.21*6</f>
        <v>1.26</v>
      </c>
      <c r="M12" s="75">
        <v>3.06</v>
      </c>
      <c r="N12" s="75">
        <f t="shared" ref="N12:N18" si="6">M12*L12</f>
        <v>3.8556</v>
      </c>
      <c r="O12" s="75"/>
      <c r="Q12" s="72"/>
      <c r="R12" s="73" t="s">
        <v>312</v>
      </c>
      <c r="S12" s="74"/>
      <c r="T12" s="75">
        <f>0.21*6</f>
        <v>1.26</v>
      </c>
      <c r="U12" s="75">
        <v>3.06</v>
      </c>
      <c r="V12" s="75">
        <f t="shared" ref="V12:V17" si="7">U12*T12</f>
        <v>3.8556</v>
      </c>
      <c r="W12" s="75"/>
      <c r="Y12" s="72"/>
      <c r="Z12" s="73" t="s">
        <v>312</v>
      </c>
      <c r="AA12" s="74"/>
      <c r="AB12" s="75">
        <f>0.21*10</f>
        <v>2.1</v>
      </c>
      <c r="AC12" s="75">
        <v>3.06</v>
      </c>
      <c r="AD12" s="75">
        <f t="shared" si="3"/>
        <v>6.426</v>
      </c>
      <c r="AE12" s="75"/>
    </row>
    <row r="13" ht="42" customHeight="1" spans="1:31">
      <c r="A13" s="72"/>
      <c r="B13" s="83" t="s">
        <v>313</v>
      </c>
      <c r="C13" s="74"/>
      <c r="D13" s="75"/>
      <c r="E13" s="75"/>
      <c r="F13" s="75">
        <f t="shared" si="4"/>
        <v>0</v>
      </c>
      <c r="G13" s="75"/>
      <c r="I13" s="72"/>
      <c r="J13" s="96" t="s">
        <v>314</v>
      </c>
      <c r="K13" s="74"/>
      <c r="L13" s="75"/>
      <c r="M13" s="75"/>
      <c r="N13" s="75">
        <f t="shared" si="6"/>
        <v>0</v>
      </c>
      <c r="O13" s="75"/>
      <c r="Q13" s="72"/>
      <c r="R13" s="96" t="s">
        <v>314</v>
      </c>
      <c r="S13" s="74"/>
      <c r="T13" s="75"/>
      <c r="U13" s="75"/>
      <c r="V13" s="75">
        <f t="shared" si="7"/>
        <v>0</v>
      </c>
      <c r="W13" s="75"/>
      <c r="Y13" s="72"/>
      <c r="Z13" s="96" t="s">
        <v>314</v>
      </c>
      <c r="AA13" s="74"/>
      <c r="AB13" s="75"/>
      <c r="AC13" s="75"/>
      <c r="AD13" s="75">
        <f t="shared" si="3"/>
        <v>0</v>
      </c>
      <c r="AE13" s="75"/>
    </row>
    <row r="14" ht="48.95" customHeight="1" spans="1:31">
      <c r="A14" s="72">
        <v>1</v>
      </c>
      <c r="B14" s="76" t="s">
        <v>315</v>
      </c>
      <c r="C14" s="75" t="s">
        <v>165</v>
      </c>
      <c r="D14" s="78">
        <f>(0.547+0.156+0.686)*15+1*2*2+1.05*2*2</f>
        <v>29.035</v>
      </c>
      <c r="E14" s="75">
        <v>3.06</v>
      </c>
      <c r="F14" s="75">
        <f t="shared" ref="F14:F17" si="8">E14*D14</f>
        <v>88.8471</v>
      </c>
      <c r="G14" s="75"/>
      <c r="I14" s="72">
        <v>1</v>
      </c>
      <c r="J14" s="76" t="s">
        <v>315</v>
      </c>
      <c r="K14" s="75" t="s">
        <v>165</v>
      </c>
      <c r="L14" s="78">
        <f>(0.547+0.156+0.686)*14+1*2*2+1.05*2*2</f>
        <v>27.646</v>
      </c>
      <c r="M14" s="75">
        <f>M12</f>
        <v>3.06</v>
      </c>
      <c r="N14" s="75">
        <f t="shared" si="6"/>
        <v>84.59676</v>
      </c>
      <c r="O14" s="75"/>
      <c r="Q14" s="72">
        <v>1</v>
      </c>
      <c r="R14" s="76" t="s">
        <v>315</v>
      </c>
      <c r="S14" s="75" t="s">
        <v>165</v>
      </c>
      <c r="T14" s="78">
        <f>(0.547+0.156+0.686)*17+1*2*2+1.05*2*2</f>
        <v>31.813</v>
      </c>
      <c r="U14" s="75">
        <v>3.06</v>
      </c>
      <c r="V14" s="75">
        <f t="shared" si="7"/>
        <v>97.34778</v>
      </c>
      <c r="W14" s="75"/>
      <c r="Y14" s="72">
        <v>1</v>
      </c>
      <c r="Z14" s="76" t="s">
        <v>315</v>
      </c>
      <c r="AA14" s="75" t="s">
        <v>165</v>
      </c>
      <c r="AB14" s="78">
        <f>(0.547+0.156+0.686)*115+1*2*2+1.05*2*2</f>
        <v>167.935</v>
      </c>
      <c r="AC14" s="75">
        <f>AC12</f>
        <v>3.06</v>
      </c>
      <c r="AD14" s="75">
        <f t="shared" si="3"/>
        <v>513.8811</v>
      </c>
      <c r="AE14" s="75"/>
    </row>
    <row r="15" ht="48.95" customHeight="1" spans="1:31">
      <c r="A15" s="72">
        <v>2</v>
      </c>
      <c r="B15" s="76" t="s">
        <v>305</v>
      </c>
      <c r="C15" s="75" t="s">
        <v>165</v>
      </c>
      <c r="D15" s="81">
        <f>(0.994+0.739)*5+1.05*3*2</f>
        <v>14.965</v>
      </c>
      <c r="E15" s="75">
        <v>8</v>
      </c>
      <c r="F15" s="75">
        <f t="shared" si="8"/>
        <v>119.72</v>
      </c>
      <c r="G15" s="75"/>
      <c r="I15" s="72"/>
      <c r="J15" s="76" t="s">
        <v>305</v>
      </c>
      <c r="K15" s="75" t="s">
        <v>165</v>
      </c>
      <c r="L15" s="81">
        <f>(0.994+0.739)*4+1.05*3*2</f>
        <v>13.232</v>
      </c>
      <c r="M15" s="75">
        <v>8</v>
      </c>
      <c r="N15" s="75">
        <f t="shared" si="6"/>
        <v>105.856</v>
      </c>
      <c r="O15" s="75"/>
      <c r="Q15" s="72"/>
      <c r="R15" s="76" t="s">
        <v>305</v>
      </c>
      <c r="S15" s="75" t="s">
        <v>165</v>
      </c>
      <c r="T15" s="81">
        <f>(0.994+0.739)*7+1.05*3*2</f>
        <v>18.431</v>
      </c>
      <c r="U15" s="75">
        <v>8</v>
      </c>
      <c r="V15" s="75">
        <f t="shared" si="7"/>
        <v>147.448</v>
      </c>
      <c r="W15" s="75"/>
      <c r="Y15" s="72"/>
      <c r="Z15" s="76" t="s">
        <v>305</v>
      </c>
      <c r="AA15" s="75" t="s">
        <v>165</v>
      </c>
      <c r="AB15" s="81">
        <f>(0.994+0.739)*5+1.05*10</f>
        <v>19.165</v>
      </c>
      <c r="AC15" s="75">
        <v>8</v>
      </c>
      <c r="AD15" s="75">
        <f t="shared" si="3"/>
        <v>153.32</v>
      </c>
      <c r="AE15" s="75"/>
    </row>
    <row r="16" ht="48.95" customHeight="1" spans="1:31">
      <c r="A16" s="72"/>
      <c r="B16" s="73" t="s">
        <v>316</v>
      </c>
      <c r="C16" s="74" t="s">
        <v>303</v>
      </c>
      <c r="D16" s="84">
        <f>15+8</f>
        <v>23</v>
      </c>
      <c r="E16" s="75"/>
      <c r="F16" s="75">
        <f t="shared" si="8"/>
        <v>0</v>
      </c>
      <c r="G16" s="75"/>
      <c r="I16" s="72"/>
      <c r="J16" s="73" t="s">
        <v>316</v>
      </c>
      <c r="K16" s="74" t="s">
        <v>303</v>
      </c>
      <c r="L16" s="84">
        <f>3*4+8</f>
        <v>20</v>
      </c>
      <c r="M16" s="75"/>
      <c r="N16" s="75">
        <f t="shared" ref="N16:N20" si="9">M16*L16</f>
        <v>0</v>
      </c>
      <c r="O16" s="75"/>
      <c r="Q16" s="72"/>
      <c r="R16" s="73" t="s">
        <v>316</v>
      </c>
      <c r="S16" s="74" t="s">
        <v>303</v>
      </c>
      <c r="T16" s="84">
        <f>7*3+8</f>
        <v>29</v>
      </c>
      <c r="U16" s="75"/>
      <c r="V16" s="75">
        <f t="shared" si="7"/>
        <v>0</v>
      </c>
      <c r="W16" s="75"/>
      <c r="Y16" s="72"/>
      <c r="Z16" s="73" t="s">
        <v>316</v>
      </c>
      <c r="AA16" s="74" t="s">
        <v>303</v>
      </c>
      <c r="AB16" s="84">
        <f>3*5+10</f>
        <v>25</v>
      </c>
      <c r="AC16" s="75"/>
      <c r="AD16" s="75">
        <f t="shared" si="3"/>
        <v>0</v>
      </c>
      <c r="AE16" s="75"/>
    </row>
    <row r="17" ht="48.95" customHeight="1" spans="1:31">
      <c r="A17" s="72"/>
      <c r="B17" s="73" t="s">
        <v>317</v>
      </c>
      <c r="C17" s="75" t="s">
        <v>165</v>
      </c>
      <c r="D17" s="75">
        <v>5.5</v>
      </c>
      <c r="E17" s="75">
        <v>3.06</v>
      </c>
      <c r="F17" s="75">
        <f t="shared" si="8"/>
        <v>16.83</v>
      </c>
      <c r="G17" s="75"/>
      <c r="I17" s="72"/>
      <c r="J17" s="73" t="s">
        <v>317</v>
      </c>
      <c r="K17" s="75" t="s">
        <v>165</v>
      </c>
      <c r="L17" s="75">
        <f>1.267*3</f>
        <v>3.801</v>
      </c>
      <c r="M17" s="75">
        <v>3.06</v>
      </c>
      <c r="N17" s="75">
        <f t="shared" si="9"/>
        <v>11.63106</v>
      </c>
      <c r="O17" s="75"/>
      <c r="Q17" s="72"/>
      <c r="R17" s="73" t="s">
        <v>317</v>
      </c>
      <c r="S17" s="75" t="s">
        <v>165</v>
      </c>
      <c r="T17" s="75">
        <f>1.15*6</f>
        <v>6.9</v>
      </c>
      <c r="U17" s="75">
        <v>3.06</v>
      </c>
      <c r="V17" s="75">
        <f t="shared" si="7"/>
        <v>21.114</v>
      </c>
      <c r="W17" s="75"/>
      <c r="Y17" s="72"/>
      <c r="Z17" s="73" t="s">
        <v>317</v>
      </c>
      <c r="AA17" s="75" t="s">
        <v>165</v>
      </c>
      <c r="AB17" s="75">
        <f>1.313*4</f>
        <v>5.252</v>
      </c>
      <c r="AC17" s="75">
        <v>3.06</v>
      </c>
      <c r="AD17" s="75">
        <f t="shared" si="3"/>
        <v>16.07112</v>
      </c>
      <c r="AE17" s="75"/>
    </row>
    <row r="18" ht="48.95" customHeight="1" spans="1:31">
      <c r="A18" s="72">
        <v>3</v>
      </c>
      <c r="B18" s="83" t="s">
        <v>318</v>
      </c>
      <c r="C18" s="75"/>
      <c r="D18" s="75"/>
      <c r="E18" s="75"/>
      <c r="F18" s="75"/>
      <c r="G18" s="75"/>
      <c r="I18" s="72"/>
      <c r="J18" s="96" t="s">
        <v>319</v>
      </c>
      <c r="K18" s="75"/>
      <c r="L18" s="75"/>
      <c r="M18" s="75"/>
      <c r="N18" s="75">
        <f t="shared" si="9"/>
        <v>0</v>
      </c>
      <c r="O18" s="75"/>
      <c r="Q18" s="72"/>
      <c r="R18" s="83" t="s">
        <v>318</v>
      </c>
      <c r="S18" s="75"/>
      <c r="T18" s="75"/>
      <c r="U18" s="75"/>
      <c r="V18" s="75"/>
      <c r="W18" s="75"/>
      <c r="Y18" s="72"/>
      <c r="Z18" s="96"/>
      <c r="AA18" s="75"/>
      <c r="AB18" s="75"/>
      <c r="AC18" s="75"/>
      <c r="AD18" s="75">
        <f t="shared" si="3"/>
        <v>0</v>
      </c>
      <c r="AE18" s="75"/>
    </row>
    <row r="19" ht="48.95" customHeight="1" spans="1:31">
      <c r="A19" s="72"/>
      <c r="B19" s="76" t="s">
        <v>320</v>
      </c>
      <c r="C19" s="75" t="s">
        <v>165</v>
      </c>
      <c r="D19" s="78">
        <f>(0.3+0.3+0.16+0.23+0.667)*5</f>
        <v>8.285</v>
      </c>
      <c r="E19" s="75">
        <v>3.06</v>
      </c>
      <c r="F19" s="75">
        <f t="shared" ref="F19:F24" si="10">E19*D19</f>
        <v>25.3521</v>
      </c>
      <c r="G19" s="75"/>
      <c r="I19" s="72"/>
      <c r="J19" s="73" t="s">
        <v>321</v>
      </c>
      <c r="K19" s="75" t="s">
        <v>165</v>
      </c>
      <c r="L19" s="78">
        <f>3.3+3.75*2</f>
        <v>10.8</v>
      </c>
      <c r="M19" s="75">
        <v>3.06</v>
      </c>
      <c r="N19" s="75">
        <f t="shared" si="9"/>
        <v>33.048</v>
      </c>
      <c r="O19" s="75"/>
      <c r="Q19" s="72"/>
      <c r="R19" s="76" t="s">
        <v>320</v>
      </c>
      <c r="S19" s="75" t="s">
        <v>165</v>
      </c>
      <c r="T19" s="78">
        <f>(0.3+0.3+0.16+0.23+0.667)*6</f>
        <v>9.942</v>
      </c>
      <c r="U19" s="75">
        <v>3.06</v>
      </c>
      <c r="V19" s="75">
        <f t="shared" ref="V19:V24" si="11">U19*T19</f>
        <v>30.42252</v>
      </c>
      <c r="W19" s="75"/>
      <c r="Y19" s="72"/>
      <c r="Z19" s="73" t="s">
        <v>321</v>
      </c>
      <c r="AA19" s="75" t="s">
        <v>165</v>
      </c>
      <c r="AB19" s="78">
        <f>14.94</f>
        <v>14.94</v>
      </c>
      <c r="AC19" s="75">
        <v>3.06</v>
      </c>
      <c r="AD19" s="75">
        <f t="shared" si="3"/>
        <v>45.7164</v>
      </c>
      <c r="AE19" s="75"/>
    </row>
    <row r="20" ht="58" customHeight="1" spans="1:31">
      <c r="A20" s="72"/>
      <c r="B20" s="76" t="s">
        <v>322</v>
      </c>
      <c r="C20" s="75" t="s">
        <v>165</v>
      </c>
      <c r="D20" s="75">
        <f>1.313*3*3</f>
        <v>11.817</v>
      </c>
      <c r="E20" s="75">
        <v>3.06</v>
      </c>
      <c r="F20" s="75">
        <f t="shared" si="10"/>
        <v>36.16002</v>
      </c>
      <c r="G20" s="75"/>
      <c r="I20" s="72"/>
      <c r="K20" s="74"/>
      <c r="L20" s="75"/>
      <c r="M20" s="75"/>
      <c r="N20" s="75"/>
      <c r="O20" s="75"/>
      <c r="Q20" s="72"/>
      <c r="R20" s="79" t="s">
        <v>322</v>
      </c>
      <c r="S20" s="75" t="s">
        <v>165</v>
      </c>
      <c r="T20" s="75">
        <f>5.515*3</f>
        <v>16.545</v>
      </c>
      <c r="U20" s="75">
        <v>3.06</v>
      </c>
      <c r="V20" s="75">
        <f t="shared" si="11"/>
        <v>50.6277</v>
      </c>
      <c r="W20" s="75"/>
      <c r="Y20" s="72"/>
      <c r="AA20" s="74"/>
      <c r="AB20" s="75"/>
      <c r="AC20" s="75"/>
      <c r="AD20" s="75"/>
      <c r="AE20" s="75"/>
    </row>
    <row r="21" ht="48.95" customHeight="1" spans="1:31">
      <c r="A21" s="72"/>
      <c r="B21" s="85" t="s">
        <v>323</v>
      </c>
      <c r="C21" s="75"/>
      <c r="D21" s="75"/>
      <c r="E21" s="75"/>
      <c r="F21" s="75">
        <f t="shared" si="10"/>
        <v>0</v>
      </c>
      <c r="G21" s="75"/>
      <c r="I21" s="72"/>
      <c r="J21" s="73"/>
      <c r="K21" s="75"/>
      <c r="L21" s="75"/>
      <c r="M21" s="75"/>
      <c r="N21" s="75"/>
      <c r="O21" s="75"/>
      <c r="Q21" s="72"/>
      <c r="R21" s="85" t="s">
        <v>323</v>
      </c>
      <c r="S21" s="75"/>
      <c r="T21" s="75"/>
      <c r="U21" s="75"/>
      <c r="V21" s="75">
        <f t="shared" si="11"/>
        <v>0</v>
      </c>
      <c r="W21" s="75"/>
      <c r="Y21" s="72"/>
      <c r="Z21" s="73"/>
      <c r="AA21" s="75"/>
      <c r="AB21" s="75"/>
      <c r="AC21" s="75"/>
      <c r="AD21" s="75"/>
      <c r="AE21" s="75"/>
    </row>
    <row r="22" ht="48.95" customHeight="1" spans="1:31">
      <c r="A22" s="72">
        <v>1</v>
      </c>
      <c r="B22" s="73" t="s">
        <v>324</v>
      </c>
      <c r="C22" s="75" t="s">
        <v>165</v>
      </c>
      <c r="D22" s="75">
        <f>2.55*4*2+3.7*3*2</f>
        <v>42.6</v>
      </c>
      <c r="E22" s="75">
        <v>10.21</v>
      </c>
      <c r="F22" s="75">
        <f t="shared" si="10"/>
        <v>434.946</v>
      </c>
      <c r="G22" s="75"/>
      <c r="I22" s="72"/>
      <c r="J22" s="73"/>
      <c r="K22" s="75"/>
      <c r="L22" s="75"/>
      <c r="M22" s="75"/>
      <c r="N22" s="75"/>
      <c r="O22" s="75"/>
      <c r="Q22" s="72"/>
      <c r="R22" s="73" t="s">
        <v>324</v>
      </c>
      <c r="S22" s="75" t="s">
        <v>165</v>
      </c>
      <c r="T22" s="75">
        <f>(2.8*2+3.13*3+4.25*3)*2</f>
        <v>55.48</v>
      </c>
      <c r="U22" s="75">
        <v>10.21</v>
      </c>
      <c r="V22" s="75">
        <f t="shared" si="11"/>
        <v>566.4508</v>
      </c>
      <c r="W22" s="75"/>
      <c r="Y22" s="72"/>
      <c r="Z22" s="73"/>
      <c r="AA22" s="75"/>
      <c r="AB22" s="75"/>
      <c r="AC22" s="75"/>
      <c r="AD22" s="75"/>
      <c r="AE22" s="75"/>
    </row>
    <row r="23" ht="93" customHeight="1" spans="1:31">
      <c r="A23" s="72">
        <v>3</v>
      </c>
      <c r="B23" s="73" t="s">
        <v>325</v>
      </c>
      <c r="C23" s="74" t="s">
        <v>303</v>
      </c>
      <c r="D23" s="84">
        <v>20</v>
      </c>
      <c r="E23" s="75"/>
      <c r="F23" s="75">
        <f t="shared" si="10"/>
        <v>0</v>
      </c>
      <c r="G23" s="75"/>
      <c r="I23" s="72"/>
      <c r="J23" s="73"/>
      <c r="K23" s="74"/>
      <c r="L23" s="75"/>
      <c r="M23" s="75"/>
      <c r="N23" s="75"/>
      <c r="O23" s="75"/>
      <c r="Q23" s="72"/>
      <c r="R23" s="73" t="s">
        <v>325</v>
      </c>
      <c r="S23" s="74" t="s">
        <v>303</v>
      </c>
      <c r="T23" s="84">
        <v>20</v>
      </c>
      <c r="U23" s="75"/>
      <c r="V23" s="75">
        <f t="shared" si="11"/>
        <v>0</v>
      </c>
      <c r="W23" s="75"/>
      <c r="Y23" s="72"/>
      <c r="Z23" s="73"/>
      <c r="AA23" s="74"/>
      <c r="AB23" s="75"/>
      <c r="AC23" s="75"/>
      <c r="AD23" s="75"/>
      <c r="AE23" s="75"/>
    </row>
    <row r="24" ht="44.1" customHeight="1" spans="1:31">
      <c r="A24" s="72"/>
      <c r="B24" s="86" t="s">
        <v>326</v>
      </c>
      <c r="C24" s="75" t="s">
        <v>165</v>
      </c>
      <c r="D24" s="75">
        <v>17.85</v>
      </c>
      <c r="E24" s="75">
        <v>3.06</v>
      </c>
      <c r="F24" s="75">
        <f t="shared" si="10"/>
        <v>54.621</v>
      </c>
      <c r="G24" s="75"/>
      <c r="I24" s="72"/>
      <c r="J24" s="86" t="s">
        <v>326</v>
      </c>
      <c r="K24" s="75" t="s">
        <v>165</v>
      </c>
      <c r="L24" s="75">
        <v>18.99</v>
      </c>
      <c r="M24" s="75">
        <v>3.06</v>
      </c>
      <c r="N24" s="75">
        <f>M24*L24</f>
        <v>58.1094</v>
      </c>
      <c r="O24" s="75"/>
      <c r="Q24" s="72"/>
      <c r="R24" s="86" t="s">
        <v>326</v>
      </c>
      <c r="S24" s="75" t="s">
        <v>165</v>
      </c>
      <c r="T24" s="75">
        <v>19.69</v>
      </c>
      <c r="U24" s="75">
        <v>3.06</v>
      </c>
      <c r="V24" s="75">
        <f t="shared" si="11"/>
        <v>60.2514</v>
      </c>
      <c r="W24" s="75"/>
      <c r="Y24" s="72"/>
      <c r="Z24" s="86" t="s">
        <v>326</v>
      </c>
      <c r="AA24" s="75" t="s">
        <v>165</v>
      </c>
      <c r="AB24" s="75">
        <v>22.12</v>
      </c>
      <c r="AC24" s="75">
        <v>3.06</v>
      </c>
      <c r="AD24" s="75">
        <f>AC24*AB24</f>
        <v>67.6872</v>
      </c>
      <c r="AE24" s="75"/>
    </row>
    <row r="25" ht="26.1" customHeight="1" spans="1:31">
      <c r="A25" s="72"/>
      <c r="B25" s="87" t="s">
        <v>300</v>
      </c>
      <c r="C25" s="75" t="s">
        <v>327</v>
      </c>
      <c r="D25" s="75"/>
      <c r="E25" s="75"/>
      <c r="F25" s="75">
        <f>SUM(F3:F24)</f>
        <v>1713.56248</v>
      </c>
      <c r="G25" s="75"/>
      <c r="I25" s="72"/>
      <c r="J25" s="87" t="s">
        <v>300</v>
      </c>
      <c r="K25" s="75" t="s">
        <v>327</v>
      </c>
      <c r="L25" s="75"/>
      <c r="M25" s="75"/>
      <c r="N25" s="75">
        <f>SUM(N3:N24)</f>
        <v>1211.17062</v>
      </c>
      <c r="O25" s="75"/>
      <c r="Q25" s="72"/>
      <c r="R25" s="87" t="s">
        <v>300</v>
      </c>
      <c r="S25" s="75" t="s">
        <v>327</v>
      </c>
      <c r="T25" s="75"/>
      <c r="U25" s="75"/>
      <c r="V25" s="75">
        <f>SUM(V3:V24)</f>
        <v>1915.6855</v>
      </c>
      <c r="W25" s="75"/>
      <c r="Y25" s="72"/>
      <c r="Z25" s="87" t="s">
        <v>300</v>
      </c>
      <c r="AA25" s="75" t="s">
        <v>327</v>
      </c>
      <c r="AB25" s="75"/>
      <c r="AC25" s="75"/>
      <c r="AD25" s="75">
        <f>SUM(AD3:AD24)</f>
        <v>1727.33562</v>
      </c>
      <c r="AE25" s="75"/>
    </row>
    <row r="29" ht="48" customHeight="1" spans="2:28">
      <c r="B29" s="88" t="s">
        <v>328</v>
      </c>
      <c r="C29" s="89" t="s">
        <v>118</v>
      </c>
      <c r="D29" s="89">
        <v>22.76</v>
      </c>
      <c r="J29" s="88" t="s">
        <v>328</v>
      </c>
      <c r="K29" s="89" t="s">
        <v>118</v>
      </c>
      <c r="L29" s="89">
        <v>12.925</v>
      </c>
      <c r="R29" s="88" t="s">
        <v>328</v>
      </c>
      <c r="S29" s="89" t="s">
        <v>118</v>
      </c>
      <c r="T29" s="89">
        <v>27.43</v>
      </c>
      <c r="Z29" s="88" t="s">
        <v>328</v>
      </c>
      <c r="AA29" s="89" t="s">
        <v>118</v>
      </c>
      <c r="AB29" s="89">
        <v>14.756</v>
      </c>
    </row>
    <row r="30" spans="2:28">
      <c r="B30" s="90" t="s">
        <v>329</v>
      </c>
      <c r="C30" s="89" t="s">
        <v>118</v>
      </c>
      <c r="D30" s="89">
        <f>0.5+6.1*0.4</f>
        <v>2.94</v>
      </c>
      <c r="J30" s="90" t="s">
        <v>329</v>
      </c>
      <c r="K30" s="89" t="s">
        <v>118</v>
      </c>
      <c r="L30" s="89">
        <f>(3.3+3.75*2)*0.12</f>
        <v>1.296</v>
      </c>
      <c r="R30" s="90" t="s">
        <v>329</v>
      </c>
      <c r="S30" s="89" t="s">
        <v>118</v>
      </c>
      <c r="T30" s="89">
        <f>0.5+(2.8*2+2.4)*0.12</f>
        <v>1.46</v>
      </c>
      <c r="Z30" s="90" t="s">
        <v>329</v>
      </c>
      <c r="AA30" s="89" t="s">
        <v>118</v>
      </c>
      <c r="AB30" s="89">
        <f>14.94*0.12</f>
        <v>1.7928</v>
      </c>
    </row>
    <row r="31" spans="2:28">
      <c r="B31" s="90" t="s">
        <v>330</v>
      </c>
      <c r="C31" s="89"/>
      <c r="D31" s="89">
        <f>1.493*1.818*2</f>
        <v>5.428548</v>
      </c>
      <c r="J31" s="90" t="s">
        <v>330</v>
      </c>
      <c r="K31" s="89"/>
      <c r="L31" s="89">
        <f>1.493*3.05*2</f>
        <v>9.1073</v>
      </c>
      <c r="R31" s="90" t="s">
        <v>330</v>
      </c>
      <c r="S31" s="89"/>
      <c r="T31" s="89">
        <f>1.493*2.07*2</f>
        <v>6.18102</v>
      </c>
      <c r="Z31" s="90" t="s">
        <v>330</v>
      </c>
      <c r="AA31" s="89"/>
      <c r="AB31" s="89">
        <f>(2.68+5.48)*1.493</f>
        <v>12.18288</v>
      </c>
    </row>
    <row r="32" spans="2:28">
      <c r="B32" s="90" t="s">
        <v>331</v>
      </c>
      <c r="C32" s="89" t="s">
        <v>118</v>
      </c>
      <c r="D32" s="89">
        <f>0.43*2</f>
        <v>0.86</v>
      </c>
      <c r="J32" s="90" t="s">
        <v>331</v>
      </c>
      <c r="K32" s="89" t="s">
        <v>118</v>
      </c>
      <c r="L32" s="89">
        <f>0.43*2</f>
        <v>0.86</v>
      </c>
      <c r="R32" s="90" t="s">
        <v>331</v>
      </c>
      <c r="S32" s="89" t="s">
        <v>118</v>
      </c>
      <c r="T32" s="89">
        <f>0.43*2</f>
        <v>0.86</v>
      </c>
      <c r="Z32" s="90" t="s">
        <v>331</v>
      </c>
      <c r="AA32" s="89" t="s">
        <v>118</v>
      </c>
      <c r="AB32" s="89">
        <f>0.43*2</f>
        <v>0.86</v>
      </c>
    </row>
    <row r="33" ht="27" customHeight="1" spans="2:28">
      <c r="B33" s="91" t="s">
        <v>332</v>
      </c>
      <c r="C33" t="s">
        <v>118</v>
      </c>
      <c r="D33">
        <f>0.168*2</f>
        <v>0.336</v>
      </c>
      <c r="J33" s="97" t="s">
        <v>332</v>
      </c>
      <c r="K33" t="s">
        <v>118</v>
      </c>
      <c r="L33">
        <f>0.168*2</f>
        <v>0.336</v>
      </c>
      <c r="R33" s="97" t="s">
        <v>332</v>
      </c>
      <c r="S33" t="s">
        <v>118</v>
      </c>
      <c r="T33">
        <f>0.168*2</f>
        <v>0.336</v>
      </c>
      <c r="Z33" s="97" t="s">
        <v>332</v>
      </c>
      <c r="AA33" t="s">
        <v>118</v>
      </c>
      <c r="AB33">
        <f>0.168*2</f>
        <v>0.336</v>
      </c>
    </row>
    <row r="34" ht="24" spans="2:28">
      <c r="B34" s="91" t="s">
        <v>333</v>
      </c>
      <c r="C34" t="s">
        <v>118</v>
      </c>
      <c r="D34">
        <f>0.604*2</f>
        <v>1.208</v>
      </c>
      <c r="J34" s="91" t="s">
        <v>333</v>
      </c>
      <c r="K34" t="s">
        <v>118</v>
      </c>
      <c r="L34">
        <f>0.604*2</f>
        <v>1.208</v>
      </c>
      <c r="R34" s="97" t="s">
        <v>333</v>
      </c>
      <c r="S34" t="s">
        <v>118</v>
      </c>
      <c r="T34">
        <f>0.604*2</f>
        <v>1.208</v>
      </c>
      <c r="Z34" s="91" t="s">
        <v>333</v>
      </c>
      <c r="AA34" t="s">
        <v>118</v>
      </c>
      <c r="AB34">
        <f>0.604*2</f>
        <v>1.208</v>
      </c>
    </row>
    <row r="35" spans="2:28">
      <c r="B35" s="91" t="s">
        <v>334</v>
      </c>
      <c r="C35" t="s">
        <v>118</v>
      </c>
      <c r="D35">
        <f>0.84*(0.8+0.5+1)*2</f>
        <v>3.864</v>
      </c>
      <c r="J35" s="91" t="s">
        <v>334</v>
      </c>
      <c r="K35" t="s">
        <v>118</v>
      </c>
      <c r="L35">
        <f>0.84*(0.8+0.5+1)*2</f>
        <v>3.864</v>
      </c>
      <c r="R35" s="97" t="s">
        <v>334</v>
      </c>
      <c r="S35" t="s">
        <v>118</v>
      </c>
      <c r="T35">
        <f>0.84*(0.8+0.5+1)*2</f>
        <v>3.864</v>
      </c>
      <c r="Z35" s="91" t="s">
        <v>334</v>
      </c>
      <c r="AA35" t="s">
        <v>118</v>
      </c>
      <c r="AB35">
        <f>0.84*(0.8+0.5+1)*2</f>
        <v>3.864</v>
      </c>
    </row>
    <row r="36" spans="18:18">
      <c r="R36" s="65"/>
    </row>
    <row r="37" spans="2:28">
      <c r="B37" s="90" t="s">
        <v>335</v>
      </c>
      <c r="C37" s="89" t="s">
        <v>118</v>
      </c>
      <c r="D37" s="89">
        <f>2.406*1.313*4</f>
        <v>12.636312</v>
      </c>
      <c r="J37" s="90" t="s">
        <v>335</v>
      </c>
      <c r="K37" s="89" t="s">
        <v>118</v>
      </c>
      <c r="L37" s="89">
        <f>2.436*1.267*3</f>
        <v>9.259236</v>
      </c>
      <c r="R37" s="90" t="s">
        <v>335</v>
      </c>
      <c r="S37" s="89" t="s">
        <v>118</v>
      </c>
      <c r="T37" s="89">
        <f>2.406*1.15*6</f>
        <v>16.6014</v>
      </c>
      <c r="Z37" s="90" t="s">
        <v>335</v>
      </c>
      <c r="AA37" s="89" t="s">
        <v>118</v>
      </c>
      <c r="AB37" s="89">
        <f>2.436*1.313*4</f>
        <v>12.793872</v>
      </c>
    </row>
    <row r="38" spans="2:28">
      <c r="B38" s="92" t="s">
        <v>336</v>
      </c>
      <c r="C38" s="89"/>
      <c r="D38" s="93">
        <f>0.363*(3.35+0.25)+0.811*(3.35+0.25)</f>
        <v>4.2264</v>
      </c>
      <c r="J38" s="92" t="s">
        <v>336</v>
      </c>
      <c r="K38" s="89"/>
      <c r="L38" s="93">
        <f>0.4*(3.35+3.35+3.3)</f>
        <v>4</v>
      </c>
      <c r="R38" s="92" t="s">
        <v>336</v>
      </c>
      <c r="S38" s="89"/>
      <c r="T38" s="93">
        <f>0.363*(3.35+0.25)+0.811*(3.35+0.25)</f>
        <v>4.2264</v>
      </c>
      <c r="Z38" s="92" t="s">
        <v>336</v>
      </c>
      <c r="AA38" s="89"/>
      <c r="AB38" s="93">
        <f>0.4*(3.35+3.35+4.72)</f>
        <v>4.568</v>
      </c>
    </row>
    <row r="39" spans="2:28">
      <c r="B39" s="92" t="s">
        <v>337</v>
      </c>
      <c r="C39" s="89"/>
      <c r="D39" s="89">
        <f>1.383*3.45+1.3*0.363</f>
        <v>5.24325</v>
      </c>
      <c r="J39" s="92"/>
      <c r="K39" s="89"/>
      <c r="L39" s="89"/>
      <c r="R39" s="92" t="s">
        <v>337</v>
      </c>
      <c r="S39" s="89"/>
      <c r="T39" s="89">
        <f>1.383*5.15+1.25*0.363</f>
        <v>7.5762</v>
      </c>
      <c r="Z39" s="92"/>
      <c r="AA39" s="89"/>
      <c r="AB39" s="89"/>
    </row>
    <row r="40" spans="2:26">
      <c r="B40" s="94" t="s">
        <v>338</v>
      </c>
      <c r="D40">
        <v>9.25</v>
      </c>
      <c r="J40" s="94"/>
      <c r="R40" s="94" t="s">
        <v>338</v>
      </c>
      <c r="T40">
        <v>11.9</v>
      </c>
      <c r="Z40" s="94"/>
    </row>
    <row r="41" spans="2:26">
      <c r="B41" s="91" t="s">
        <v>339</v>
      </c>
      <c r="D41">
        <f>0.25*1.05*2</f>
        <v>0.525</v>
      </c>
      <c r="J41" s="91" t="s">
        <v>339</v>
      </c>
      <c r="R41" s="91" t="s">
        <v>339</v>
      </c>
      <c r="T41">
        <f>0.25*1.05*2</f>
        <v>0.525</v>
      </c>
      <c r="Z41" s="91" t="s">
        <v>339</v>
      </c>
    </row>
    <row r="42" spans="2:28">
      <c r="B42" s="91" t="s">
        <v>300</v>
      </c>
      <c r="D42">
        <f>SUBTOTAL(9,D29:D41)</f>
        <v>69.27751</v>
      </c>
      <c r="J42" s="91" t="s">
        <v>300</v>
      </c>
      <c r="L42">
        <f>SUBTOTAL(9,L29:L41)</f>
        <v>42.855536</v>
      </c>
      <c r="R42" s="91" t="s">
        <v>300</v>
      </c>
      <c r="T42">
        <f>SUBTOTAL(9,T29:T41)</f>
        <v>82.16802</v>
      </c>
      <c r="Z42" s="91" t="s">
        <v>300</v>
      </c>
      <c r="AB42">
        <f>SUBTOTAL(9,AB29:AB41)</f>
        <v>52.361552</v>
      </c>
    </row>
  </sheetData>
  <autoFilter xmlns:etc="http://www.wps.cn/officeDocument/2017/etCustomData" ref="A2:G25" etc:filterBottomFollowUsedRange="0">
    <extLst/>
  </autoFilter>
  <mergeCells count="4">
    <mergeCell ref="A1:G1"/>
    <mergeCell ref="I1:O1"/>
    <mergeCell ref="Q1:W1"/>
    <mergeCell ref="Y1:AE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6"/>
  <sheetViews>
    <sheetView topLeftCell="A141" workbookViewId="0">
      <selection activeCell="L147" sqref="L147"/>
    </sheetView>
  </sheetViews>
  <sheetFormatPr defaultColWidth="10.2857142857143" defaultRowHeight="13.5"/>
  <cols>
    <col min="1" max="1" width="6.28571428571429" style="1" customWidth="1"/>
    <col min="2" max="2" width="5.85714285714286" style="1" customWidth="1"/>
    <col min="3" max="3" width="11.7142857142857" style="1" customWidth="1"/>
    <col min="4" max="4" width="19.2857142857143" style="1" customWidth="1"/>
    <col min="5" max="5" width="11.4285714285714" style="1" customWidth="1"/>
    <col min="6" max="6" width="10.5428571428571" style="1" customWidth="1"/>
    <col min="7" max="7" width="10.5714285714286" style="1" customWidth="1"/>
    <col min="8" max="8" width="7.57142857142857" style="1" customWidth="1"/>
    <col min="9" max="9" width="10.7142857142857" style="1" customWidth="1"/>
    <col min="10" max="10" width="13.7142857142857" style="1" customWidth="1"/>
    <col min="11" max="16384" width="10.2857142857143" style="1"/>
  </cols>
  <sheetData>
    <row r="1" s="1" customFormat="1" ht="33" customHeight="1" spans="1:10">
      <c r="A1" s="4" t="s">
        <v>340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3" customHeight="1" spans="1:10">
      <c r="A2" s="5" t="s">
        <v>1</v>
      </c>
      <c r="B2" s="5" t="s">
        <v>341</v>
      </c>
      <c r="C2" s="5" t="s">
        <v>342</v>
      </c>
      <c r="D2" s="5" t="s">
        <v>343</v>
      </c>
      <c r="E2" s="5" t="s">
        <v>344</v>
      </c>
      <c r="F2" s="5" t="s">
        <v>93</v>
      </c>
      <c r="G2" s="5" t="s">
        <v>345</v>
      </c>
      <c r="H2" s="5" t="s">
        <v>346</v>
      </c>
      <c r="I2" s="5" t="s">
        <v>347</v>
      </c>
      <c r="J2" s="5" t="s">
        <v>300</v>
      </c>
    </row>
    <row r="3" s="1" customFormat="1" ht="33" customHeight="1" spans="1:10">
      <c r="A3" s="5" t="s">
        <v>62</v>
      </c>
      <c r="B3" s="5"/>
      <c r="C3" s="6"/>
      <c r="D3" s="5" t="s">
        <v>348</v>
      </c>
      <c r="E3" s="6"/>
      <c r="F3" s="6"/>
      <c r="G3" s="5"/>
      <c r="H3" s="5"/>
      <c r="I3" s="5"/>
      <c r="J3" s="5"/>
    </row>
    <row r="4" s="2" customFormat="1" ht="30.95" customHeight="1" spans="1:10">
      <c r="A4" s="7">
        <v>1</v>
      </c>
      <c r="B4" s="8" t="s">
        <v>349</v>
      </c>
      <c r="C4" s="9" t="s">
        <v>143</v>
      </c>
      <c r="D4" s="7" t="s">
        <v>350</v>
      </c>
      <c r="E4" s="10" t="s">
        <v>351</v>
      </c>
      <c r="F4" s="10" t="s">
        <v>118</v>
      </c>
      <c r="G4" s="8">
        <v>3.125</v>
      </c>
      <c r="H4" s="8">
        <v>7</v>
      </c>
      <c r="I4" s="8">
        <v>2</v>
      </c>
      <c r="J4" s="25">
        <f t="shared" ref="J4:J8" si="0">I4*H4*G4</f>
        <v>43.75</v>
      </c>
    </row>
    <row r="5" s="2" customFormat="1" ht="30.95" customHeight="1" spans="1:10">
      <c r="A5" s="7">
        <v>2</v>
      </c>
      <c r="B5" s="8"/>
      <c r="C5" s="9" t="s">
        <v>143</v>
      </c>
      <c r="D5" s="7" t="s">
        <v>352</v>
      </c>
      <c r="E5" s="10" t="s">
        <v>353</v>
      </c>
      <c r="F5" s="10" t="s">
        <v>118</v>
      </c>
      <c r="G5" s="8">
        <f>2.496*2</f>
        <v>4.992</v>
      </c>
      <c r="H5" s="8">
        <v>7</v>
      </c>
      <c r="I5" s="8">
        <v>2</v>
      </c>
      <c r="J5" s="25">
        <f t="shared" si="0"/>
        <v>69.888</v>
      </c>
    </row>
    <row r="6" s="2" customFormat="1" ht="30.95" customHeight="1" spans="1:10">
      <c r="A6" s="7">
        <v>3</v>
      </c>
      <c r="B6" s="8"/>
      <c r="C6" s="11" t="s">
        <v>354</v>
      </c>
      <c r="D6" s="7" t="s">
        <v>253</v>
      </c>
      <c r="E6" s="7" t="s">
        <v>355</v>
      </c>
      <c r="F6" s="7" t="s">
        <v>118</v>
      </c>
      <c r="G6" s="7"/>
      <c r="H6" s="7"/>
      <c r="I6" s="7"/>
      <c r="J6" s="26"/>
    </row>
    <row r="7" s="2" customFormat="1" ht="30.95" customHeight="1" spans="1:10">
      <c r="A7" s="7">
        <v>4</v>
      </c>
      <c r="B7" s="8"/>
      <c r="C7" s="9" t="s">
        <v>143</v>
      </c>
      <c r="D7" s="7" t="s">
        <v>251</v>
      </c>
      <c r="E7" s="7" t="s">
        <v>351</v>
      </c>
      <c r="F7" s="7" t="s">
        <v>118</v>
      </c>
      <c r="G7" s="8">
        <v>14.96</v>
      </c>
      <c r="H7" s="8">
        <v>7</v>
      </c>
      <c r="I7" s="8">
        <v>2</v>
      </c>
      <c r="J7" s="25">
        <f t="shared" si="0"/>
        <v>209.44</v>
      </c>
    </row>
    <row r="8" s="2" customFormat="1" ht="30.95" customHeight="1" spans="1:10">
      <c r="A8" s="7">
        <v>5</v>
      </c>
      <c r="B8" s="8"/>
      <c r="C8" s="9" t="s">
        <v>143</v>
      </c>
      <c r="D8" s="7" t="s">
        <v>356</v>
      </c>
      <c r="E8" s="7" t="s">
        <v>357</v>
      </c>
      <c r="F8" s="7" t="s">
        <v>118</v>
      </c>
      <c r="G8" s="7"/>
      <c r="H8" s="7"/>
      <c r="I8" s="7"/>
      <c r="J8" s="26">
        <f t="shared" si="0"/>
        <v>0</v>
      </c>
    </row>
    <row r="9" s="2" customFormat="1" ht="30.95" customHeight="1" spans="1:12">
      <c r="A9" s="7">
        <v>6</v>
      </c>
      <c r="B9" s="8"/>
      <c r="C9" s="11" t="s">
        <v>151</v>
      </c>
      <c r="D9" s="7" t="s">
        <v>251</v>
      </c>
      <c r="E9" s="7"/>
      <c r="F9" s="7" t="s">
        <v>118</v>
      </c>
      <c r="G9" s="7">
        <f>(1.67*2.65-1.74+5.3*0.1)*2+1.74*2.65-2.64+6.99+1.44*2.65-2.64+9.115-1.34+6.36-2.755+6.28-2.755-0.075+9.115-1.34+0.27</f>
        <v>39.443</v>
      </c>
      <c r="H9" s="8">
        <v>7</v>
      </c>
      <c r="I9" s="8">
        <v>2</v>
      </c>
      <c r="J9" s="27">
        <f>I9*H9*G9+1.74-5.3*0.08</f>
        <v>553.518</v>
      </c>
      <c r="K9" s="2" t="s">
        <v>358</v>
      </c>
      <c r="L9" s="2" t="s">
        <v>359</v>
      </c>
    </row>
    <row r="10" s="2" customFormat="1" ht="30.95" customHeight="1" spans="1:10">
      <c r="A10" s="7">
        <v>7</v>
      </c>
      <c r="B10" s="8"/>
      <c r="C10" s="11" t="s">
        <v>360</v>
      </c>
      <c r="D10" s="7"/>
      <c r="E10" s="7"/>
      <c r="F10" s="7" t="s">
        <v>165</v>
      </c>
      <c r="G10" s="7"/>
      <c r="H10" s="7"/>
      <c r="I10" s="7"/>
      <c r="J10" s="26"/>
    </row>
    <row r="11" s="2" customFormat="1" ht="30.95" customHeight="1" spans="1:10">
      <c r="A11" s="7">
        <v>8</v>
      </c>
      <c r="B11" s="8"/>
      <c r="C11" s="11" t="s">
        <v>259</v>
      </c>
      <c r="D11" s="7"/>
      <c r="E11" s="7"/>
      <c r="F11" s="7" t="s">
        <v>165</v>
      </c>
      <c r="G11" s="12">
        <f>7.06+4.56+6.8+9.26</f>
        <v>27.68</v>
      </c>
      <c r="H11" s="7">
        <v>7</v>
      </c>
      <c r="I11" s="7">
        <v>2</v>
      </c>
      <c r="J11" s="27">
        <f t="shared" ref="J11:J39" si="1">I11*H11*G11</f>
        <v>387.52</v>
      </c>
    </row>
    <row r="12" s="2" customFormat="1" ht="30.95" customHeight="1" spans="1:10">
      <c r="A12" s="7">
        <v>9</v>
      </c>
      <c r="B12" s="8"/>
      <c r="C12" s="11" t="s">
        <v>160</v>
      </c>
      <c r="D12" s="7"/>
      <c r="E12" s="7"/>
      <c r="F12" s="7" t="s">
        <v>99</v>
      </c>
      <c r="G12" s="8">
        <v>2</v>
      </c>
      <c r="H12" s="7">
        <v>7</v>
      </c>
      <c r="I12" s="7">
        <v>2</v>
      </c>
      <c r="J12" s="26">
        <f t="shared" si="1"/>
        <v>28</v>
      </c>
    </row>
    <row r="13" s="2" customFormat="1" ht="30.95" customHeight="1" spans="1:10">
      <c r="A13" s="7">
        <v>1</v>
      </c>
      <c r="B13" s="7" t="s">
        <v>361</v>
      </c>
      <c r="C13" s="9" t="s">
        <v>143</v>
      </c>
      <c r="D13" s="7" t="s">
        <v>350</v>
      </c>
      <c r="E13" s="10"/>
      <c r="F13" s="10" t="s">
        <v>118</v>
      </c>
      <c r="G13" s="13">
        <v>3.25</v>
      </c>
      <c r="H13" s="7">
        <v>6</v>
      </c>
      <c r="I13" s="7">
        <v>3</v>
      </c>
      <c r="J13" s="25">
        <f t="shared" si="1"/>
        <v>58.5</v>
      </c>
    </row>
    <row r="14" s="2" customFormat="1" ht="30.95" customHeight="1" spans="1:10">
      <c r="A14" s="7"/>
      <c r="B14" s="7"/>
      <c r="C14" s="9" t="s">
        <v>143</v>
      </c>
      <c r="D14" s="7" t="s">
        <v>362</v>
      </c>
      <c r="E14" s="10"/>
      <c r="F14" s="10" t="s">
        <v>118</v>
      </c>
      <c r="G14" s="13">
        <v>7.21</v>
      </c>
      <c r="H14" s="7">
        <v>1</v>
      </c>
      <c r="I14" s="7">
        <v>3</v>
      </c>
      <c r="J14" s="25">
        <f t="shared" si="1"/>
        <v>21.63</v>
      </c>
    </row>
    <row r="15" s="2" customFormat="1" ht="30.95" customHeight="1" spans="1:10">
      <c r="A15" s="7">
        <v>2</v>
      </c>
      <c r="B15" s="7"/>
      <c r="C15" s="9" t="s">
        <v>143</v>
      </c>
      <c r="D15" s="7" t="s">
        <v>352</v>
      </c>
      <c r="E15" s="10"/>
      <c r="F15" s="10" t="s">
        <v>118</v>
      </c>
      <c r="G15" s="8">
        <f>2.496*2</f>
        <v>4.992</v>
      </c>
      <c r="H15" s="7">
        <v>6</v>
      </c>
      <c r="I15" s="7">
        <v>3</v>
      </c>
      <c r="J15" s="25">
        <f t="shared" si="1"/>
        <v>89.856</v>
      </c>
    </row>
    <row r="16" s="2" customFormat="1" ht="30.95" customHeight="1" spans="1:10">
      <c r="A16" s="7"/>
      <c r="B16" s="7"/>
      <c r="C16" s="9" t="s">
        <v>143</v>
      </c>
      <c r="D16" s="7" t="s">
        <v>363</v>
      </c>
      <c r="E16" s="10"/>
      <c r="F16" s="10" t="s">
        <v>118</v>
      </c>
      <c r="G16" s="8">
        <f>(2.6+1.33)*1.2</f>
        <v>4.716</v>
      </c>
      <c r="H16" s="7">
        <v>1</v>
      </c>
      <c r="I16" s="7">
        <v>3</v>
      </c>
      <c r="J16" s="25">
        <f t="shared" si="1"/>
        <v>14.148</v>
      </c>
    </row>
    <row r="17" s="2" customFormat="1" ht="30.95" customHeight="1" spans="1:10">
      <c r="A17" s="7">
        <v>3</v>
      </c>
      <c r="B17" s="7"/>
      <c r="C17" s="9" t="s">
        <v>143</v>
      </c>
      <c r="D17" s="7" t="s">
        <v>251</v>
      </c>
      <c r="E17" s="10"/>
      <c r="F17" s="7" t="s">
        <v>118</v>
      </c>
      <c r="G17" s="14">
        <v>8.846</v>
      </c>
      <c r="H17" s="7">
        <v>7</v>
      </c>
      <c r="I17" s="7">
        <v>3</v>
      </c>
      <c r="J17" s="25">
        <f t="shared" si="1"/>
        <v>185.766</v>
      </c>
    </row>
    <row r="18" s="2" customFormat="1" ht="30.95" customHeight="1" spans="1:10">
      <c r="A18" s="7">
        <v>4</v>
      </c>
      <c r="B18" s="7"/>
      <c r="C18" s="9" t="s">
        <v>143</v>
      </c>
      <c r="D18" s="7" t="s">
        <v>356</v>
      </c>
      <c r="E18" s="10"/>
      <c r="F18" s="7" t="s">
        <v>118</v>
      </c>
      <c r="G18" s="14"/>
      <c r="H18" s="7"/>
      <c r="I18" s="7"/>
      <c r="J18" s="26">
        <f t="shared" si="1"/>
        <v>0</v>
      </c>
    </row>
    <row r="19" s="2" customFormat="1" ht="30.95" customHeight="1" spans="1:10">
      <c r="A19" s="7">
        <v>5</v>
      </c>
      <c r="B19" s="7"/>
      <c r="C19" s="11" t="s">
        <v>151</v>
      </c>
      <c r="D19" s="7" t="s">
        <v>251</v>
      </c>
      <c r="E19" s="10"/>
      <c r="F19" s="7" t="s">
        <v>118</v>
      </c>
      <c r="G19" s="14">
        <f>13.415-2-2-5.88+3.236+13.415-2.3*2-2.714+3.236</f>
        <v>16.108</v>
      </c>
      <c r="H19" s="7">
        <v>7</v>
      </c>
      <c r="I19" s="7">
        <v>3</v>
      </c>
      <c r="J19" s="27">
        <f t="shared" si="1"/>
        <v>338.268</v>
      </c>
    </row>
    <row r="20" s="2" customFormat="1" ht="30.95" customHeight="1" spans="1:10">
      <c r="A20" s="7">
        <v>6</v>
      </c>
      <c r="B20" s="7"/>
      <c r="C20" s="11" t="s">
        <v>360</v>
      </c>
      <c r="D20" s="7" t="s">
        <v>360</v>
      </c>
      <c r="E20" s="10"/>
      <c r="F20" s="7" t="s">
        <v>165</v>
      </c>
      <c r="G20" s="14"/>
      <c r="H20" s="7">
        <v>7</v>
      </c>
      <c r="I20" s="7">
        <v>3</v>
      </c>
      <c r="J20" s="26">
        <f t="shared" si="1"/>
        <v>0</v>
      </c>
    </row>
    <row r="21" s="2" customFormat="1" ht="30.95" customHeight="1" spans="1:10">
      <c r="A21" s="7">
        <v>7</v>
      </c>
      <c r="B21" s="7"/>
      <c r="C21" s="11" t="s">
        <v>354</v>
      </c>
      <c r="D21" s="7" t="s">
        <v>253</v>
      </c>
      <c r="E21" s="10"/>
      <c r="F21" s="7" t="s">
        <v>118</v>
      </c>
      <c r="G21" s="15"/>
      <c r="H21" s="7">
        <v>7</v>
      </c>
      <c r="I21" s="7">
        <v>3</v>
      </c>
      <c r="J21" s="26">
        <f t="shared" si="1"/>
        <v>0</v>
      </c>
    </row>
    <row r="22" s="2" customFormat="1" ht="30.95" customHeight="1" spans="1:10">
      <c r="A22" s="7">
        <v>8</v>
      </c>
      <c r="B22" s="7"/>
      <c r="C22" s="11" t="s">
        <v>259</v>
      </c>
      <c r="D22" s="7" t="s">
        <v>259</v>
      </c>
      <c r="E22" s="10"/>
      <c r="F22" s="7" t="s">
        <v>165</v>
      </c>
      <c r="G22" s="14">
        <v>14.02</v>
      </c>
      <c r="H22" s="7">
        <v>7</v>
      </c>
      <c r="I22" s="7">
        <v>3</v>
      </c>
      <c r="J22" s="27">
        <f t="shared" si="1"/>
        <v>294.42</v>
      </c>
    </row>
    <row r="23" s="2" customFormat="1" ht="30.95" customHeight="1" spans="1:10">
      <c r="A23" s="7">
        <v>9</v>
      </c>
      <c r="B23" s="7"/>
      <c r="C23" s="11" t="s">
        <v>160</v>
      </c>
      <c r="D23" s="7" t="s">
        <v>160</v>
      </c>
      <c r="E23" s="10"/>
      <c r="F23" s="7" t="s">
        <v>99</v>
      </c>
      <c r="G23" s="14">
        <v>1</v>
      </c>
      <c r="H23" s="7">
        <v>7</v>
      </c>
      <c r="I23" s="7">
        <v>3</v>
      </c>
      <c r="J23" s="26">
        <f t="shared" si="1"/>
        <v>21</v>
      </c>
    </row>
    <row r="24" s="2" customFormat="1" ht="30.95" customHeight="1" spans="1:10">
      <c r="A24" s="7">
        <v>1</v>
      </c>
      <c r="B24" s="7" t="s">
        <v>364</v>
      </c>
      <c r="C24" s="9" t="s">
        <v>143</v>
      </c>
      <c r="D24" s="7" t="s">
        <v>350</v>
      </c>
      <c r="E24" s="10"/>
      <c r="F24" s="10" t="s">
        <v>118</v>
      </c>
      <c r="G24" s="13">
        <v>3.25</v>
      </c>
      <c r="H24" s="7">
        <v>6</v>
      </c>
      <c r="I24" s="7">
        <v>3</v>
      </c>
      <c r="J24" s="25">
        <f t="shared" si="1"/>
        <v>58.5</v>
      </c>
    </row>
    <row r="25" s="2" customFormat="1" ht="30.95" customHeight="1" spans="1:10">
      <c r="A25" s="7"/>
      <c r="B25" s="7"/>
      <c r="C25" s="9" t="s">
        <v>143</v>
      </c>
      <c r="D25" s="7" t="s">
        <v>362</v>
      </c>
      <c r="E25" s="10"/>
      <c r="F25" s="10" t="s">
        <v>118</v>
      </c>
      <c r="G25" s="13">
        <v>7.21</v>
      </c>
      <c r="H25" s="7">
        <v>1</v>
      </c>
      <c r="I25" s="7">
        <v>3</v>
      </c>
      <c r="J25" s="25">
        <f t="shared" si="1"/>
        <v>21.63</v>
      </c>
    </row>
    <row r="26" s="2" customFormat="1" ht="30.95" customHeight="1" spans="1:10">
      <c r="A26" s="7">
        <v>2</v>
      </c>
      <c r="B26" s="7"/>
      <c r="C26" s="9" t="s">
        <v>143</v>
      </c>
      <c r="D26" s="7" t="s">
        <v>352</v>
      </c>
      <c r="E26" s="10"/>
      <c r="F26" s="10" t="s">
        <v>118</v>
      </c>
      <c r="G26" s="8">
        <f>2.496*2</f>
        <v>4.992</v>
      </c>
      <c r="H26" s="7">
        <v>6</v>
      </c>
      <c r="I26" s="7">
        <v>3</v>
      </c>
      <c r="J26" s="25">
        <f t="shared" si="1"/>
        <v>89.856</v>
      </c>
    </row>
    <row r="27" s="2" customFormat="1" ht="30.95" customHeight="1" spans="1:10">
      <c r="A27" s="7"/>
      <c r="B27" s="7"/>
      <c r="C27" s="9" t="s">
        <v>143</v>
      </c>
      <c r="D27" s="7" t="s">
        <v>363</v>
      </c>
      <c r="E27" s="10"/>
      <c r="F27" s="10" t="s">
        <v>118</v>
      </c>
      <c r="G27" s="8">
        <f>(2.6+1.33)*1.2</f>
        <v>4.716</v>
      </c>
      <c r="H27" s="7">
        <v>1</v>
      </c>
      <c r="I27" s="7">
        <v>3</v>
      </c>
      <c r="J27" s="25">
        <f t="shared" si="1"/>
        <v>14.148</v>
      </c>
    </row>
    <row r="28" s="2" customFormat="1" ht="30.95" customHeight="1" spans="1:10">
      <c r="A28" s="7">
        <v>3</v>
      </c>
      <c r="B28" s="7"/>
      <c r="C28" s="9" t="s">
        <v>143</v>
      </c>
      <c r="D28" s="7" t="s">
        <v>251</v>
      </c>
      <c r="E28" s="10"/>
      <c r="F28" s="7" t="s">
        <v>118</v>
      </c>
      <c r="G28" s="14">
        <v>8.846</v>
      </c>
      <c r="H28" s="7">
        <v>7</v>
      </c>
      <c r="I28" s="7">
        <v>3</v>
      </c>
      <c r="J28" s="25">
        <f t="shared" si="1"/>
        <v>185.766</v>
      </c>
    </row>
    <row r="29" s="2" customFormat="1" ht="30.95" customHeight="1" spans="1:10">
      <c r="A29" s="7">
        <v>4</v>
      </c>
      <c r="B29" s="7"/>
      <c r="C29" s="9" t="s">
        <v>143</v>
      </c>
      <c r="D29" s="7" t="s">
        <v>356</v>
      </c>
      <c r="E29" s="10"/>
      <c r="F29" s="7" t="s">
        <v>118</v>
      </c>
      <c r="G29" s="14"/>
      <c r="H29" s="7"/>
      <c r="I29" s="7">
        <v>3</v>
      </c>
      <c r="J29" s="26">
        <f t="shared" si="1"/>
        <v>0</v>
      </c>
    </row>
    <row r="30" s="2" customFormat="1" ht="30.95" customHeight="1" spans="1:10">
      <c r="A30" s="7">
        <v>5</v>
      </c>
      <c r="B30" s="7"/>
      <c r="C30" s="11" t="s">
        <v>151</v>
      </c>
      <c r="D30" s="7" t="s">
        <v>251</v>
      </c>
      <c r="E30" s="10"/>
      <c r="F30" s="7" t="s">
        <v>118</v>
      </c>
      <c r="G30" s="14">
        <f>13.415-2-2-5.88+3.236+13.415-2.3*2-2.714+3.236</f>
        <v>16.108</v>
      </c>
      <c r="H30" s="7">
        <v>7</v>
      </c>
      <c r="I30" s="7">
        <v>3</v>
      </c>
      <c r="J30" s="27">
        <f t="shared" si="1"/>
        <v>338.268</v>
      </c>
    </row>
    <row r="31" s="2" customFormat="1" ht="30.95" customHeight="1" spans="1:10">
      <c r="A31" s="7">
        <v>6</v>
      </c>
      <c r="B31" s="7"/>
      <c r="C31" s="11" t="s">
        <v>360</v>
      </c>
      <c r="D31" s="7" t="s">
        <v>360</v>
      </c>
      <c r="E31" s="10"/>
      <c r="F31" s="7" t="s">
        <v>165</v>
      </c>
      <c r="G31" s="14"/>
      <c r="H31" s="7">
        <v>7</v>
      </c>
      <c r="I31" s="7">
        <v>3</v>
      </c>
      <c r="J31" s="26">
        <f t="shared" si="1"/>
        <v>0</v>
      </c>
    </row>
    <row r="32" s="2" customFormat="1" ht="30.95" customHeight="1" spans="1:10">
      <c r="A32" s="7">
        <v>7</v>
      </c>
      <c r="B32" s="7"/>
      <c r="C32" s="11" t="s">
        <v>354</v>
      </c>
      <c r="D32" s="7" t="s">
        <v>253</v>
      </c>
      <c r="E32" s="10"/>
      <c r="F32" s="7" t="s">
        <v>118</v>
      </c>
      <c r="G32" s="15"/>
      <c r="H32" s="7">
        <v>7</v>
      </c>
      <c r="I32" s="7">
        <v>3</v>
      </c>
      <c r="J32" s="26">
        <f t="shared" si="1"/>
        <v>0</v>
      </c>
    </row>
    <row r="33" s="2" customFormat="1" ht="30.95" customHeight="1" spans="1:10">
      <c r="A33" s="7">
        <v>8</v>
      </c>
      <c r="B33" s="7"/>
      <c r="C33" s="11" t="s">
        <v>259</v>
      </c>
      <c r="D33" s="7" t="s">
        <v>259</v>
      </c>
      <c r="E33" s="10"/>
      <c r="F33" s="7" t="s">
        <v>165</v>
      </c>
      <c r="G33" s="14">
        <v>14.02</v>
      </c>
      <c r="H33" s="7">
        <v>7</v>
      </c>
      <c r="I33" s="7">
        <v>3</v>
      </c>
      <c r="J33" s="27">
        <f t="shared" si="1"/>
        <v>294.42</v>
      </c>
    </row>
    <row r="34" s="2" customFormat="1" ht="30.95" customHeight="1" spans="1:10">
      <c r="A34" s="7">
        <v>9</v>
      </c>
      <c r="B34" s="7"/>
      <c r="C34" s="11" t="s">
        <v>160</v>
      </c>
      <c r="D34" s="7" t="s">
        <v>160</v>
      </c>
      <c r="E34" s="10"/>
      <c r="F34" s="7" t="s">
        <v>99</v>
      </c>
      <c r="G34" s="14">
        <v>1</v>
      </c>
      <c r="H34" s="7">
        <v>7</v>
      </c>
      <c r="I34" s="7">
        <v>3</v>
      </c>
      <c r="J34" s="26">
        <f t="shared" si="1"/>
        <v>21</v>
      </c>
    </row>
    <row r="35" s="2" customFormat="1" ht="30.95" customHeight="1" spans="1:10">
      <c r="A35" s="7">
        <v>1</v>
      </c>
      <c r="B35" s="16" t="s">
        <v>365</v>
      </c>
      <c r="C35" s="9" t="s">
        <v>143</v>
      </c>
      <c r="D35" s="7" t="s">
        <v>350</v>
      </c>
      <c r="E35" s="10" t="s">
        <v>351</v>
      </c>
      <c r="F35" s="10" t="s">
        <v>118</v>
      </c>
      <c r="G35" s="8">
        <v>3.125</v>
      </c>
      <c r="H35" s="7">
        <v>7</v>
      </c>
      <c r="I35" s="7">
        <v>2</v>
      </c>
      <c r="J35" s="25">
        <f t="shared" si="1"/>
        <v>43.75</v>
      </c>
    </row>
    <row r="36" s="2" customFormat="1" ht="30.95" customHeight="1" spans="1:10">
      <c r="A36" s="7">
        <v>2</v>
      </c>
      <c r="B36" s="16"/>
      <c r="C36" s="9" t="s">
        <v>143</v>
      </c>
      <c r="D36" s="7" t="s">
        <v>352</v>
      </c>
      <c r="E36" s="10" t="s">
        <v>353</v>
      </c>
      <c r="F36" s="10" t="s">
        <v>118</v>
      </c>
      <c r="G36" s="8">
        <f>2.496*2</f>
        <v>4.992</v>
      </c>
      <c r="H36" s="7">
        <v>7</v>
      </c>
      <c r="I36" s="7">
        <v>2</v>
      </c>
      <c r="J36" s="25">
        <f t="shared" si="1"/>
        <v>69.888</v>
      </c>
    </row>
    <row r="37" s="2" customFormat="1" ht="30.95" customHeight="1" spans="1:10">
      <c r="A37" s="7">
        <v>3</v>
      </c>
      <c r="B37" s="16"/>
      <c r="C37" s="11" t="s">
        <v>354</v>
      </c>
      <c r="D37" s="7" t="s">
        <v>253</v>
      </c>
      <c r="E37" s="7" t="s">
        <v>355</v>
      </c>
      <c r="F37" s="7" t="s">
        <v>118</v>
      </c>
      <c r="G37" s="7"/>
      <c r="H37" s="7">
        <v>7</v>
      </c>
      <c r="I37" s="7">
        <v>2</v>
      </c>
      <c r="J37" s="26">
        <f t="shared" si="1"/>
        <v>0</v>
      </c>
    </row>
    <row r="38" s="2" customFormat="1" ht="30.95" customHeight="1" spans="1:10">
      <c r="A38" s="7">
        <v>4</v>
      </c>
      <c r="B38" s="16"/>
      <c r="C38" s="9" t="s">
        <v>143</v>
      </c>
      <c r="D38" s="7" t="s">
        <v>251</v>
      </c>
      <c r="E38" s="7" t="s">
        <v>351</v>
      </c>
      <c r="F38" s="7" t="s">
        <v>118</v>
      </c>
      <c r="G38" s="8">
        <v>14.96</v>
      </c>
      <c r="H38" s="7">
        <v>7</v>
      </c>
      <c r="I38" s="7">
        <v>2</v>
      </c>
      <c r="J38" s="25">
        <f t="shared" si="1"/>
        <v>209.44</v>
      </c>
    </row>
    <row r="39" s="2" customFormat="1" ht="30.95" customHeight="1" spans="1:10">
      <c r="A39" s="7">
        <v>5</v>
      </c>
      <c r="B39" s="16"/>
      <c r="C39" s="9" t="s">
        <v>143</v>
      </c>
      <c r="D39" s="7" t="s">
        <v>356</v>
      </c>
      <c r="E39" s="7" t="s">
        <v>357</v>
      </c>
      <c r="F39" s="7" t="s">
        <v>118</v>
      </c>
      <c r="G39" s="7"/>
      <c r="H39" s="7">
        <v>7</v>
      </c>
      <c r="I39" s="7">
        <v>2</v>
      </c>
      <c r="J39" s="26">
        <f t="shared" si="1"/>
        <v>0</v>
      </c>
    </row>
    <row r="40" s="2" customFormat="1" ht="30.95" customHeight="1" spans="1:12">
      <c r="A40" s="7">
        <v>6</v>
      </c>
      <c r="B40" s="16"/>
      <c r="C40" s="11" t="s">
        <v>151</v>
      </c>
      <c r="D40" s="7" t="s">
        <v>251</v>
      </c>
      <c r="E40" s="7"/>
      <c r="F40" s="7" t="s">
        <v>118</v>
      </c>
      <c r="G40" s="7">
        <f>(1.67*2.65-1.74+5.3*0.1)*2+1.74*2.65-2.64+6.99+1.44*2.65-2.64+9.115-1.34+6.36-2.755+6.28-2.755-0.075+9.115-1.34+0.27</f>
        <v>39.443</v>
      </c>
      <c r="H40" s="7">
        <v>7</v>
      </c>
      <c r="I40" s="7">
        <v>2</v>
      </c>
      <c r="J40" s="27">
        <f>I40*H40*G40+1.74-5.3*0.08</f>
        <v>553.518</v>
      </c>
      <c r="K40" s="2" t="s">
        <v>358</v>
      </c>
      <c r="L40" s="2" t="s">
        <v>359</v>
      </c>
    </row>
    <row r="41" s="2" customFormat="1" ht="30.95" customHeight="1" spans="1:10">
      <c r="A41" s="7">
        <v>7</v>
      </c>
      <c r="B41" s="16"/>
      <c r="C41" s="11" t="s">
        <v>360</v>
      </c>
      <c r="D41" s="7"/>
      <c r="E41" s="7"/>
      <c r="F41" s="7" t="s">
        <v>165</v>
      </c>
      <c r="G41" s="7"/>
      <c r="H41" s="7">
        <v>7</v>
      </c>
      <c r="I41" s="7">
        <v>2</v>
      </c>
      <c r="J41" s="26">
        <f t="shared" ref="J41:J48" si="2">I41*H41*G41</f>
        <v>0</v>
      </c>
    </row>
    <row r="42" s="2" customFormat="1" ht="30.95" customHeight="1" spans="1:10">
      <c r="A42" s="7">
        <v>8</v>
      </c>
      <c r="B42" s="16"/>
      <c r="C42" s="11" t="s">
        <v>259</v>
      </c>
      <c r="D42" s="7"/>
      <c r="E42" s="7"/>
      <c r="F42" s="7" t="s">
        <v>165</v>
      </c>
      <c r="G42" s="12">
        <f>7.06+4.56+6.8+9.26</f>
        <v>27.68</v>
      </c>
      <c r="H42" s="7">
        <v>7</v>
      </c>
      <c r="I42" s="7">
        <v>2</v>
      </c>
      <c r="J42" s="27">
        <f t="shared" si="2"/>
        <v>387.52</v>
      </c>
    </row>
    <row r="43" s="2" customFormat="1" ht="30.95" customHeight="1" spans="1:10">
      <c r="A43" s="7">
        <v>9</v>
      </c>
      <c r="B43" s="16"/>
      <c r="C43" s="11" t="s">
        <v>160</v>
      </c>
      <c r="D43" s="7"/>
      <c r="E43" s="7"/>
      <c r="F43" s="7" t="s">
        <v>99</v>
      </c>
      <c r="G43" s="8">
        <v>2</v>
      </c>
      <c r="H43" s="7">
        <v>7</v>
      </c>
      <c r="I43" s="7">
        <v>2</v>
      </c>
      <c r="J43" s="26">
        <f t="shared" si="2"/>
        <v>28</v>
      </c>
    </row>
    <row r="44" s="2" customFormat="1" ht="29.1" customHeight="1" spans="1:10">
      <c r="A44" s="7">
        <v>1</v>
      </c>
      <c r="B44" s="7" t="s">
        <v>366</v>
      </c>
      <c r="C44" s="9" t="s">
        <v>143</v>
      </c>
      <c r="D44" s="7" t="s">
        <v>350</v>
      </c>
      <c r="E44" s="10" t="s">
        <v>351</v>
      </c>
      <c r="F44" s="10" t="s">
        <v>118</v>
      </c>
      <c r="G44" s="8">
        <v>3.125</v>
      </c>
      <c r="H44" s="7">
        <v>8</v>
      </c>
      <c r="I44" s="7">
        <v>2</v>
      </c>
      <c r="J44" s="25">
        <f t="shared" si="2"/>
        <v>50</v>
      </c>
    </row>
    <row r="45" s="2" customFormat="1" ht="29.1" customHeight="1" spans="1:10">
      <c r="A45" s="7">
        <v>2</v>
      </c>
      <c r="B45" s="7"/>
      <c r="C45" s="9" t="s">
        <v>143</v>
      </c>
      <c r="D45" s="7" t="s">
        <v>352</v>
      </c>
      <c r="E45" s="10" t="s">
        <v>353</v>
      </c>
      <c r="F45" s="10" t="s">
        <v>118</v>
      </c>
      <c r="G45" s="8">
        <f>2.496*2</f>
        <v>4.992</v>
      </c>
      <c r="H45" s="7">
        <v>8</v>
      </c>
      <c r="I45" s="7">
        <v>2</v>
      </c>
      <c r="J45" s="25">
        <f t="shared" si="2"/>
        <v>79.872</v>
      </c>
    </row>
    <row r="46" s="2" customFormat="1" ht="29.1" customHeight="1" spans="1:10">
      <c r="A46" s="7">
        <v>3</v>
      </c>
      <c r="B46" s="7"/>
      <c r="C46" s="11" t="s">
        <v>354</v>
      </c>
      <c r="D46" s="7" t="s">
        <v>253</v>
      </c>
      <c r="E46" s="7" t="s">
        <v>355</v>
      </c>
      <c r="F46" s="7" t="s">
        <v>118</v>
      </c>
      <c r="G46" s="7"/>
      <c r="H46" s="7">
        <v>8</v>
      </c>
      <c r="I46" s="7">
        <v>2</v>
      </c>
      <c r="J46" s="26">
        <f t="shared" si="2"/>
        <v>0</v>
      </c>
    </row>
    <row r="47" s="2" customFormat="1" ht="29.1" customHeight="1" spans="1:10">
      <c r="A47" s="7">
        <v>4</v>
      </c>
      <c r="B47" s="7"/>
      <c r="C47" s="9" t="s">
        <v>143</v>
      </c>
      <c r="D47" s="7" t="s">
        <v>251</v>
      </c>
      <c r="E47" s="7" t="s">
        <v>351</v>
      </c>
      <c r="F47" s="7" t="s">
        <v>118</v>
      </c>
      <c r="G47" s="8">
        <v>14.96</v>
      </c>
      <c r="H47" s="7">
        <v>8</v>
      </c>
      <c r="I47" s="7">
        <v>2</v>
      </c>
      <c r="J47" s="25">
        <f t="shared" si="2"/>
        <v>239.36</v>
      </c>
    </row>
    <row r="48" s="2" customFormat="1" ht="26.1" customHeight="1" spans="1:10">
      <c r="A48" s="7">
        <v>5</v>
      </c>
      <c r="B48" s="7"/>
      <c r="C48" s="9" t="s">
        <v>143</v>
      </c>
      <c r="D48" s="7" t="s">
        <v>356</v>
      </c>
      <c r="E48" s="7" t="s">
        <v>357</v>
      </c>
      <c r="F48" s="7" t="s">
        <v>118</v>
      </c>
      <c r="G48" s="7"/>
      <c r="H48" s="7">
        <v>8</v>
      </c>
      <c r="I48" s="7">
        <v>2</v>
      </c>
      <c r="J48" s="26">
        <f t="shared" si="2"/>
        <v>0</v>
      </c>
    </row>
    <row r="49" s="2" customFormat="1" ht="26.1" customHeight="1" spans="1:12">
      <c r="A49" s="7">
        <v>6</v>
      </c>
      <c r="B49" s="7"/>
      <c r="C49" s="11" t="s">
        <v>151</v>
      </c>
      <c r="D49" s="7" t="s">
        <v>251</v>
      </c>
      <c r="E49" s="7"/>
      <c r="F49" s="7" t="s">
        <v>118</v>
      </c>
      <c r="G49" s="7">
        <f>(1.67*2.65-1.74+5.3*0.1)*2+1.74*2.65-2.64+6.99+1.44*2.65-2.64+9.115-1.34+6.36-2.755+6.28-2.755-0.075+9.115-1.34+0.27</f>
        <v>39.443</v>
      </c>
      <c r="H49" s="7">
        <v>8</v>
      </c>
      <c r="I49" s="7">
        <v>2</v>
      </c>
      <c r="J49" s="27">
        <f>I49*H49*G49+1.74-5.3*0.08</f>
        <v>632.404</v>
      </c>
      <c r="K49" s="2" t="s">
        <v>358</v>
      </c>
      <c r="L49" s="2" t="s">
        <v>359</v>
      </c>
    </row>
    <row r="50" s="2" customFormat="1" ht="26.1" customHeight="1" spans="1:10">
      <c r="A50" s="7">
        <v>7</v>
      </c>
      <c r="B50" s="7"/>
      <c r="C50" s="11" t="s">
        <v>360</v>
      </c>
      <c r="D50" s="7"/>
      <c r="E50" s="7"/>
      <c r="F50" s="7" t="s">
        <v>165</v>
      </c>
      <c r="G50" s="7"/>
      <c r="H50" s="7">
        <v>8</v>
      </c>
      <c r="I50" s="7">
        <v>2</v>
      </c>
      <c r="J50" s="26"/>
    </row>
    <row r="51" s="2" customFormat="1" ht="26.1" customHeight="1" spans="1:10">
      <c r="A51" s="7">
        <v>8</v>
      </c>
      <c r="B51" s="7"/>
      <c r="C51" s="11" t="s">
        <v>259</v>
      </c>
      <c r="D51" s="7"/>
      <c r="E51" s="7"/>
      <c r="F51" s="7" t="s">
        <v>165</v>
      </c>
      <c r="G51" s="12">
        <f>7.06+4.56+6.8+9.26</f>
        <v>27.68</v>
      </c>
      <c r="H51" s="7">
        <v>8</v>
      </c>
      <c r="I51" s="7">
        <v>2</v>
      </c>
      <c r="J51" s="27">
        <f t="shared" ref="J51:J55" si="3">G51*H51*I51</f>
        <v>442.88</v>
      </c>
    </row>
    <row r="52" s="2" customFormat="1" ht="26.1" customHeight="1" spans="1:10">
      <c r="A52" s="7">
        <v>9</v>
      </c>
      <c r="B52" s="7"/>
      <c r="C52" s="11" t="s">
        <v>160</v>
      </c>
      <c r="D52" s="7"/>
      <c r="E52" s="7"/>
      <c r="F52" s="7" t="s">
        <v>99</v>
      </c>
      <c r="G52" s="8">
        <v>2</v>
      </c>
      <c r="H52" s="7">
        <v>8</v>
      </c>
      <c r="I52" s="7">
        <v>2</v>
      </c>
      <c r="J52" s="26">
        <f t="shared" si="3"/>
        <v>32</v>
      </c>
    </row>
    <row r="53" s="2" customFormat="1" ht="26.1" customHeight="1" spans="1:10">
      <c r="A53" s="7"/>
      <c r="B53" s="7" t="s">
        <v>367</v>
      </c>
      <c r="C53" s="17" t="s">
        <v>143</v>
      </c>
      <c r="D53" s="18" t="s">
        <v>350</v>
      </c>
      <c r="E53" s="10"/>
      <c r="F53" s="19" t="s">
        <v>118</v>
      </c>
      <c r="G53" s="20">
        <v>3.125</v>
      </c>
      <c r="H53" s="18">
        <v>7</v>
      </c>
      <c r="I53" s="18">
        <v>2</v>
      </c>
      <c r="J53" s="28">
        <f t="shared" si="3"/>
        <v>43.75</v>
      </c>
    </row>
    <row r="54" s="2" customFormat="1" ht="26.1" customHeight="1" spans="1:10">
      <c r="A54" s="7"/>
      <c r="B54" s="7"/>
      <c r="C54" s="17" t="s">
        <v>143</v>
      </c>
      <c r="D54" s="18" t="s">
        <v>352</v>
      </c>
      <c r="E54" s="10"/>
      <c r="F54" s="19" t="s">
        <v>118</v>
      </c>
      <c r="G54" s="20">
        <v>5</v>
      </c>
      <c r="H54" s="18">
        <v>7</v>
      </c>
      <c r="I54" s="18">
        <v>2</v>
      </c>
      <c r="J54" s="28">
        <f t="shared" si="3"/>
        <v>70</v>
      </c>
    </row>
    <row r="55" s="2" customFormat="1" ht="26.1" customHeight="1" spans="1:10">
      <c r="A55" s="7"/>
      <c r="B55" s="7"/>
      <c r="C55" s="17" t="s">
        <v>143</v>
      </c>
      <c r="D55" s="18" t="s">
        <v>251</v>
      </c>
      <c r="E55" s="10"/>
      <c r="F55" s="18" t="s">
        <v>118</v>
      </c>
      <c r="G55" s="20">
        <f>11.659+0.234</f>
        <v>11.893</v>
      </c>
      <c r="H55" s="18">
        <v>7</v>
      </c>
      <c r="I55" s="18">
        <v>2</v>
      </c>
      <c r="J55" s="28">
        <f t="shared" si="3"/>
        <v>166.502</v>
      </c>
    </row>
    <row r="56" s="2" customFormat="1" ht="26.1" customHeight="1" spans="1:10">
      <c r="A56" s="7"/>
      <c r="B56" s="7"/>
      <c r="C56" s="17" t="s">
        <v>143</v>
      </c>
      <c r="D56" s="18" t="s">
        <v>356</v>
      </c>
      <c r="E56" s="10"/>
      <c r="F56" s="18" t="s">
        <v>118</v>
      </c>
      <c r="G56" s="18"/>
      <c r="H56" s="18">
        <v>7</v>
      </c>
      <c r="I56" s="18">
        <v>2</v>
      </c>
      <c r="J56" s="29">
        <f t="shared" ref="J56:J75" si="4">I56*H56*G56</f>
        <v>0</v>
      </c>
    </row>
    <row r="57" s="2" customFormat="1" ht="26.1" customHeight="1" spans="1:10">
      <c r="A57" s="7"/>
      <c r="B57" s="7"/>
      <c r="C57" s="21" t="s">
        <v>151</v>
      </c>
      <c r="D57" s="18" t="s">
        <v>251</v>
      </c>
      <c r="E57" s="10"/>
      <c r="F57" s="18" t="s">
        <v>118</v>
      </c>
      <c r="G57" s="22">
        <f>7.255-1.079-1.14+4.37*0.1+10.04-2.607-2.667+7.3158-0.06+9.986-2.667-2.777+(0.3+0.2+0.3)*1.34</f>
        <v>23.1088</v>
      </c>
      <c r="H57" s="18">
        <v>7</v>
      </c>
      <c r="I57" s="18">
        <v>2</v>
      </c>
      <c r="J57" s="30">
        <f t="shared" si="4"/>
        <v>323.5232</v>
      </c>
    </row>
    <row r="58" s="2" customFormat="1" ht="26.1" customHeight="1" spans="1:10">
      <c r="A58" s="7"/>
      <c r="B58" s="7"/>
      <c r="C58" s="21" t="s">
        <v>354</v>
      </c>
      <c r="D58" s="18" t="s">
        <v>253</v>
      </c>
      <c r="E58" s="10"/>
      <c r="F58" s="18" t="s">
        <v>118</v>
      </c>
      <c r="G58" s="23"/>
      <c r="H58" s="18">
        <v>7</v>
      </c>
      <c r="I58" s="18">
        <v>2</v>
      </c>
      <c r="J58" s="29">
        <f t="shared" si="4"/>
        <v>0</v>
      </c>
    </row>
    <row r="59" s="2" customFormat="1" ht="26.1" customHeight="1" spans="1:10">
      <c r="A59" s="7"/>
      <c r="B59" s="7"/>
      <c r="C59" s="21" t="s">
        <v>259</v>
      </c>
      <c r="D59" s="18"/>
      <c r="E59" s="10"/>
      <c r="F59" s="18" t="s">
        <v>165</v>
      </c>
      <c r="G59" s="20">
        <f>10.6+3.46</f>
        <v>14.06</v>
      </c>
      <c r="H59" s="18">
        <v>7</v>
      </c>
      <c r="I59" s="18">
        <v>2</v>
      </c>
      <c r="J59" s="30">
        <f t="shared" si="4"/>
        <v>196.84</v>
      </c>
    </row>
    <row r="60" s="2" customFormat="1" ht="26.1" customHeight="1" spans="1:10">
      <c r="A60" s="7"/>
      <c r="B60" s="7"/>
      <c r="C60" s="21" t="s">
        <v>160</v>
      </c>
      <c r="D60" s="18"/>
      <c r="E60" s="10"/>
      <c r="F60" s="18" t="s">
        <v>99</v>
      </c>
      <c r="G60" s="18">
        <v>1</v>
      </c>
      <c r="H60" s="18">
        <v>7</v>
      </c>
      <c r="I60" s="18">
        <v>2</v>
      </c>
      <c r="J60" s="29">
        <f t="shared" si="4"/>
        <v>14</v>
      </c>
    </row>
    <row r="61" s="2" customFormat="1" ht="26.1" customHeight="1" spans="1:10">
      <c r="A61" s="7"/>
      <c r="B61" s="7"/>
      <c r="C61" s="24" t="s">
        <v>368</v>
      </c>
      <c r="D61" s="18"/>
      <c r="E61" s="10"/>
      <c r="F61" s="19" t="s">
        <v>165</v>
      </c>
      <c r="G61" s="18"/>
      <c r="H61" s="18">
        <v>7</v>
      </c>
      <c r="I61" s="18">
        <v>2</v>
      </c>
      <c r="J61" s="29">
        <f t="shared" si="4"/>
        <v>0</v>
      </c>
    </row>
    <row r="62" s="2" customFormat="1" ht="26.1" customHeight="1" spans="1:10">
      <c r="A62" s="7"/>
      <c r="B62" s="7" t="s">
        <v>369</v>
      </c>
      <c r="C62" s="9" t="s">
        <v>143</v>
      </c>
      <c r="D62" s="7" t="s">
        <v>350</v>
      </c>
      <c r="E62" s="10"/>
      <c r="F62" s="7" t="s">
        <v>118</v>
      </c>
      <c r="G62" s="13">
        <v>3.275</v>
      </c>
      <c r="H62" s="7">
        <v>7</v>
      </c>
      <c r="I62" s="7">
        <v>2</v>
      </c>
      <c r="J62" s="31">
        <f t="shared" si="4"/>
        <v>45.85</v>
      </c>
    </row>
    <row r="63" s="2" customFormat="1" ht="26.1" customHeight="1" spans="1:10">
      <c r="A63" s="7"/>
      <c r="B63" s="7"/>
      <c r="C63" s="9" t="s">
        <v>143</v>
      </c>
      <c r="D63" s="7" t="s">
        <v>352</v>
      </c>
      <c r="E63" s="10"/>
      <c r="F63" s="7" t="s">
        <v>118</v>
      </c>
      <c r="G63" s="13">
        <f>2.496*2</f>
        <v>4.992</v>
      </c>
      <c r="H63" s="7">
        <v>7</v>
      </c>
      <c r="I63" s="7">
        <v>2</v>
      </c>
      <c r="J63" s="31">
        <f t="shared" si="4"/>
        <v>69.888</v>
      </c>
    </row>
    <row r="64" s="2" customFormat="1" ht="26.1" customHeight="1" spans="1:10">
      <c r="A64" s="7"/>
      <c r="B64" s="7"/>
      <c r="C64" s="9" t="s">
        <v>143</v>
      </c>
      <c r="D64" s="7" t="s">
        <v>251</v>
      </c>
      <c r="E64" s="10"/>
      <c r="F64" s="7" t="s">
        <v>118</v>
      </c>
      <c r="G64" s="13">
        <v>8.47</v>
      </c>
      <c r="H64" s="7">
        <v>7</v>
      </c>
      <c r="I64" s="7">
        <v>2</v>
      </c>
      <c r="J64" s="31">
        <f t="shared" si="4"/>
        <v>118.58</v>
      </c>
    </row>
    <row r="65" s="2" customFormat="1" ht="26.1" customHeight="1" spans="1:10">
      <c r="A65" s="7"/>
      <c r="B65" s="7"/>
      <c r="C65" s="9" t="s">
        <v>143</v>
      </c>
      <c r="D65" s="7" t="s">
        <v>356</v>
      </c>
      <c r="E65" s="10"/>
      <c r="F65" s="7" t="s">
        <v>118</v>
      </c>
      <c r="G65" s="14"/>
      <c r="H65" s="7">
        <v>7</v>
      </c>
      <c r="I65" s="7">
        <v>2</v>
      </c>
      <c r="J65" s="43">
        <f t="shared" si="4"/>
        <v>0</v>
      </c>
    </row>
    <row r="66" s="2" customFormat="1" ht="26.1" customHeight="1" spans="1:10">
      <c r="A66" s="7"/>
      <c r="B66" s="7"/>
      <c r="C66" s="11" t="s">
        <v>151</v>
      </c>
      <c r="D66" s="7" t="s">
        <v>251</v>
      </c>
      <c r="E66" s="10"/>
      <c r="F66" s="7" t="s">
        <v>118</v>
      </c>
      <c r="G66" s="13">
        <f>14.2578-2*2-5.959+3.31*2+14.2578-2.457*2-2.7768</f>
        <v>17.4858</v>
      </c>
      <c r="H66" s="7">
        <v>7</v>
      </c>
      <c r="I66" s="7">
        <v>2</v>
      </c>
      <c r="J66" s="44">
        <f t="shared" si="4"/>
        <v>244.8012</v>
      </c>
    </row>
    <row r="67" s="2" customFormat="1" ht="26.1" customHeight="1" spans="1:10">
      <c r="A67" s="7"/>
      <c r="B67" s="7"/>
      <c r="C67" s="11" t="s">
        <v>360</v>
      </c>
      <c r="D67" s="7" t="s">
        <v>360</v>
      </c>
      <c r="E67" s="10"/>
      <c r="F67" s="7" t="s">
        <v>165</v>
      </c>
      <c r="G67" s="14"/>
      <c r="H67" s="7">
        <v>7</v>
      </c>
      <c r="I67" s="7">
        <v>2</v>
      </c>
      <c r="J67" s="43">
        <f t="shared" si="4"/>
        <v>0</v>
      </c>
    </row>
    <row r="68" s="2" customFormat="1" ht="26.1" customHeight="1" spans="1:10">
      <c r="A68" s="7"/>
      <c r="B68" s="7"/>
      <c r="C68" s="11" t="s">
        <v>354</v>
      </c>
      <c r="D68" s="7" t="s">
        <v>253</v>
      </c>
      <c r="E68" s="10"/>
      <c r="F68" s="7" t="s">
        <v>118</v>
      </c>
      <c r="G68" s="14"/>
      <c r="H68" s="7">
        <v>7</v>
      </c>
      <c r="I68" s="7">
        <v>2</v>
      </c>
      <c r="J68" s="43">
        <f t="shared" si="4"/>
        <v>0</v>
      </c>
    </row>
    <row r="69" s="2" customFormat="1" ht="26.1" customHeight="1" spans="1:10">
      <c r="A69" s="7"/>
      <c r="B69" s="7"/>
      <c r="C69" s="11" t="s">
        <v>259</v>
      </c>
      <c r="D69" s="7"/>
      <c r="E69" s="10"/>
      <c r="F69" s="7" t="s">
        <v>165</v>
      </c>
      <c r="G69" s="13">
        <v>8.4</v>
      </c>
      <c r="H69" s="7">
        <v>7</v>
      </c>
      <c r="I69" s="7">
        <v>2</v>
      </c>
      <c r="J69" s="44">
        <f t="shared" si="4"/>
        <v>117.6</v>
      </c>
    </row>
    <row r="70" s="2" customFormat="1" ht="26.1" customHeight="1" spans="1:10">
      <c r="A70" s="7"/>
      <c r="B70" s="7"/>
      <c r="C70" s="11" t="s">
        <v>160</v>
      </c>
      <c r="D70" s="7"/>
      <c r="E70" s="10"/>
      <c r="F70" s="7" t="s">
        <v>99</v>
      </c>
      <c r="G70" s="13">
        <v>1</v>
      </c>
      <c r="H70" s="7">
        <v>7</v>
      </c>
      <c r="I70" s="7">
        <v>2</v>
      </c>
      <c r="J70" s="43">
        <f t="shared" si="4"/>
        <v>14</v>
      </c>
    </row>
    <row r="71" s="2" customFormat="1" ht="26.1" customHeight="1" spans="1:10">
      <c r="A71" s="7">
        <v>1</v>
      </c>
      <c r="B71" s="7" t="s">
        <v>370</v>
      </c>
      <c r="C71" s="9" t="s">
        <v>143</v>
      </c>
      <c r="D71" s="7" t="s">
        <v>350</v>
      </c>
      <c r="E71" s="10" t="s">
        <v>351</v>
      </c>
      <c r="F71" s="10" t="s">
        <v>118</v>
      </c>
      <c r="G71" s="8">
        <v>3.125</v>
      </c>
      <c r="H71" s="7">
        <v>8</v>
      </c>
      <c r="I71" s="7">
        <v>2</v>
      </c>
      <c r="J71" s="25">
        <f t="shared" si="4"/>
        <v>50</v>
      </c>
    </row>
    <row r="72" s="2" customFormat="1" ht="26.1" customHeight="1" spans="1:10">
      <c r="A72" s="7">
        <v>2</v>
      </c>
      <c r="B72" s="7"/>
      <c r="C72" s="9" t="s">
        <v>143</v>
      </c>
      <c r="D72" s="7" t="s">
        <v>352</v>
      </c>
      <c r="E72" s="10" t="s">
        <v>353</v>
      </c>
      <c r="F72" s="10" t="s">
        <v>118</v>
      </c>
      <c r="G72" s="8">
        <f>2.496*2</f>
        <v>4.992</v>
      </c>
      <c r="H72" s="7">
        <v>8</v>
      </c>
      <c r="I72" s="7">
        <v>2</v>
      </c>
      <c r="J72" s="25">
        <f t="shared" si="4"/>
        <v>79.872</v>
      </c>
    </row>
    <row r="73" s="2" customFormat="1" ht="26.1" customHeight="1" spans="1:10">
      <c r="A73" s="7">
        <v>3</v>
      </c>
      <c r="B73" s="7"/>
      <c r="C73" s="11" t="s">
        <v>354</v>
      </c>
      <c r="D73" s="7" t="s">
        <v>253</v>
      </c>
      <c r="E73" s="7" t="s">
        <v>355</v>
      </c>
      <c r="F73" s="7" t="s">
        <v>118</v>
      </c>
      <c r="G73" s="7"/>
      <c r="H73" s="7">
        <v>8</v>
      </c>
      <c r="I73" s="7">
        <v>2</v>
      </c>
      <c r="J73" s="26">
        <f t="shared" si="4"/>
        <v>0</v>
      </c>
    </row>
    <row r="74" s="2" customFormat="1" ht="26.1" customHeight="1" spans="1:10">
      <c r="A74" s="7">
        <v>4</v>
      </c>
      <c r="B74" s="7"/>
      <c r="C74" s="9" t="s">
        <v>143</v>
      </c>
      <c r="D74" s="7" t="s">
        <v>251</v>
      </c>
      <c r="E74" s="7" t="s">
        <v>351</v>
      </c>
      <c r="F74" s="7" t="s">
        <v>118</v>
      </c>
      <c r="G74" s="8">
        <v>14.96</v>
      </c>
      <c r="H74" s="7">
        <v>8</v>
      </c>
      <c r="I74" s="7">
        <v>2</v>
      </c>
      <c r="J74" s="25">
        <f t="shared" si="4"/>
        <v>239.36</v>
      </c>
    </row>
    <row r="75" s="2" customFormat="1" ht="26.1" customHeight="1" spans="1:10">
      <c r="A75" s="7">
        <v>5</v>
      </c>
      <c r="B75" s="7"/>
      <c r="C75" s="9" t="s">
        <v>143</v>
      </c>
      <c r="D75" s="7" t="s">
        <v>356</v>
      </c>
      <c r="E75" s="7" t="s">
        <v>357</v>
      </c>
      <c r="F75" s="7" t="s">
        <v>118</v>
      </c>
      <c r="G75" s="7"/>
      <c r="H75" s="7">
        <v>8</v>
      </c>
      <c r="I75" s="7">
        <v>2</v>
      </c>
      <c r="J75" s="26">
        <f t="shared" si="4"/>
        <v>0</v>
      </c>
    </row>
    <row r="76" s="2" customFormat="1" ht="33.95" customHeight="1" spans="1:12">
      <c r="A76" s="7">
        <v>6</v>
      </c>
      <c r="B76" s="7"/>
      <c r="C76" s="11" t="s">
        <v>151</v>
      </c>
      <c r="D76" s="7" t="s">
        <v>251</v>
      </c>
      <c r="E76" s="7"/>
      <c r="F76" s="7" t="s">
        <v>118</v>
      </c>
      <c r="G76" s="7">
        <f>(1.67*2.65-1.74+5.3*0.1)*2+1.74*2.65-2.64+6.99+1.44*2.65-2.64+9.115-1.34+6.36-2.755+6.28-2.755-0.075+9.115-1.34+0.27</f>
        <v>39.443</v>
      </c>
      <c r="H76" s="7">
        <v>8</v>
      </c>
      <c r="I76" s="7">
        <v>2</v>
      </c>
      <c r="J76" s="27">
        <f>I76*H76*G76+1.74-5.3*0.08</f>
        <v>632.404</v>
      </c>
      <c r="K76" s="2" t="s">
        <v>358</v>
      </c>
      <c r="L76" s="2" t="s">
        <v>359</v>
      </c>
    </row>
    <row r="77" s="2" customFormat="1" ht="33.95" customHeight="1" spans="1:10">
      <c r="A77" s="7">
        <v>7</v>
      </c>
      <c r="B77" s="7"/>
      <c r="C77" s="11" t="s">
        <v>360</v>
      </c>
      <c r="D77" s="7"/>
      <c r="E77" s="7"/>
      <c r="F77" s="7" t="s">
        <v>165</v>
      </c>
      <c r="G77" s="7"/>
      <c r="H77" s="7">
        <v>8</v>
      </c>
      <c r="I77" s="7">
        <v>2</v>
      </c>
      <c r="J77" s="26">
        <f t="shared" ref="J77:J93" si="5">I77*H77*G77</f>
        <v>0</v>
      </c>
    </row>
    <row r="78" s="2" customFormat="1" ht="33.95" customHeight="1" spans="1:10">
      <c r="A78" s="7">
        <v>8</v>
      </c>
      <c r="B78" s="7"/>
      <c r="C78" s="11" t="s">
        <v>259</v>
      </c>
      <c r="D78" s="7"/>
      <c r="E78" s="7"/>
      <c r="F78" s="7" t="s">
        <v>165</v>
      </c>
      <c r="G78" s="12">
        <f>7.06+4.56+6.8+9.26</f>
        <v>27.68</v>
      </c>
      <c r="H78" s="7">
        <v>8</v>
      </c>
      <c r="I78" s="7">
        <v>2</v>
      </c>
      <c r="J78" s="27">
        <f t="shared" si="5"/>
        <v>442.88</v>
      </c>
    </row>
    <row r="79" s="2" customFormat="1" ht="33.95" customHeight="1" spans="1:10">
      <c r="A79" s="7">
        <v>9</v>
      </c>
      <c r="B79" s="7"/>
      <c r="C79" s="11" t="s">
        <v>160</v>
      </c>
      <c r="D79" s="7"/>
      <c r="E79" s="7"/>
      <c r="F79" s="7" t="s">
        <v>99</v>
      </c>
      <c r="G79" s="8">
        <v>2</v>
      </c>
      <c r="H79" s="7">
        <v>8</v>
      </c>
      <c r="I79" s="7">
        <v>2</v>
      </c>
      <c r="J79" s="26">
        <f t="shared" si="5"/>
        <v>32</v>
      </c>
    </row>
    <row r="80" s="2" customFormat="1" ht="33.95" customHeight="1" spans="1:11">
      <c r="A80" s="7"/>
      <c r="B80" s="7" t="s">
        <v>371</v>
      </c>
      <c r="C80" s="9" t="s">
        <v>143</v>
      </c>
      <c r="D80" s="7" t="s">
        <v>350</v>
      </c>
      <c r="E80" s="10"/>
      <c r="F80" s="7" t="s">
        <v>118</v>
      </c>
      <c r="G80" s="13">
        <v>3.275</v>
      </c>
      <c r="H80" s="7">
        <v>7</v>
      </c>
      <c r="I80" s="7">
        <v>2</v>
      </c>
      <c r="J80" s="31">
        <f t="shared" si="5"/>
        <v>45.85</v>
      </c>
      <c r="K80" s="7" t="s">
        <v>372</v>
      </c>
    </row>
    <row r="81" s="2" customFormat="1" ht="33.95" customHeight="1" spans="1:11">
      <c r="A81" s="7"/>
      <c r="B81" s="7"/>
      <c r="C81" s="9" t="s">
        <v>143</v>
      </c>
      <c r="D81" s="7" t="s">
        <v>352</v>
      </c>
      <c r="E81" s="10"/>
      <c r="F81" s="7" t="s">
        <v>118</v>
      </c>
      <c r="G81" s="13">
        <f>2.496*2</f>
        <v>4.992</v>
      </c>
      <c r="H81" s="7">
        <v>7</v>
      </c>
      <c r="I81" s="7">
        <v>2</v>
      </c>
      <c r="J81" s="31">
        <f t="shared" si="5"/>
        <v>69.888</v>
      </c>
      <c r="K81" s="7" t="s">
        <v>373</v>
      </c>
    </row>
    <row r="82" s="2" customFormat="1" ht="33.95" customHeight="1" spans="1:11">
      <c r="A82" s="7"/>
      <c r="B82" s="7"/>
      <c r="C82" s="9" t="s">
        <v>143</v>
      </c>
      <c r="D82" s="7" t="s">
        <v>251</v>
      </c>
      <c r="E82" s="10"/>
      <c r="F82" s="7" t="s">
        <v>118</v>
      </c>
      <c r="G82" s="13">
        <v>8.47</v>
      </c>
      <c r="H82" s="7">
        <v>7</v>
      </c>
      <c r="I82" s="7">
        <v>2</v>
      </c>
      <c r="J82" s="31">
        <f t="shared" si="5"/>
        <v>118.58</v>
      </c>
      <c r="K82" s="7" t="s">
        <v>372</v>
      </c>
    </row>
    <row r="83" s="2" customFormat="1" ht="33.95" customHeight="1" spans="1:11">
      <c r="A83" s="7"/>
      <c r="B83" s="7"/>
      <c r="C83" s="9" t="s">
        <v>143</v>
      </c>
      <c r="D83" s="7" t="s">
        <v>356</v>
      </c>
      <c r="E83" s="10"/>
      <c r="F83" s="7" t="s">
        <v>118</v>
      </c>
      <c r="G83" s="14"/>
      <c r="H83" s="7">
        <v>7</v>
      </c>
      <c r="I83" s="7">
        <v>2</v>
      </c>
      <c r="J83" s="43">
        <f t="shared" si="5"/>
        <v>0</v>
      </c>
      <c r="K83" s="7" t="s">
        <v>374</v>
      </c>
    </row>
    <row r="84" s="2" customFormat="1" ht="33.95" customHeight="1" spans="1:11">
      <c r="A84" s="7"/>
      <c r="B84" s="7"/>
      <c r="C84" s="11" t="s">
        <v>151</v>
      </c>
      <c r="D84" s="7" t="s">
        <v>251</v>
      </c>
      <c r="E84" s="10"/>
      <c r="F84" s="7" t="s">
        <v>118</v>
      </c>
      <c r="G84" s="13">
        <f>14.2578-2*2-5.959+3.31*2+14.2578-2.457*2-2.7768</f>
        <v>17.4858</v>
      </c>
      <c r="H84" s="7">
        <v>7</v>
      </c>
      <c r="I84" s="7">
        <v>2</v>
      </c>
      <c r="J84" s="44">
        <f t="shared" si="5"/>
        <v>244.8012</v>
      </c>
      <c r="K84" s="7" t="s">
        <v>375</v>
      </c>
    </row>
    <row r="85" s="2" customFormat="1" ht="33.95" customHeight="1" spans="1:11">
      <c r="A85" s="7"/>
      <c r="B85" s="7"/>
      <c r="C85" s="11" t="s">
        <v>360</v>
      </c>
      <c r="D85" s="7" t="s">
        <v>360</v>
      </c>
      <c r="E85" s="10"/>
      <c r="F85" s="7" t="s">
        <v>165</v>
      </c>
      <c r="G85" s="14"/>
      <c r="H85" s="7">
        <v>7</v>
      </c>
      <c r="I85" s="7">
        <v>2</v>
      </c>
      <c r="J85" s="43">
        <f t="shared" si="5"/>
        <v>0</v>
      </c>
      <c r="K85" s="7" t="s">
        <v>376</v>
      </c>
    </row>
    <row r="86" s="2" customFormat="1" ht="33.95" customHeight="1" spans="1:11">
      <c r="A86" s="7"/>
      <c r="B86" s="7"/>
      <c r="C86" s="11" t="s">
        <v>354</v>
      </c>
      <c r="D86" s="7" t="s">
        <v>253</v>
      </c>
      <c r="E86" s="10"/>
      <c r="F86" s="7" t="s">
        <v>118</v>
      </c>
      <c r="G86" s="14"/>
      <c r="H86" s="7">
        <v>7</v>
      </c>
      <c r="I86" s="7">
        <v>2</v>
      </c>
      <c r="J86" s="43">
        <f t="shared" si="5"/>
        <v>0</v>
      </c>
      <c r="K86" s="7"/>
    </row>
    <row r="87" s="2" customFormat="1" ht="33.95" customHeight="1" spans="1:11">
      <c r="A87" s="7"/>
      <c r="B87" s="7"/>
      <c r="C87" s="11" t="s">
        <v>259</v>
      </c>
      <c r="D87" s="7"/>
      <c r="E87" s="10"/>
      <c r="F87" s="7" t="s">
        <v>165</v>
      </c>
      <c r="G87" s="13">
        <v>8.4</v>
      </c>
      <c r="H87" s="7">
        <v>7</v>
      </c>
      <c r="I87" s="7">
        <v>2</v>
      </c>
      <c r="J87" s="44">
        <f t="shared" si="5"/>
        <v>117.6</v>
      </c>
      <c r="K87" s="7"/>
    </row>
    <row r="88" s="2" customFormat="1" ht="33.95" customHeight="1" spans="1:11">
      <c r="A88" s="7"/>
      <c r="B88" s="7"/>
      <c r="C88" s="11" t="s">
        <v>160</v>
      </c>
      <c r="D88" s="7"/>
      <c r="E88" s="10"/>
      <c r="F88" s="7" t="s">
        <v>99</v>
      </c>
      <c r="G88" s="13">
        <v>1</v>
      </c>
      <c r="H88" s="7">
        <v>7</v>
      </c>
      <c r="I88" s="7">
        <v>2</v>
      </c>
      <c r="J88" s="43">
        <f t="shared" si="5"/>
        <v>14</v>
      </c>
      <c r="K88" s="7"/>
    </row>
    <row r="89" s="2" customFormat="1" ht="33.95" customHeight="1" spans="1:10">
      <c r="A89" s="7">
        <v>1</v>
      </c>
      <c r="B89" s="7" t="s">
        <v>377</v>
      </c>
      <c r="C89" s="9" t="s">
        <v>143</v>
      </c>
      <c r="D89" s="7" t="s">
        <v>350</v>
      </c>
      <c r="E89" s="10" t="s">
        <v>351</v>
      </c>
      <c r="F89" s="10" t="s">
        <v>118</v>
      </c>
      <c r="G89" s="8">
        <v>3.125</v>
      </c>
      <c r="H89" s="7">
        <v>8</v>
      </c>
      <c r="I89" s="7">
        <v>2</v>
      </c>
      <c r="J89" s="25">
        <f t="shared" si="5"/>
        <v>50</v>
      </c>
    </row>
    <row r="90" s="2" customFormat="1" ht="24" customHeight="1" spans="1:10">
      <c r="A90" s="7">
        <v>2</v>
      </c>
      <c r="B90" s="7"/>
      <c r="C90" s="9" t="s">
        <v>143</v>
      </c>
      <c r="D90" s="7" t="s">
        <v>352</v>
      </c>
      <c r="E90" s="10" t="s">
        <v>353</v>
      </c>
      <c r="F90" s="10" t="s">
        <v>118</v>
      </c>
      <c r="G90" s="8">
        <f>2.496*2</f>
        <v>4.992</v>
      </c>
      <c r="H90" s="7">
        <v>8</v>
      </c>
      <c r="I90" s="7">
        <v>2</v>
      </c>
      <c r="J90" s="25">
        <f t="shared" si="5"/>
        <v>79.872</v>
      </c>
    </row>
    <row r="91" s="2" customFormat="1" ht="24" customHeight="1" spans="1:10">
      <c r="A91" s="7">
        <v>3</v>
      </c>
      <c r="B91" s="7"/>
      <c r="C91" s="11" t="s">
        <v>354</v>
      </c>
      <c r="D91" s="7" t="s">
        <v>253</v>
      </c>
      <c r="E91" s="7" t="s">
        <v>355</v>
      </c>
      <c r="F91" s="7" t="s">
        <v>118</v>
      </c>
      <c r="G91" s="7"/>
      <c r="H91" s="7">
        <v>8</v>
      </c>
      <c r="I91" s="7">
        <v>2</v>
      </c>
      <c r="J91" s="26">
        <f t="shared" si="5"/>
        <v>0</v>
      </c>
    </row>
    <row r="92" s="2" customFormat="1" ht="24" customHeight="1" spans="1:10">
      <c r="A92" s="7">
        <v>4</v>
      </c>
      <c r="B92" s="7"/>
      <c r="C92" s="9" t="s">
        <v>143</v>
      </c>
      <c r="D92" s="7" t="s">
        <v>251</v>
      </c>
      <c r="E92" s="7" t="s">
        <v>351</v>
      </c>
      <c r="F92" s="7" t="s">
        <v>118</v>
      </c>
      <c r="G92" s="8">
        <v>14.96</v>
      </c>
      <c r="H92" s="7">
        <v>8</v>
      </c>
      <c r="I92" s="7">
        <v>2</v>
      </c>
      <c r="J92" s="25">
        <f t="shared" si="5"/>
        <v>239.36</v>
      </c>
    </row>
    <row r="93" s="2" customFormat="1" ht="24" customHeight="1" spans="1:10">
      <c r="A93" s="7">
        <v>5</v>
      </c>
      <c r="B93" s="7"/>
      <c r="C93" s="9" t="s">
        <v>143</v>
      </c>
      <c r="D93" s="7" t="s">
        <v>356</v>
      </c>
      <c r="E93" s="7" t="s">
        <v>357</v>
      </c>
      <c r="F93" s="7" t="s">
        <v>118</v>
      </c>
      <c r="G93" s="7"/>
      <c r="H93" s="7">
        <v>8</v>
      </c>
      <c r="I93" s="7">
        <v>2</v>
      </c>
      <c r="J93" s="26">
        <f t="shared" si="5"/>
        <v>0</v>
      </c>
    </row>
    <row r="94" s="2" customFormat="1" ht="24.95" customHeight="1" spans="1:12">
      <c r="A94" s="7">
        <v>6</v>
      </c>
      <c r="B94" s="7"/>
      <c r="C94" s="11" t="s">
        <v>151</v>
      </c>
      <c r="D94" s="7" t="s">
        <v>251</v>
      </c>
      <c r="E94" s="7"/>
      <c r="F94" s="7" t="s">
        <v>118</v>
      </c>
      <c r="G94" s="7">
        <f>(1.67*2.65-1.74+5.3*0.1)*2+1.74*2.65-2.64+6.99+1.44*2.65-2.64+9.115-1.34+6.36-2.755+6.28-2.755-0.075+9.115-1.34+0.27</f>
        <v>39.443</v>
      </c>
      <c r="H94" s="7">
        <v>8</v>
      </c>
      <c r="I94" s="7">
        <v>2</v>
      </c>
      <c r="J94" s="27">
        <f>I94*H94*G94+1.74-5.3*0.08</f>
        <v>632.404</v>
      </c>
      <c r="K94" s="2" t="s">
        <v>358</v>
      </c>
      <c r="L94" s="2" t="s">
        <v>359</v>
      </c>
    </row>
    <row r="95" s="2" customFormat="1" ht="24.95" customHeight="1" spans="1:10">
      <c r="A95" s="7">
        <v>7</v>
      </c>
      <c r="B95" s="7"/>
      <c r="C95" s="11" t="s">
        <v>360</v>
      </c>
      <c r="D95" s="7"/>
      <c r="E95" s="7"/>
      <c r="F95" s="7" t="s">
        <v>165</v>
      </c>
      <c r="G95" s="7"/>
      <c r="H95" s="7">
        <v>8</v>
      </c>
      <c r="I95" s="7">
        <v>2</v>
      </c>
      <c r="J95" s="26">
        <f t="shared" ref="J95:J97" si="6">I95*H95*G95</f>
        <v>0</v>
      </c>
    </row>
    <row r="96" s="2" customFormat="1" ht="24.95" customHeight="1" spans="1:10">
      <c r="A96" s="7">
        <v>8</v>
      </c>
      <c r="B96" s="7"/>
      <c r="C96" s="11" t="s">
        <v>259</v>
      </c>
      <c r="D96" s="7"/>
      <c r="E96" s="7"/>
      <c r="F96" s="7" t="s">
        <v>165</v>
      </c>
      <c r="G96" s="12">
        <f>7.06+4.56+6.8+9.26</f>
        <v>27.68</v>
      </c>
      <c r="H96" s="7">
        <v>8</v>
      </c>
      <c r="I96" s="7">
        <v>2</v>
      </c>
      <c r="J96" s="27">
        <f t="shared" si="6"/>
        <v>442.88</v>
      </c>
    </row>
    <row r="97" s="2" customFormat="1" ht="24.95" customHeight="1" spans="1:10">
      <c r="A97" s="7">
        <v>9</v>
      </c>
      <c r="B97" s="7"/>
      <c r="C97" s="11" t="s">
        <v>160</v>
      </c>
      <c r="D97" s="7"/>
      <c r="E97" s="7"/>
      <c r="F97" s="7" t="s">
        <v>99</v>
      </c>
      <c r="G97" s="8">
        <v>2</v>
      </c>
      <c r="H97" s="7">
        <v>8</v>
      </c>
      <c r="I97" s="7">
        <v>2</v>
      </c>
      <c r="J97" s="26">
        <f t="shared" si="6"/>
        <v>32</v>
      </c>
    </row>
    <row r="98" s="3" customFormat="1" ht="24.95" customHeight="1" spans="1:10">
      <c r="A98" s="8" t="s">
        <v>69</v>
      </c>
      <c r="B98" s="32"/>
      <c r="C98" s="8" t="s">
        <v>378</v>
      </c>
      <c r="D98" s="8"/>
      <c r="E98" s="8"/>
      <c r="F98" s="8"/>
      <c r="G98" s="8"/>
      <c r="H98" s="8"/>
      <c r="I98" s="8"/>
      <c r="J98" s="8"/>
    </row>
    <row r="99" s="2" customFormat="1" ht="26.1" customHeight="1" spans="1:10">
      <c r="A99" s="33" t="s">
        <v>62</v>
      </c>
      <c r="B99" s="33"/>
      <c r="C99" s="34" t="s">
        <v>379</v>
      </c>
      <c r="D99" s="33" t="s">
        <v>380</v>
      </c>
      <c r="E99" s="34"/>
      <c r="F99" s="34"/>
      <c r="G99" s="33"/>
      <c r="H99" s="33"/>
      <c r="I99" s="33"/>
      <c r="J99" s="33"/>
    </row>
    <row r="100" s="2" customFormat="1" ht="26.1" customHeight="1" spans="1:10">
      <c r="A100" s="16">
        <v>1</v>
      </c>
      <c r="B100" s="16" t="s">
        <v>349</v>
      </c>
      <c r="C100" s="35" t="s">
        <v>143</v>
      </c>
      <c r="D100" s="16" t="s">
        <v>350</v>
      </c>
      <c r="E100" s="36" t="s">
        <v>351</v>
      </c>
      <c r="F100" s="36" t="s">
        <v>118</v>
      </c>
      <c r="G100" s="8">
        <f>(1.25+1.24)*1.2+(1.6+1.25)*2.5</f>
        <v>10.113</v>
      </c>
      <c r="H100" s="16">
        <v>1</v>
      </c>
      <c r="I100" s="16">
        <v>1</v>
      </c>
      <c r="J100" s="25">
        <f t="shared" ref="J100:J108" si="7">I100*H100*G100</f>
        <v>10.113</v>
      </c>
    </row>
    <row r="101" s="2" customFormat="1" ht="26.1" customHeight="1" spans="1:10">
      <c r="A101" s="16">
        <v>2</v>
      </c>
      <c r="B101" s="16"/>
      <c r="C101" s="35" t="s">
        <v>143</v>
      </c>
      <c r="D101" s="16" t="s">
        <v>352</v>
      </c>
      <c r="E101" s="36" t="s">
        <v>353</v>
      </c>
      <c r="F101" s="36" t="s">
        <v>118</v>
      </c>
      <c r="G101" s="8">
        <f>1.2*(1.56+1.82+2.08+1.04)</f>
        <v>7.8</v>
      </c>
      <c r="H101" s="16">
        <v>1</v>
      </c>
      <c r="I101" s="16">
        <v>1</v>
      </c>
      <c r="J101" s="25">
        <f t="shared" si="7"/>
        <v>7.8</v>
      </c>
    </row>
    <row r="102" s="2" customFormat="1" ht="26.1" customHeight="1" spans="1:10">
      <c r="A102" s="16">
        <v>3</v>
      </c>
      <c r="B102" s="16"/>
      <c r="C102" s="37" t="s">
        <v>354</v>
      </c>
      <c r="D102" s="16" t="s">
        <v>253</v>
      </c>
      <c r="E102" s="16" t="s">
        <v>355</v>
      </c>
      <c r="F102" s="16" t="s">
        <v>118</v>
      </c>
      <c r="G102" s="16"/>
      <c r="H102" s="16">
        <v>1</v>
      </c>
      <c r="I102" s="16">
        <v>1</v>
      </c>
      <c r="J102" s="26">
        <f t="shared" si="7"/>
        <v>0</v>
      </c>
    </row>
    <row r="103" s="2" customFormat="1" ht="24" spans="1:10">
      <c r="A103" s="16">
        <v>4</v>
      </c>
      <c r="B103" s="16"/>
      <c r="C103" s="35" t="s">
        <v>143</v>
      </c>
      <c r="D103" s="16" t="s">
        <v>251</v>
      </c>
      <c r="E103" s="16" t="s">
        <v>351</v>
      </c>
      <c r="F103" s="16" t="s">
        <v>118</v>
      </c>
      <c r="G103" s="8">
        <f>23.836-1.2*0.27</f>
        <v>23.512</v>
      </c>
      <c r="H103" s="16">
        <v>1</v>
      </c>
      <c r="I103" s="16">
        <v>1</v>
      </c>
      <c r="J103" s="25">
        <f t="shared" si="7"/>
        <v>23.512</v>
      </c>
    </row>
    <row r="104" s="2" customFormat="1" ht="12" spans="1:10">
      <c r="A104" s="16">
        <v>5</v>
      </c>
      <c r="B104" s="16"/>
      <c r="C104" s="35" t="s">
        <v>143</v>
      </c>
      <c r="D104" s="16" t="s">
        <v>356</v>
      </c>
      <c r="E104" s="16" t="s">
        <v>357</v>
      </c>
      <c r="F104" s="16" t="s">
        <v>118</v>
      </c>
      <c r="G104" s="16"/>
      <c r="H104" s="16">
        <v>1</v>
      </c>
      <c r="I104" s="16">
        <v>1</v>
      </c>
      <c r="J104" s="26">
        <f t="shared" si="7"/>
        <v>0</v>
      </c>
    </row>
    <row r="105" s="2" customFormat="1" ht="12" spans="1:10">
      <c r="A105" s="16">
        <v>6</v>
      </c>
      <c r="B105" s="16"/>
      <c r="C105" s="37" t="s">
        <v>151</v>
      </c>
      <c r="D105" s="16" t="s">
        <v>251</v>
      </c>
      <c r="E105" s="16"/>
      <c r="F105" s="16" t="s">
        <v>118</v>
      </c>
      <c r="G105" s="16">
        <f>1.39*2.4+8.736-2.15-2.496+3.33-2.15+8.736-1.4+4.057-2.153+9.216-1.4+4.127-2.277+9.216-2.496-2.153</f>
        <v>32.079</v>
      </c>
      <c r="H105" s="16">
        <v>1</v>
      </c>
      <c r="I105" s="16">
        <v>1</v>
      </c>
      <c r="J105" s="27">
        <f t="shared" si="7"/>
        <v>32.079</v>
      </c>
    </row>
    <row r="106" s="2" customFormat="1" ht="13" customHeight="1" spans="1:10">
      <c r="A106" s="16"/>
      <c r="B106" s="16"/>
      <c r="C106" s="37" t="s">
        <v>151</v>
      </c>
      <c r="D106" s="16" t="s">
        <v>381</v>
      </c>
      <c r="E106" s="16"/>
      <c r="F106" s="16" t="s">
        <v>118</v>
      </c>
      <c r="G106" s="16">
        <f>(10+11)*0.4</f>
        <v>8.4</v>
      </c>
      <c r="H106" s="16">
        <v>1</v>
      </c>
      <c r="I106" s="16">
        <v>1</v>
      </c>
      <c r="J106" s="27">
        <f t="shared" si="7"/>
        <v>8.4</v>
      </c>
    </row>
    <row r="107" s="2" customFormat="1" ht="12" spans="1:10">
      <c r="A107" s="16">
        <v>8</v>
      </c>
      <c r="B107" s="16"/>
      <c r="C107" s="37" t="s">
        <v>259</v>
      </c>
      <c r="D107" s="16"/>
      <c r="E107" s="16"/>
      <c r="F107" s="16" t="s">
        <v>165</v>
      </c>
      <c r="G107" s="16"/>
      <c r="H107" s="16">
        <v>1</v>
      </c>
      <c r="I107" s="16">
        <v>1</v>
      </c>
      <c r="J107" s="27">
        <f t="shared" si="7"/>
        <v>0</v>
      </c>
    </row>
    <row r="108" s="2" customFormat="1" ht="12" spans="1:10">
      <c r="A108" s="16">
        <v>9</v>
      </c>
      <c r="B108" s="16"/>
      <c r="C108" s="37" t="s">
        <v>160</v>
      </c>
      <c r="D108" s="16"/>
      <c r="E108" s="16"/>
      <c r="F108" s="16" t="s">
        <v>99</v>
      </c>
      <c r="G108" s="16">
        <v>2</v>
      </c>
      <c r="H108" s="16">
        <v>1</v>
      </c>
      <c r="I108" s="16">
        <v>1</v>
      </c>
      <c r="J108" s="26">
        <f t="shared" si="7"/>
        <v>2</v>
      </c>
    </row>
    <row r="109" s="2" customFormat="1" spans="1:10">
      <c r="A109" s="33" t="s">
        <v>69</v>
      </c>
      <c r="B109" s="33"/>
      <c r="C109" s="34" t="s">
        <v>382</v>
      </c>
      <c r="D109" s="33" t="s">
        <v>380</v>
      </c>
      <c r="E109" s="34"/>
      <c r="F109" s="34"/>
      <c r="G109" s="33"/>
      <c r="H109" s="33"/>
      <c r="I109" s="33"/>
      <c r="J109" s="33"/>
    </row>
    <row r="110" s="2" customFormat="1" ht="24" spans="1:10">
      <c r="A110" s="16">
        <v>1</v>
      </c>
      <c r="B110" s="16" t="s">
        <v>349</v>
      </c>
      <c r="C110" s="35" t="s">
        <v>143</v>
      </c>
      <c r="D110" s="16" t="s">
        <v>350</v>
      </c>
      <c r="E110" s="36" t="s">
        <v>351</v>
      </c>
      <c r="F110" s="36" t="s">
        <v>118</v>
      </c>
      <c r="G110" s="8">
        <f>(1.25+1.24)*1.2+(1.6+1.25)*2.5</f>
        <v>10.113</v>
      </c>
      <c r="H110" s="16">
        <v>1</v>
      </c>
      <c r="I110" s="16">
        <v>1</v>
      </c>
      <c r="J110" s="25">
        <f t="shared" ref="J110:J118" si="8">I110*H110*G110</f>
        <v>10.113</v>
      </c>
    </row>
    <row r="111" s="2" customFormat="1" ht="12" spans="1:10">
      <c r="A111" s="16">
        <v>2</v>
      </c>
      <c r="B111" s="16"/>
      <c r="C111" s="35" t="s">
        <v>143</v>
      </c>
      <c r="D111" s="16" t="s">
        <v>352</v>
      </c>
      <c r="E111" s="36" t="s">
        <v>353</v>
      </c>
      <c r="F111" s="36" t="s">
        <v>118</v>
      </c>
      <c r="G111" s="8">
        <f>1.2*(1.56+1.82+2.08+1.04)</f>
        <v>7.8</v>
      </c>
      <c r="H111" s="16">
        <v>1</v>
      </c>
      <c r="I111" s="16">
        <v>1</v>
      </c>
      <c r="J111" s="25">
        <f t="shared" si="8"/>
        <v>7.8</v>
      </c>
    </row>
    <row r="112" s="2" customFormat="1" ht="12" spans="1:10">
      <c r="A112" s="16">
        <v>3</v>
      </c>
      <c r="B112" s="16"/>
      <c r="C112" s="37" t="s">
        <v>354</v>
      </c>
      <c r="D112" s="16" t="s">
        <v>253</v>
      </c>
      <c r="E112" s="16" t="s">
        <v>355</v>
      </c>
      <c r="F112" s="16" t="s">
        <v>118</v>
      </c>
      <c r="G112" s="16"/>
      <c r="H112" s="16">
        <v>1</v>
      </c>
      <c r="I112" s="16">
        <v>1</v>
      </c>
      <c r="J112" s="26">
        <f t="shared" si="8"/>
        <v>0</v>
      </c>
    </row>
    <row r="113" s="2" customFormat="1" ht="24" spans="1:10">
      <c r="A113" s="16">
        <v>4</v>
      </c>
      <c r="B113" s="16"/>
      <c r="C113" s="35" t="s">
        <v>143</v>
      </c>
      <c r="D113" s="16" t="s">
        <v>251</v>
      </c>
      <c r="E113" s="16" t="s">
        <v>351</v>
      </c>
      <c r="F113" s="16" t="s">
        <v>118</v>
      </c>
      <c r="G113" s="8">
        <f>27.3-1.2*0.27</f>
        <v>26.976</v>
      </c>
      <c r="H113" s="16">
        <v>1</v>
      </c>
      <c r="I113" s="16">
        <v>1</v>
      </c>
      <c r="J113" s="25">
        <f t="shared" si="8"/>
        <v>26.976</v>
      </c>
    </row>
    <row r="114" s="2" customFormat="1" ht="12" spans="1:10">
      <c r="A114" s="16">
        <v>5</v>
      </c>
      <c r="B114" s="16"/>
      <c r="C114" s="35" t="s">
        <v>143</v>
      </c>
      <c r="D114" s="16" t="s">
        <v>356</v>
      </c>
      <c r="E114" s="16" t="s">
        <v>357</v>
      </c>
      <c r="F114" s="16" t="s">
        <v>118</v>
      </c>
      <c r="G114" s="16"/>
      <c r="H114" s="16">
        <v>1</v>
      </c>
      <c r="I114" s="16">
        <v>1</v>
      </c>
      <c r="J114" s="26">
        <f t="shared" si="8"/>
        <v>0</v>
      </c>
    </row>
    <row r="115" s="2" customFormat="1" ht="21" customHeight="1" spans="1:10">
      <c r="A115" s="16">
        <v>6</v>
      </c>
      <c r="B115" s="16"/>
      <c r="C115" s="37" t="s">
        <v>151</v>
      </c>
      <c r="D115" s="16" t="s">
        <v>251</v>
      </c>
      <c r="E115" s="16"/>
      <c r="F115" s="16" t="s">
        <v>118</v>
      </c>
      <c r="G115" s="8">
        <f>4.054+9.215-2.15-2.595+4.059-2.15+9.215-1.3999+3.333-2.15+14.734-1.394*2+3.333-2.1526+14.735-2.496-2.152</f>
        <v>42.6445</v>
      </c>
      <c r="H115" s="16">
        <v>1</v>
      </c>
      <c r="I115" s="16">
        <v>1</v>
      </c>
      <c r="J115" s="27">
        <f t="shared" si="8"/>
        <v>42.6445</v>
      </c>
    </row>
    <row r="116" s="2" customFormat="1" ht="21" customHeight="1" spans="1:10">
      <c r="A116" s="16"/>
      <c r="B116" s="16"/>
      <c r="C116" s="37" t="s">
        <v>151</v>
      </c>
      <c r="D116" s="16" t="s">
        <v>381</v>
      </c>
      <c r="E116" s="16"/>
      <c r="F116" s="16" t="s">
        <v>118</v>
      </c>
      <c r="G116" s="8">
        <f>(11+13.67)*0.4</f>
        <v>9.868</v>
      </c>
      <c r="H116" s="16">
        <v>1</v>
      </c>
      <c r="I116" s="16">
        <v>1</v>
      </c>
      <c r="J116" s="27">
        <f t="shared" si="8"/>
        <v>9.868</v>
      </c>
    </row>
    <row r="117" s="2" customFormat="1" ht="17" customHeight="1" spans="1:10">
      <c r="A117" s="16">
        <v>8</v>
      </c>
      <c r="B117" s="16"/>
      <c r="C117" s="37" t="s">
        <v>259</v>
      </c>
      <c r="D117" s="16"/>
      <c r="E117" s="16"/>
      <c r="F117" s="16" t="s">
        <v>165</v>
      </c>
      <c r="G117" s="16"/>
      <c r="H117" s="16">
        <v>1</v>
      </c>
      <c r="I117" s="16">
        <v>1</v>
      </c>
      <c r="J117" s="27">
        <f t="shared" si="8"/>
        <v>0</v>
      </c>
    </row>
    <row r="118" s="2" customFormat="1" ht="15" customHeight="1" spans="1:10">
      <c r="A118" s="16">
        <v>9</v>
      </c>
      <c r="B118" s="16"/>
      <c r="C118" s="37" t="s">
        <v>160</v>
      </c>
      <c r="D118" s="16"/>
      <c r="E118" s="16"/>
      <c r="F118" s="16" t="s">
        <v>99</v>
      </c>
      <c r="G118" s="8">
        <v>2</v>
      </c>
      <c r="H118" s="16">
        <v>1</v>
      </c>
      <c r="I118" s="16">
        <v>1</v>
      </c>
      <c r="J118" s="26">
        <f t="shared" si="8"/>
        <v>2</v>
      </c>
    </row>
    <row r="119" s="2" customFormat="1" ht="15" customHeight="1" spans="1:10">
      <c r="A119" s="16"/>
      <c r="B119" s="16"/>
      <c r="C119" s="38" t="s">
        <v>383</v>
      </c>
      <c r="D119" s="33" t="s">
        <v>380</v>
      </c>
      <c r="E119" s="36"/>
      <c r="F119" s="36"/>
      <c r="G119" s="16"/>
      <c r="H119" s="16"/>
      <c r="I119" s="16"/>
      <c r="J119" s="16"/>
    </row>
    <row r="120" s="2" customFormat="1" ht="24" spans="1:10">
      <c r="A120" s="16"/>
      <c r="B120" s="16" t="s">
        <v>361</v>
      </c>
      <c r="C120" s="35" t="s">
        <v>143</v>
      </c>
      <c r="D120" s="16" t="s">
        <v>350</v>
      </c>
      <c r="E120" s="36" t="s">
        <v>351</v>
      </c>
      <c r="F120" s="36" t="s">
        <v>118</v>
      </c>
      <c r="G120" s="39">
        <f>0.919+0.657+(1.23+1.3)*2.5</f>
        <v>7.901</v>
      </c>
      <c r="H120" s="16">
        <v>1</v>
      </c>
      <c r="I120" s="16">
        <v>3</v>
      </c>
      <c r="J120" s="45">
        <f t="shared" ref="J120:J144" si="9">I120*H120*G120</f>
        <v>23.703</v>
      </c>
    </row>
    <row r="121" s="2" customFormat="1" ht="28" customHeight="1" spans="1:10">
      <c r="A121" s="16"/>
      <c r="B121" s="16"/>
      <c r="C121" s="35" t="s">
        <v>143</v>
      </c>
      <c r="D121" s="16" t="s">
        <v>352</v>
      </c>
      <c r="E121" s="36" t="s">
        <v>353</v>
      </c>
      <c r="F121" s="36" t="s">
        <v>118</v>
      </c>
      <c r="G121" s="39">
        <v>8.112</v>
      </c>
      <c r="H121" s="16">
        <v>1</v>
      </c>
      <c r="I121" s="16">
        <v>3</v>
      </c>
      <c r="J121" s="45">
        <f t="shared" si="9"/>
        <v>24.336</v>
      </c>
    </row>
    <row r="122" s="2" customFormat="1" ht="23" customHeight="1" spans="1:10">
      <c r="A122" s="16"/>
      <c r="B122" s="16"/>
      <c r="C122" s="37" t="s">
        <v>354</v>
      </c>
      <c r="D122" s="16" t="s">
        <v>253</v>
      </c>
      <c r="E122" s="16" t="s">
        <v>355</v>
      </c>
      <c r="F122" s="16" t="s">
        <v>118</v>
      </c>
      <c r="G122" s="40"/>
      <c r="H122" s="16">
        <v>1</v>
      </c>
      <c r="I122" s="16">
        <v>3</v>
      </c>
      <c r="J122" s="46">
        <f t="shared" si="9"/>
        <v>0</v>
      </c>
    </row>
    <row r="123" s="2" customFormat="1" ht="24" spans="1:10">
      <c r="A123" s="16"/>
      <c r="B123" s="16"/>
      <c r="C123" s="35" t="s">
        <v>143</v>
      </c>
      <c r="D123" s="16" t="s">
        <v>251</v>
      </c>
      <c r="E123" s="16" t="s">
        <v>351</v>
      </c>
      <c r="F123" s="16" t="s">
        <v>118</v>
      </c>
      <c r="G123" s="41">
        <f>26.97-0.27*1.2</f>
        <v>26.646</v>
      </c>
      <c r="H123" s="16">
        <v>1</v>
      </c>
      <c r="I123" s="16">
        <v>3</v>
      </c>
      <c r="J123" s="45">
        <f t="shared" si="9"/>
        <v>79.938</v>
      </c>
    </row>
    <row r="124" s="1" customFormat="1" spans="1:10">
      <c r="A124" s="16"/>
      <c r="B124" s="16"/>
      <c r="C124" s="35" t="s">
        <v>143</v>
      </c>
      <c r="D124" s="16" t="s">
        <v>356</v>
      </c>
      <c r="E124" s="16" t="s">
        <v>357</v>
      </c>
      <c r="F124" s="16" t="s">
        <v>118</v>
      </c>
      <c r="G124" s="42"/>
      <c r="H124" s="16">
        <v>1</v>
      </c>
      <c r="I124" s="16">
        <v>3</v>
      </c>
      <c r="J124" s="46">
        <f t="shared" si="9"/>
        <v>0</v>
      </c>
    </row>
    <row r="125" s="1" customFormat="1" ht="23" customHeight="1" spans="1:10">
      <c r="A125" s="16"/>
      <c r="B125" s="16"/>
      <c r="C125" s="37" t="s">
        <v>151</v>
      </c>
      <c r="D125" s="16" t="s">
        <v>251</v>
      </c>
      <c r="E125" s="16"/>
      <c r="F125" s="16" t="s">
        <v>118</v>
      </c>
      <c r="G125" s="42">
        <f>26.368*2.4-1.9998-2.15-1.999-2.6037-2.1526-2.495-2.1526</f>
        <v>47.7305</v>
      </c>
      <c r="H125" s="16">
        <v>1</v>
      </c>
      <c r="I125" s="16">
        <v>3</v>
      </c>
      <c r="J125" s="47">
        <f t="shared" si="9"/>
        <v>143.1915</v>
      </c>
    </row>
    <row r="126" s="1" customFormat="1" ht="23" customHeight="1" spans="1:10">
      <c r="A126" s="16"/>
      <c r="B126" s="16"/>
      <c r="C126" s="37" t="s">
        <v>151</v>
      </c>
      <c r="D126" s="16" t="s">
        <v>381</v>
      </c>
      <c r="E126" s="16"/>
      <c r="F126" s="16" t="s">
        <v>118</v>
      </c>
      <c r="G126" s="8">
        <f>26.36*0.4</f>
        <v>10.544</v>
      </c>
      <c r="H126" s="16">
        <v>1</v>
      </c>
      <c r="I126" s="16">
        <v>3</v>
      </c>
      <c r="J126" s="47">
        <f t="shared" si="9"/>
        <v>31.632</v>
      </c>
    </row>
    <row r="127" s="1" customFormat="1" spans="1:10">
      <c r="A127" s="16"/>
      <c r="B127" s="16"/>
      <c r="C127" s="37" t="s">
        <v>259</v>
      </c>
      <c r="D127" s="16"/>
      <c r="E127" s="16"/>
      <c r="F127" s="16" t="s">
        <v>165</v>
      </c>
      <c r="G127" s="42"/>
      <c r="H127" s="16">
        <v>1</v>
      </c>
      <c r="I127" s="16">
        <v>3</v>
      </c>
      <c r="J127" s="47">
        <f t="shared" si="9"/>
        <v>0</v>
      </c>
    </row>
    <row r="128" s="1" customFormat="1" spans="1:10">
      <c r="A128" s="16"/>
      <c r="B128" s="16"/>
      <c r="C128" s="37" t="s">
        <v>160</v>
      </c>
      <c r="D128" s="16"/>
      <c r="E128" s="16"/>
      <c r="F128" s="16" t="s">
        <v>99</v>
      </c>
      <c r="G128" s="16">
        <v>1</v>
      </c>
      <c r="H128" s="16">
        <v>1</v>
      </c>
      <c r="I128" s="16">
        <v>3</v>
      </c>
      <c r="J128" s="46">
        <f t="shared" si="9"/>
        <v>3</v>
      </c>
    </row>
    <row r="129" s="1" customFormat="1" ht="17" customHeight="1" spans="1:10">
      <c r="A129" s="16"/>
      <c r="B129" s="16"/>
      <c r="C129" s="38" t="s">
        <v>383</v>
      </c>
      <c r="D129" s="33" t="s">
        <v>380</v>
      </c>
      <c r="E129" s="36"/>
      <c r="F129" s="36"/>
      <c r="G129" s="16"/>
      <c r="H129" s="16"/>
      <c r="I129" s="16"/>
      <c r="J129" s="40">
        <f t="shared" si="9"/>
        <v>0</v>
      </c>
    </row>
    <row r="130" s="1" customFormat="1" ht="24" spans="1:10">
      <c r="A130" s="16"/>
      <c r="B130" s="16" t="s">
        <v>364</v>
      </c>
      <c r="C130" s="35" t="s">
        <v>143</v>
      </c>
      <c r="D130" s="16" t="s">
        <v>350</v>
      </c>
      <c r="E130" s="36" t="s">
        <v>351</v>
      </c>
      <c r="F130" s="36" t="s">
        <v>118</v>
      </c>
      <c r="G130" s="39">
        <f>0.919+0.657+(1.23+1.3)*2.5</f>
        <v>7.901</v>
      </c>
      <c r="H130" s="16">
        <v>1</v>
      </c>
      <c r="I130" s="16">
        <v>3</v>
      </c>
      <c r="J130" s="45">
        <f t="shared" si="9"/>
        <v>23.703</v>
      </c>
    </row>
    <row r="131" s="1" customFormat="1" ht="23" customHeight="1" spans="1:10">
      <c r="A131" s="16"/>
      <c r="B131" s="16"/>
      <c r="C131" s="35" t="s">
        <v>143</v>
      </c>
      <c r="D131" s="16" t="s">
        <v>352</v>
      </c>
      <c r="E131" s="36" t="s">
        <v>353</v>
      </c>
      <c r="F131" s="36" t="s">
        <v>118</v>
      </c>
      <c r="G131" s="39">
        <v>8.112</v>
      </c>
      <c r="H131" s="16">
        <v>1</v>
      </c>
      <c r="I131" s="16">
        <v>3</v>
      </c>
      <c r="J131" s="45">
        <f t="shared" si="9"/>
        <v>24.336</v>
      </c>
    </row>
    <row r="132" s="1" customFormat="1" ht="20" customHeight="1" spans="1:10">
      <c r="A132" s="16"/>
      <c r="B132" s="16"/>
      <c r="C132" s="37" t="s">
        <v>354</v>
      </c>
      <c r="D132" s="16" t="s">
        <v>253</v>
      </c>
      <c r="E132" s="16" t="s">
        <v>355</v>
      </c>
      <c r="F132" s="16" t="s">
        <v>118</v>
      </c>
      <c r="G132" s="40"/>
      <c r="H132" s="16">
        <v>1</v>
      </c>
      <c r="I132" s="16">
        <v>3</v>
      </c>
      <c r="J132" s="46">
        <f t="shared" si="9"/>
        <v>0</v>
      </c>
    </row>
    <row r="133" s="1" customFormat="1" ht="24" spans="1:11">
      <c r="A133" s="16"/>
      <c r="B133" s="16"/>
      <c r="C133" s="35" t="s">
        <v>143</v>
      </c>
      <c r="D133" s="16" t="s">
        <v>251</v>
      </c>
      <c r="E133" s="16" t="s">
        <v>351</v>
      </c>
      <c r="F133" s="16" t="s">
        <v>118</v>
      </c>
      <c r="G133" s="41">
        <f>29.04-0.27*1.2</f>
        <v>28.716</v>
      </c>
      <c r="H133" s="16">
        <v>1</v>
      </c>
      <c r="I133" s="16">
        <v>1</v>
      </c>
      <c r="J133" s="45">
        <f t="shared" si="9"/>
        <v>28.716</v>
      </c>
      <c r="K133" s="1" t="s">
        <v>384</v>
      </c>
    </row>
    <row r="134" s="1" customFormat="1" ht="24" spans="1:11">
      <c r="A134" s="16"/>
      <c r="B134" s="16"/>
      <c r="C134" s="35" t="s">
        <v>143</v>
      </c>
      <c r="D134" s="16" t="s">
        <v>251</v>
      </c>
      <c r="E134" s="16" t="s">
        <v>385</v>
      </c>
      <c r="F134" s="16" t="s">
        <v>386</v>
      </c>
      <c r="G134" s="41">
        <f>33.56-0.27*1.2</f>
        <v>33.236</v>
      </c>
      <c r="H134" s="16">
        <v>1</v>
      </c>
      <c r="I134" s="16">
        <v>1</v>
      </c>
      <c r="J134" s="45">
        <f t="shared" si="9"/>
        <v>33.236</v>
      </c>
      <c r="K134" s="1" t="s">
        <v>387</v>
      </c>
    </row>
    <row r="135" s="1" customFormat="1" ht="24" spans="1:11">
      <c r="A135" s="16"/>
      <c r="B135" s="16"/>
      <c r="C135" s="35" t="s">
        <v>143</v>
      </c>
      <c r="D135" s="16" t="s">
        <v>251</v>
      </c>
      <c r="E135" s="16" t="s">
        <v>388</v>
      </c>
      <c r="F135" s="16" t="s">
        <v>389</v>
      </c>
      <c r="G135" s="41">
        <f>35.227-0.27*1.2</f>
        <v>34.903</v>
      </c>
      <c r="H135" s="16">
        <v>1</v>
      </c>
      <c r="I135" s="16">
        <v>1</v>
      </c>
      <c r="J135" s="45">
        <f t="shared" si="9"/>
        <v>34.903</v>
      </c>
      <c r="K135" s="1" t="s">
        <v>390</v>
      </c>
    </row>
    <row r="136" s="1" customFormat="1" ht="24" customHeight="1" spans="1:10">
      <c r="A136" s="16"/>
      <c r="B136" s="16"/>
      <c r="C136" s="35" t="s">
        <v>143</v>
      </c>
      <c r="D136" s="16" t="s">
        <v>356</v>
      </c>
      <c r="E136" s="16" t="s">
        <v>357</v>
      </c>
      <c r="F136" s="16" t="s">
        <v>118</v>
      </c>
      <c r="G136" s="42"/>
      <c r="H136" s="16">
        <v>1</v>
      </c>
      <c r="I136" s="16">
        <v>3</v>
      </c>
      <c r="J136" s="46">
        <f t="shared" si="9"/>
        <v>0</v>
      </c>
    </row>
    <row r="137" s="1" customFormat="1" ht="36" customHeight="1" spans="1:11">
      <c r="A137" s="16"/>
      <c r="B137" s="16"/>
      <c r="C137" s="37" t="s">
        <v>151</v>
      </c>
      <c r="D137" s="16" t="s">
        <v>251</v>
      </c>
      <c r="E137" s="16"/>
      <c r="F137" s="16" t="s">
        <v>118</v>
      </c>
      <c r="G137" s="48">
        <f>15.47-1.95-2.236-1.95+(0.24+0.54)*2+18.925-2.808+3.88-2.23+4.17-2.79+18.1-2.24+15.13</f>
        <v>61.031</v>
      </c>
      <c r="H137" s="16">
        <v>1</v>
      </c>
      <c r="I137" s="16">
        <v>1</v>
      </c>
      <c r="J137" s="47">
        <f t="shared" si="9"/>
        <v>61.031</v>
      </c>
      <c r="K137" s="1" t="s">
        <v>384</v>
      </c>
    </row>
    <row r="138" s="1" customFormat="1" ht="36" customHeight="1" spans="1:10">
      <c r="A138" s="16"/>
      <c r="B138" s="16"/>
      <c r="C138" s="37" t="s">
        <v>151</v>
      </c>
      <c r="D138" s="16" t="s">
        <v>381</v>
      </c>
      <c r="E138" s="16"/>
      <c r="F138" s="16" t="s">
        <v>118</v>
      </c>
      <c r="G138" s="8">
        <f>16.42*0.4</f>
        <v>6.568</v>
      </c>
      <c r="H138" s="16">
        <v>1</v>
      </c>
      <c r="I138" s="16">
        <v>1</v>
      </c>
      <c r="J138" s="27">
        <f t="shared" si="9"/>
        <v>6.568</v>
      </c>
    </row>
    <row r="139" s="1" customFormat="1" ht="36" customHeight="1" spans="1:11">
      <c r="A139" s="16"/>
      <c r="B139" s="16"/>
      <c r="C139" s="37" t="s">
        <v>151</v>
      </c>
      <c r="D139" s="16" t="s">
        <v>251</v>
      </c>
      <c r="E139" s="16"/>
      <c r="F139" s="16" t="s">
        <v>386</v>
      </c>
      <c r="G139" s="48">
        <f>15.33-1.93-2.16-1.93+3.85-2.164+21.789-2.78-2.164+0.238+0.476+0.0504+8.34-2.765+11.68+0.238+14.63</f>
        <v>60.7284</v>
      </c>
      <c r="H139" s="16">
        <v>1</v>
      </c>
      <c r="I139" s="16">
        <v>1</v>
      </c>
      <c r="J139" s="47">
        <f t="shared" si="9"/>
        <v>60.7284</v>
      </c>
      <c r="K139" s="1" t="s">
        <v>387</v>
      </c>
    </row>
    <row r="140" s="1" customFormat="1" ht="36" customHeight="1" spans="1:10">
      <c r="A140" s="16"/>
      <c r="B140" s="16"/>
      <c r="C140" s="37" t="s">
        <v>151</v>
      </c>
      <c r="D140" s="16" t="s">
        <v>381</v>
      </c>
      <c r="E140" s="16"/>
      <c r="F140" s="16" t="s">
        <v>118</v>
      </c>
      <c r="G140" s="8">
        <f>20.16*0.4</f>
        <v>8.064</v>
      </c>
      <c r="H140" s="16">
        <v>1</v>
      </c>
      <c r="I140" s="16">
        <v>1</v>
      </c>
      <c r="J140" s="47">
        <f t="shared" si="9"/>
        <v>8.064</v>
      </c>
    </row>
    <row r="141" s="1" customFormat="1" ht="36" customHeight="1" spans="1:11">
      <c r="A141" s="16"/>
      <c r="B141" s="16"/>
      <c r="C141" s="37" t="s">
        <v>151</v>
      </c>
      <c r="D141" s="16" t="s">
        <v>251</v>
      </c>
      <c r="E141" s="16"/>
      <c r="F141" s="16" t="s">
        <v>386</v>
      </c>
      <c r="G141" s="48">
        <f>15.47-1.95*2-2.236+0.54+0.24+21.97-2.24-2.81+3.88-2.236+7.6-2.79+18.45</f>
        <v>51.938</v>
      </c>
      <c r="H141" s="16">
        <v>1</v>
      </c>
      <c r="I141" s="16">
        <v>1</v>
      </c>
      <c r="J141" s="47">
        <f t="shared" si="9"/>
        <v>51.938</v>
      </c>
      <c r="K141" s="1" t="s">
        <v>390</v>
      </c>
    </row>
    <row r="142" s="1" customFormat="1" ht="36" customHeight="1" spans="1:10">
      <c r="A142" s="16"/>
      <c r="B142" s="16"/>
      <c r="C142" s="37" t="s">
        <v>151</v>
      </c>
      <c r="D142" s="16" t="s">
        <v>381</v>
      </c>
      <c r="E142" s="16"/>
      <c r="F142" s="16" t="s">
        <v>118</v>
      </c>
      <c r="G142" s="8">
        <f>18.95*0.4</f>
        <v>7.58</v>
      </c>
      <c r="H142" s="16">
        <v>1</v>
      </c>
      <c r="I142" s="16">
        <v>1</v>
      </c>
      <c r="J142" s="47">
        <f t="shared" si="9"/>
        <v>7.58</v>
      </c>
    </row>
    <row r="143" s="1" customFormat="1" spans="1:10">
      <c r="A143" s="16"/>
      <c r="B143" s="16"/>
      <c r="C143" s="37" t="s">
        <v>259</v>
      </c>
      <c r="D143" s="16"/>
      <c r="E143" s="16"/>
      <c r="F143" s="16" t="s">
        <v>165</v>
      </c>
      <c r="G143" s="42"/>
      <c r="H143" s="16">
        <v>1</v>
      </c>
      <c r="I143" s="16">
        <v>3</v>
      </c>
      <c r="J143" s="47">
        <f t="shared" si="9"/>
        <v>0</v>
      </c>
    </row>
    <row r="144" s="1" customFormat="1" spans="1:10">
      <c r="A144" s="16"/>
      <c r="B144" s="16"/>
      <c r="C144" s="37" t="s">
        <v>160</v>
      </c>
      <c r="D144" s="16"/>
      <c r="E144" s="16"/>
      <c r="F144" s="16" t="s">
        <v>99</v>
      </c>
      <c r="G144" s="16">
        <v>1</v>
      </c>
      <c r="H144" s="16">
        <v>1</v>
      </c>
      <c r="I144" s="16">
        <v>3</v>
      </c>
      <c r="J144" s="46">
        <f t="shared" si="9"/>
        <v>3</v>
      </c>
    </row>
    <row r="145" s="1" customFormat="1" spans="1:10">
      <c r="A145" s="16"/>
      <c r="B145" s="33"/>
      <c r="C145" s="34" t="s">
        <v>383</v>
      </c>
      <c r="D145" s="33" t="s">
        <v>380</v>
      </c>
      <c r="E145" s="34"/>
      <c r="F145" s="34"/>
      <c r="G145" s="33"/>
      <c r="H145" s="33"/>
      <c r="I145" s="33"/>
      <c r="J145" s="33"/>
    </row>
    <row r="146" s="1" customFormat="1" ht="24" spans="1:10">
      <c r="A146" s="16"/>
      <c r="B146" s="16" t="s">
        <v>365</v>
      </c>
      <c r="C146" s="35" t="s">
        <v>143</v>
      </c>
      <c r="D146" s="16" t="s">
        <v>350</v>
      </c>
      <c r="E146" s="36" t="s">
        <v>351</v>
      </c>
      <c r="F146" s="36" t="s">
        <v>118</v>
      </c>
      <c r="G146" s="8">
        <f>(1.25)*1.2</f>
        <v>1.5</v>
      </c>
      <c r="H146" s="16">
        <v>1</v>
      </c>
      <c r="I146" s="16">
        <v>2</v>
      </c>
      <c r="J146" s="25">
        <f t="shared" ref="J146:J154" si="10">I146*H146*G146</f>
        <v>3</v>
      </c>
    </row>
    <row r="147" s="1" customFormat="1" ht="28" customHeight="1" spans="1:10">
      <c r="A147" s="16"/>
      <c r="B147" s="16"/>
      <c r="C147" s="35" t="s">
        <v>143</v>
      </c>
      <c r="D147" s="16" t="s">
        <v>352</v>
      </c>
      <c r="E147" s="36" t="s">
        <v>353</v>
      </c>
      <c r="F147" s="36" t="s">
        <v>118</v>
      </c>
      <c r="G147" s="8">
        <f>1.2*4.42</f>
        <v>5.304</v>
      </c>
      <c r="H147" s="16">
        <v>1</v>
      </c>
      <c r="I147" s="16">
        <v>2</v>
      </c>
      <c r="J147" s="25">
        <f t="shared" si="10"/>
        <v>10.608</v>
      </c>
    </row>
    <row r="148" s="1" customFormat="1" ht="19" customHeight="1" spans="1:10">
      <c r="A148" s="16"/>
      <c r="B148" s="16"/>
      <c r="C148" s="37" t="s">
        <v>354</v>
      </c>
      <c r="D148" s="16" t="s">
        <v>253</v>
      </c>
      <c r="E148" s="16" t="s">
        <v>355</v>
      </c>
      <c r="F148" s="16" t="s">
        <v>118</v>
      </c>
      <c r="G148" s="16"/>
      <c r="H148" s="16">
        <v>1</v>
      </c>
      <c r="I148" s="16">
        <v>2</v>
      </c>
      <c r="J148" s="26">
        <f t="shared" si="10"/>
        <v>0</v>
      </c>
    </row>
    <row r="149" s="1" customFormat="1" ht="24" spans="1:10">
      <c r="A149" s="16"/>
      <c r="B149" s="16"/>
      <c r="C149" s="35" t="s">
        <v>143</v>
      </c>
      <c r="D149" s="16" t="s">
        <v>251</v>
      </c>
      <c r="E149" s="16" t="s">
        <v>351</v>
      </c>
      <c r="F149" s="16" t="s">
        <v>118</v>
      </c>
      <c r="G149" s="8">
        <f>23.84-0.27*1.2</f>
        <v>23.516</v>
      </c>
      <c r="H149" s="16">
        <v>1</v>
      </c>
      <c r="I149" s="16">
        <v>2</v>
      </c>
      <c r="J149" s="25">
        <f t="shared" si="10"/>
        <v>47.032</v>
      </c>
    </row>
    <row r="150" s="1" customFormat="1" spans="1:10">
      <c r="A150" s="16"/>
      <c r="B150" s="16"/>
      <c r="C150" s="35" t="s">
        <v>143</v>
      </c>
      <c r="D150" s="16" t="s">
        <v>356</v>
      </c>
      <c r="E150" s="16" t="s">
        <v>357</v>
      </c>
      <c r="F150" s="16" t="s">
        <v>118</v>
      </c>
      <c r="G150" s="16"/>
      <c r="H150" s="16">
        <v>1</v>
      </c>
      <c r="I150" s="16">
        <v>2</v>
      </c>
      <c r="J150" s="26">
        <f t="shared" si="10"/>
        <v>0</v>
      </c>
    </row>
    <row r="151" s="1" customFormat="1" spans="1:10">
      <c r="A151" s="16"/>
      <c r="B151" s="16"/>
      <c r="C151" s="37" t="s">
        <v>151</v>
      </c>
      <c r="D151" s="16" t="s">
        <v>251</v>
      </c>
      <c r="E151" s="16"/>
      <c r="F151" s="16" t="s">
        <v>118</v>
      </c>
      <c r="G151" s="8">
        <f>3.334-2.153+8.736-2.496-2.153+3.34-2.253+8.736-1.4+4.057-2.164+9.216-1.4+4.127-2.277+9.216-2.153-2.496+(2.1*2+1.1)*0.08*2</f>
        <v>30.665</v>
      </c>
      <c r="H151" s="16">
        <v>1</v>
      </c>
      <c r="I151" s="16">
        <v>2</v>
      </c>
      <c r="J151" s="27">
        <f t="shared" si="10"/>
        <v>61.33</v>
      </c>
    </row>
    <row r="152" s="1" customFormat="1" spans="1:10">
      <c r="A152" s="16"/>
      <c r="B152" s="16"/>
      <c r="C152" s="37" t="s">
        <v>151</v>
      </c>
      <c r="D152" s="16" t="s">
        <v>381</v>
      </c>
      <c r="E152" s="16"/>
      <c r="F152" s="16" t="s">
        <v>118</v>
      </c>
      <c r="G152" s="8">
        <f>(5.35+7.775+10.84+1.737)*0.4</f>
        <v>10.2808</v>
      </c>
      <c r="H152" s="16">
        <v>1</v>
      </c>
      <c r="I152" s="16">
        <v>2</v>
      </c>
      <c r="J152" s="27">
        <f t="shared" si="10"/>
        <v>20.5616</v>
      </c>
    </row>
    <row r="153" s="1" customFormat="1" spans="1:10">
      <c r="A153" s="16"/>
      <c r="B153" s="16"/>
      <c r="C153" s="37" t="s">
        <v>259</v>
      </c>
      <c r="D153" s="16"/>
      <c r="E153" s="16"/>
      <c r="F153" s="16" t="s">
        <v>165</v>
      </c>
      <c r="G153" s="8">
        <f>7.5+5.6+9.9</f>
        <v>23</v>
      </c>
      <c r="H153" s="16">
        <v>1</v>
      </c>
      <c r="I153" s="16">
        <v>2</v>
      </c>
      <c r="J153" s="27">
        <f t="shared" si="10"/>
        <v>46</v>
      </c>
    </row>
    <row r="154" s="1" customFormat="1" spans="1:10">
      <c r="A154" s="16"/>
      <c r="B154" s="16"/>
      <c r="C154" s="37" t="s">
        <v>160</v>
      </c>
      <c r="D154" s="16"/>
      <c r="E154" s="16"/>
      <c r="F154" s="16" t="s">
        <v>99</v>
      </c>
      <c r="G154" s="8">
        <v>2</v>
      </c>
      <c r="H154" s="16">
        <v>1</v>
      </c>
      <c r="I154" s="16">
        <v>2</v>
      </c>
      <c r="J154" s="26">
        <f t="shared" si="10"/>
        <v>4</v>
      </c>
    </row>
    <row r="155" s="1" customFormat="1" spans="1:10">
      <c r="A155" s="16"/>
      <c r="B155" s="16"/>
      <c r="C155" s="34" t="s">
        <v>391</v>
      </c>
      <c r="D155" s="33" t="s">
        <v>392</v>
      </c>
      <c r="E155" s="36"/>
      <c r="F155" s="36"/>
      <c r="G155" s="16"/>
      <c r="H155" s="16"/>
      <c r="I155" s="16"/>
      <c r="J155" s="16"/>
    </row>
    <row r="156" s="1" customFormat="1" ht="24" spans="1:10">
      <c r="A156" s="16">
        <v>1</v>
      </c>
      <c r="B156" s="16" t="s">
        <v>366</v>
      </c>
      <c r="C156" s="35" t="s">
        <v>143</v>
      </c>
      <c r="D156" s="16" t="s">
        <v>350</v>
      </c>
      <c r="E156" s="36" t="s">
        <v>351</v>
      </c>
      <c r="F156" s="36" t="s">
        <v>118</v>
      </c>
      <c r="G156" s="8">
        <f>1.25*1.2+(1.63+1.25)*2.5*2</f>
        <v>15.9</v>
      </c>
      <c r="H156" s="16">
        <v>1</v>
      </c>
      <c r="I156" s="16">
        <v>2</v>
      </c>
      <c r="J156" s="25">
        <f t="shared" ref="J156:J214" si="11">I156*H156*G156</f>
        <v>31.8</v>
      </c>
    </row>
    <row r="157" s="1" customFormat="1" spans="1:10">
      <c r="A157" s="16">
        <v>2</v>
      </c>
      <c r="B157" s="16"/>
      <c r="C157" s="35" t="s">
        <v>143</v>
      </c>
      <c r="D157" s="16" t="s">
        <v>352</v>
      </c>
      <c r="E157" s="36" t="s">
        <v>353</v>
      </c>
      <c r="F157" s="36" t="s">
        <v>118</v>
      </c>
      <c r="G157" s="8">
        <f>1.2*4.2+(1.82*3+1.3)*1.2</f>
        <v>13.152</v>
      </c>
      <c r="H157" s="16">
        <v>1</v>
      </c>
      <c r="I157" s="16">
        <v>2</v>
      </c>
      <c r="J157" s="25">
        <f t="shared" si="11"/>
        <v>26.304</v>
      </c>
    </row>
    <row r="158" s="1" customFormat="1" spans="1:10">
      <c r="A158" s="16">
        <v>3</v>
      </c>
      <c r="B158" s="16"/>
      <c r="C158" s="37" t="s">
        <v>354</v>
      </c>
      <c r="D158" s="16" t="s">
        <v>253</v>
      </c>
      <c r="E158" s="16" t="s">
        <v>355</v>
      </c>
      <c r="F158" s="16" t="s">
        <v>118</v>
      </c>
      <c r="G158" s="7"/>
      <c r="H158" s="16">
        <v>1</v>
      </c>
      <c r="I158" s="16">
        <v>2</v>
      </c>
      <c r="J158" s="26">
        <f t="shared" si="11"/>
        <v>0</v>
      </c>
    </row>
    <row r="159" s="1" customFormat="1" ht="24" spans="1:10">
      <c r="A159" s="16">
        <v>4</v>
      </c>
      <c r="B159" s="16"/>
      <c r="C159" s="35" t="s">
        <v>143</v>
      </c>
      <c r="D159" s="16" t="s">
        <v>251</v>
      </c>
      <c r="E159" s="16" t="s">
        <v>351</v>
      </c>
      <c r="F159" s="16" t="s">
        <v>118</v>
      </c>
      <c r="G159" s="8">
        <f>13.32+5.24+17.21-1.2*0.27</f>
        <v>35.446</v>
      </c>
      <c r="H159" s="16">
        <v>1</v>
      </c>
      <c r="I159" s="16">
        <v>2</v>
      </c>
      <c r="J159" s="25">
        <f t="shared" si="11"/>
        <v>70.892</v>
      </c>
    </row>
    <row r="160" s="1" customFormat="1" spans="1:10">
      <c r="A160" s="16">
        <v>5</v>
      </c>
      <c r="B160" s="16"/>
      <c r="C160" s="35" t="s">
        <v>143</v>
      </c>
      <c r="D160" s="16" t="s">
        <v>356</v>
      </c>
      <c r="E160" s="16" t="s">
        <v>357</v>
      </c>
      <c r="F160" s="16" t="s">
        <v>118</v>
      </c>
      <c r="G160" s="16"/>
      <c r="H160" s="16">
        <v>1</v>
      </c>
      <c r="I160" s="16">
        <v>2</v>
      </c>
      <c r="J160" s="26">
        <f t="shared" si="11"/>
        <v>0</v>
      </c>
    </row>
    <row r="161" s="1" customFormat="1" spans="1:10">
      <c r="A161" s="16">
        <v>6</v>
      </c>
      <c r="B161" s="16"/>
      <c r="C161" s="37" t="s">
        <v>151</v>
      </c>
      <c r="D161" s="16" t="s">
        <v>251</v>
      </c>
      <c r="E161" s="16"/>
      <c r="F161" s="16" t="s">
        <v>118</v>
      </c>
      <c r="G161" s="8">
        <f>(9.959*2.4-2.496-2.184-1.47)*3</f>
        <v>53.2548</v>
      </c>
      <c r="H161" s="16">
        <v>1</v>
      </c>
      <c r="I161" s="16">
        <v>2</v>
      </c>
      <c r="J161" s="27">
        <f t="shared" si="11"/>
        <v>106.5096</v>
      </c>
    </row>
    <row r="162" s="1" customFormat="1" spans="1:10">
      <c r="A162" s="16"/>
      <c r="B162" s="16"/>
      <c r="C162" s="37" t="s">
        <v>151</v>
      </c>
      <c r="D162" s="16" t="s">
        <v>381</v>
      </c>
      <c r="E162" s="16"/>
      <c r="F162" s="16" t="s">
        <v>118</v>
      </c>
      <c r="G162" s="8">
        <f>9.959*0.4</f>
        <v>3.9836</v>
      </c>
      <c r="H162" s="16">
        <v>1</v>
      </c>
      <c r="I162" s="16">
        <v>2</v>
      </c>
      <c r="J162" s="47">
        <f t="shared" si="11"/>
        <v>7.9672</v>
      </c>
    </row>
    <row r="163" s="1" customFormat="1" spans="1:10">
      <c r="A163" s="16">
        <v>8</v>
      </c>
      <c r="B163" s="16"/>
      <c r="C163" s="37" t="s">
        <v>259</v>
      </c>
      <c r="D163" s="16"/>
      <c r="E163" s="16"/>
      <c r="F163" s="16" t="s">
        <v>165</v>
      </c>
      <c r="G163" s="8">
        <f>9.99+4.92+7.2+9.36</f>
        <v>31.47</v>
      </c>
      <c r="H163" s="16">
        <v>1</v>
      </c>
      <c r="I163" s="16">
        <v>2</v>
      </c>
      <c r="J163" s="27">
        <f t="shared" si="11"/>
        <v>62.94</v>
      </c>
    </row>
    <row r="164" s="1" customFormat="1" spans="1:10">
      <c r="A164" s="16">
        <v>9</v>
      </c>
      <c r="B164" s="16"/>
      <c r="C164" s="37" t="s">
        <v>160</v>
      </c>
      <c r="D164" s="16"/>
      <c r="E164" s="16"/>
      <c r="F164" s="16" t="s">
        <v>99</v>
      </c>
      <c r="G164" s="8">
        <v>3</v>
      </c>
      <c r="H164" s="16">
        <v>1</v>
      </c>
      <c r="I164" s="16">
        <v>2</v>
      </c>
      <c r="J164" s="26">
        <f t="shared" si="11"/>
        <v>6</v>
      </c>
    </row>
    <row r="165" s="1" customFormat="1" spans="1:10">
      <c r="A165" s="33">
        <v>1</v>
      </c>
      <c r="B165" s="49" t="s">
        <v>393</v>
      </c>
      <c r="C165" s="50" t="s">
        <v>143</v>
      </c>
      <c r="D165" s="51" t="s">
        <v>350</v>
      </c>
      <c r="E165" s="52"/>
      <c r="F165" s="51" t="s">
        <v>118</v>
      </c>
      <c r="G165" s="20">
        <f>(1.1+0.9)*1.2+(1.53+1.3)*2*2.5</f>
        <v>16.55</v>
      </c>
      <c r="H165" s="51">
        <v>1</v>
      </c>
      <c r="I165" s="51">
        <v>2</v>
      </c>
      <c r="J165" s="25">
        <f t="shared" si="11"/>
        <v>33.1</v>
      </c>
    </row>
    <row r="166" s="1" customFormat="1" spans="1:10">
      <c r="A166" s="33">
        <v>2</v>
      </c>
      <c r="B166" s="53"/>
      <c r="C166" s="50" t="s">
        <v>143</v>
      </c>
      <c r="D166" s="51" t="s">
        <v>352</v>
      </c>
      <c r="E166" s="52"/>
      <c r="F166" s="51" t="s">
        <v>118</v>
      </c>
      <c r="G166" s="20">
        <f>(2.34+1.82*4+1.04)*1.2</f>
        <v>12.792</v>
      </c>
      <c r="H166" s="51">
        <v>1</v>
      </c>
      <c r="I166" s="51">
        <v>2</v>
      </c>
      <c r="J166" s="25">
        <f t="shared" si="11"/>
        <v>25.584</v>
      </c>
    </row>
    <row r="167" s="1" customFormat="1" ht="27" spans="1:11">
      <c r="A167" s="33">
        <v>3</v>
      </c>
      <c r="B167" s="53"/>
      <c r="C167" s="50" t="s">
        <v>143</v>
      </c>
      <c r="D167" s="51" t="s">
        <v>251</v>
      </c>
      <c r="E167" s="52"/>
      <c r="F167" s="51" t="s">
        <v>118</v>
      </c>
      <c r="G167" s="20">
        <f>17.55+0.93-7.64</f>
        <v>10.84</v>
      </c>
      <c r="H167" s="51">
        <v>1</v>
      </c>
      <c r="I167" s="51">
        <v>2</v>
      </c>
      <c r="J167" s="25">
        <f t="shared" si="11"/>
        <v>21.68</v>
      </c>
      <c r="K167" s="1" t="s">
        <v>394</v>
      </c>
    </row>
    <row r="168" s="1" customFormat="1" spans="1:10">
      <c r="A168" s="33">
        <v>4</v>
      </c>
      <c r="B168" s="53"/>
      <c r="C168" s="50" t="s">
        <v>143</v>
      </c>
      <c r="D168" s="51" t="s">
        <v>356</v>
      </c>
      <c r="E168" s="52"/>
      <c r="F168" s="51" t="s">
        <v>118</v>
      </c>
      <c r="G168" s="51"/>
      <c r="H168" s="51">
        <v>1</v>
      </c>
      <c r="I168" s="51">
        <v>2</v>
      </c>
      <c r="J168" s="26">
        <f t="shared" si="11"/>
        <v>0</v>
      </c>
    </row>
    <row r="169" s="1" customFormat="1" ht="12" customHeight="1" spans="1:10">
      <c r="A169" s="33">
        <v>5</v>
      </c>
      <c r="B169" s="53"/>
      <c r="C169" s="54" t="s">
        <v>151</v>
      </c>
      <c r="D169" s="51" t="s">
        <v>251</v>
      </c>
      <c r="E169" s="52"/>
      <c r="F169" s="51" t="s">
        <v>118</v>
      </c>
      <c r="G169" s="20">
        <f>10.31+15.87-2.183-2+10.31-2.45+15.87-2.45-2.36-2-0.52-9.57*2.27</f>
        <v>16.6731</v>
      </c>
      <c r="H169" s="51">
        <v>1</v>
      </c>
      <c r="I169" s="51">
        <v>2</v>
      </c>
      <c r="J169" s="27">
        <f t="shared" si="11"/>
        <v>33.3462</v>
      </c>
    </row>
    <row r="170" s="1" customFormat="1" ht="20" customHeight="1" spans="1:10">
      <c r="A170" s="33"/>
      <c r="B170" s="53"/>
      <c r="C170" s="54" t="s">
        <v>151</v>
      </c>
      <c r="D170" s="20" t="s">
        <v>381</v>
      </c>
      <c r="E170" s="52"/>
      <c r="F170" s="51"/>
      <c r="G170" s="20">
        <f>13.49*0.4</f>
        <v>5.396</v>
      </c>
      <c r="H170" s="51">
        <v>1</v>
      </c>
      <c r="I170" s="51">
        <v>2</v>
      </c>
      <c r="J170" s="27">
        <f t="shared" si="11"/>
        <v>10.792</v>
      </c>
    </row>
    <row r="171" s="1" customFormat="1" spans="1:10">
      <c r="A171" s="33">
        <v>6</v>
      </c>
      <c r="B171" s="53"/>
      <c r="C171" s="54" t="s">
        <v>354</v>
      </c>
      <c r="D171" s="51" t="s">
        <v>253</v>
      </c>
      <c r="E171" s="52"/>
      <c r="F171" s="51" t="s">
        <v>118</v>
      </c>
      <c r="G171" s="55"/>
      <c r="H171" s="51">
        <v>1</v>
      </c>
      <c r="I171" s="51">
        <v>2</v>
      </c>
      <c r="J171" s="26">
        <f t="shared" si="11"/>
        <v>0</v>
      </c>
    </row>
    <row r="172" s="1" customFormat="1" spans="1:10">
      <c r="A172" s="33">
        <v>7</v>
      </c>
      <c r="B172" s="53"/>
      <c r="C172" s="54" t="s">
        <v>259</v>
      </c>
      <c r="D172" s="51"/>
      <c r="E172" s="52"/>
      <c r="F172" s="51" t="s">
        <v>165</v>
      </c>
      <c r="G172" s="20">
        <v>22.5</v>
      </c>
      <c r="H172" s="51">
        <v>1</v>
      </c>
      <c r="I172" s="51">
        <v>2</v>
      </c>
      <c r="J172" s="27">
        <f t="shared" si="11"/>
        <v>45</v>
      </c>
    </row>
    <row r="173" s="1" customFormat="1" spans="1:10">
      <c r="A173" s="33">
        <v>8</v>
      </c>
      <c r="B173" s="53"/>
      <c r="C173" s="54" t="s">
        <v>160</v>
      </c>
      <c r="D173" s="51"/>
      <c r="E173" s="52"/>
      <c r="F173" s="51" t="s">
        <v>99</v>
      </c>
      <c r="G173" s="20">
        <v>1</v>
      </c>
      <c r="H173" s="51">
        <v>1</v>
      </c>
      <c r="I173" s="51">
        <v>2</v>
      </c>
      <c r="J173" s="26">
        <f t="shared" si="11"/>
        <v>2</v>
      </c>
    </row>
    <row r="174" s="1" customFormat="1" spans="1:10">
      <c r="A174" s="16">
        <v>1</v>
      </c>
      <c r="B174" s="49" t="s">
        <v>395</v>
      </c>
      <c r="C174" s="50" t="s">
        <v>143</v>
      </c>
      <c r="D174" s="51" t="s">
        <v>350</v>
      </c>
      <c r="E174" s="52"/>
      <c r="F174" s="49" t="s">
        <v>118</v>
      </c>
      <c r="G174" s="56"/>
      <c r="H174" s="51">
        <v>1</v>
      </c>
      <c r="I174" s="51">
        <v>2</v>
      </c>
      <c r="J174" s="25">
        <f t="shared" si="11"/>
        <v>0</v>
      </c>
    </row>
    <row r="175" s="1" customFormat="1" spans="1:10">
      <c r="A175" s="16">
        <v>2</v>
      </c>
      <c r="B175" s="53"/>
      <c r="C175" s="50" t="s">
        <v>143</v>
      </c>
      <c r="D175" s="51" t="s">
        <v>352</v>
      </c>
      <c r="E175" s="52"/>
      <c r="F175" s="49" t="s">
        <v>118</v>
      </c>
      <c r="G175" s="56"/>
      <c r="H175" s="51">
        <v>1</v>
      </c>
      <c r="I175" s="51">
        <v>2</v>
      </c>
      <c r="J175" s="25">
        <f t="shared" si="11"/>
        <v>0</v>
      </c>
    </row>
    <row r="176" s="1" customFormat="1" spans="1:10">
      <c r="A176" s="16">
        <v>3</v>
      </c>
      <c r="B176" s="53"/>
      <c r="C176" s="50" t="s">
        <v>143</v>
      </c>
      <c r="D176" s="51" t="s">
        <v>251</v>
      </c>
      <c r="E176" s="52"/>
      <c r="F176" s="51" t="s">
        <v>118</v>
      </c>
      <c r="G176" s="57">
        <f>30.1-1.2*0.27</f>
        <v>29.776</v>
      </c>
      <c r="H176" s="51">
        <v>1</v>
      </c>
      <c r="I176" s="51">
        <v>2</v>
      </c>
      <c r="J176" s="25">
        <f t="shared" si="11"/>
        <v>59.552</v>
      </c>
    </row>
    <row r="177" s="1" customFormat="1" spans="1:10">
      <c r="A177" s="16">
        <v>4</v>
      </c>
      <c r="B177" s="53"/>
      <c r="C177" s="50" t="s">
        <v>143</v>
      </c>
      <c r="D177" s="51" t="s">
        <v>356</v>
      </c>
      <c r="E177" s="52"/>
      <c r="F177" s="51" t="s">
        <v>118</v>
      </c>
      <c r="G177" s="56"/>
      <c r="H177" s="51">
        <v>1</v>
      </c>
      <c r="I177" s="51">
        <v>2</v>
      </c>
      <c r="J177" s="26">
        <f t="shared" si="11"/>
        <v>0</v>
      </c>
    </row>
    <row r="178" s="1" customFormat="1" spans="1:10">
      <c r="A178" s="16">
        <v>5</v>
      </c>
      <c r="B178" s="53"/>
      <c r="C178" s="54" t="s">
        <v>151</v>
      </c>
      <c r="D178" s="51" t="s">
        <v>251</v>
      </c>
      <c r="E178" s="52"/>
      <c r="F178" s="51" t="s">
        <v>118</v>
      </c>
      <c r="G178" s="20">
        <f>10.89+16.78-2.183-2+10.89-2.45+16.78-2.45-2.36-2-0.52</f>
        <v>41.377</v>
      </c>
      <c r="H178" s="51">
        <v>1</v>
      </c>
      <c r="I178" s="51">
        <v>2</v>
      </c>
      <c r="J178" s="27">
        <f t="shared" si="11"/>
        <v>82.754</v>
      </c>
    </row>
    <row r="179" s="1" customFormat="1" spans="1:10">
      <c r="A179" s="16"/>
      <c r="B179" s="53"/>
      <c r="C179" s="54" t="s">
        <v>151</v>
      </c>
      <c r="D179" s="20" t="s">
        <v>381</v>
      </c>
      <c r="E179" s="52"/>
      <c r="F179" s="51" t="s">
        <v>118</v>
      </c>
      <c r="G179" s="20">
        <f>22.5*0.4</f>
        <v>9</v>
      </c>
      <c r="H179" s="51">
        <v>1</v>
      </c>
      <c r="I179" s="51">
        <v>2</v>
      </c>
      <c r="J179" s="27">
        <f t="shared" si="11"/>
        <v>18</v>
      </c>
    </row>
    <row r="180" s="1" customFormat="1" spans="1:10">
      <c r="A180" s="16">
        <v>6</v>
      </c>
      <c r="B180" s="53"/>
      <c r="C180" s="54" t="s">
        <v>354</v>
      </c>
      <c r="D180" s="51" t="s">
        <v>253</v>
      </c>
      <c r="E180" s="52"/>
      <c r="F180" s="51" t="s">
        <v>118</v>
      </c>
      <c r="G180" s="55"/>
      <c r="H180" s="51">
        <v>1</v>
      </c>
      <c r="I180" s="51">
        <v>2</v>
      </c>
      <c r="J180" s="26">
        <f t="shared" si="11"/>
        <v>0</v>
      </c>
    </row>
    <row r="181" s="1" customFormat="1" spans="1:10">
      <c r="A181" s="16">
        <v>8</v>
      </c>
      <c r="B181" s="53"/>
      <c r="C181" s="54" t="s">
        <v>259</v>
      </c>
      <c r="D181" s="51"/>
      <c r="E181" s="52"/>
      <c r="F181" s="51" t="s">
        <v>165</v>
      </c>
      <c r="G181" s="56"/>
      <c r="H181" s="51">
        <v>1</v>
      </c>
      <c r="I181" s="51">
        <v>2</v>
      </c>
      <c r="J181" s="27">
        <f t="shared" si="11"/>
        <v>0</v>
      </c>
    </row>
    <row r="182" s="1" customFormat="1" spans="1:10">
      <c r="A182" s="16">
        <v>9</v>
      </c>
      <c r="B182" s="53"/>
      <c r="C182" s="54" t="s">
        <v>160</v>
      </c>
      <c r="D182" s="51"/>
      <c r="E182" s="52"/>
      <c r="F182" s="51" t="s">
        <v>99</v>
      </c>
      <c r="G182" s="20">
        <v>1</v>
      </c>
      <c r="H182" s="51">
        <v>1</v>
      </c>
      <c r="I182" s="51">
        <v>2</v>
      </c>
      <c r="J182" s="26">
        <f t="shared" si="11"/>
        <v>2</v>
      </c>
    </row>
    <row r="183" s="1" customFormat="1" ht="34" customHeight="1" spans="1:10">
      <c r="A183" s="16"/>
      <c r="B183" s="36" t="s">
        <v>396</v>
      </c>
      <c r="C183" s="35" t="s">
        <v>143</v>
      </c>
      <c r="D183" s="16" t="s">
        <v>350</v>
      </c>
      <c r="E183" s="58"/>
      <c r="F183" s="16" t="s">
        <v>118</v>
      </c>
      <c r="G183" s="13">
        <f>(1.25*3+1.28*2)*2.5</f>
        <v>15.775</v>
      </c>
      <c r="H183" s="16">
        <v>1</v>
      </c>
      <c r="I183" s="16">
        <v>2</v>
      </c>
      <c r="J183" s="25">
        <f t="shared" si="11"/>
        <v>31.55</v>
      </c>
    </row>
    <row r="184" s="1" customFormat="1" ht="34" customHeight="1" spans="1:10">
      <c r="A184" s="16"/>
      <c r="B184" s="59"/>
      <c r="C184" s="35" t="s">
        <v>143</v>
      </c>
      <c r="D184" s="16" t="s">
        <v>397</v>
      </c>
      <c r="E184" s="58"/>
      <c r="F184" s="16" t="s">
        <v>118</v>
      </c>
      <c r="G184" s="13">
        <v>2.3</v>
      </c>
      <c r="H184" s="16">
        <v>1</v>
      </c>
      <c r="I184" s="16">
        <v>2</v>
      </c>
      <c r="J184" s="25">
        <f t="shared" si="11"/>
        <v>4.6</v>
      </c>
    </row>
    <row r="185" s="1" customFormat="1" ht="25" customHeight="1" spans="1:10">
      <c r="A185" s="16"/>
      <c r="B185" s="59"/>
      <c r="C185" s="35" t="s">
        <v>143</v>
      </c>
      <c r="D185" s="16" t="s">
        <v>352</v>
      </c>
      <c r="E185" s="58"/>
      <c r="F185" s="16" t="s">
        <v>118</v>
      </c>
      <c r="G185" s="13">
        <f>(2.34+1.82*4+1.04)*1.2</f>
        <v>12.792</v>
      </c>
      <c r="H185" s="16">
        <v>1</v>
      </c>
      <c r="I185" s="16">
        <v>2</v>
      </c>
      <c r="J185" s="25">
        <f t="shared" si="11"/>
        <v>25.584</v>
      </c>
    </row>
    <row r="186" s="1" customFormat="1" spans="1:10">
      <c r="A186" s="16"/>
      <c r="B186" s="59"/>
      <c r="C186" s="35" t="s">
        <v>143</v>
      </c>
      <c r="D186" s="16" t="s">
        <v>251</v>
      </c>
      <c r="E186" s="58"/>
      <c r="F186" s="16" t="s">
        <v>118</v>
      </c>
      <c r="G186" s="13">
        <v>11.437</v>
      </c>
      <c r="H186" s="16">
        <v>1</v>
      </c>
      <c r="I186" s="16">
        <v>2</v>
      </c>
      <c r="J186" s="25">
        <f t="shared" si="11"/>
        <v>22.874</v>
      </c>
    </row>
    <row r="187" s="1" customFormat="1" spans="1:10">
      <c r="A187" s="16"/>
      <c r="B187" s="59"/>
      <c r="C187" s="35" t="s">
        <v>143</v>
      </c>
      <c r="D187" s="16" t="s">
        <v>356</v>
      </c>
      <c r="E187" s="58"/>
      <c r="F187" s="16" t="s">
        <v>118</v>
      </c>
      <c r="G187" s="60"/>
      <c r="H187" s="16">
        <v>1</v>
      </c>
      <c r="I187" s="16">
        <v>2</v>
      </c>
      <c r="J187" s="26">
        <f t="shared" si="11"/>
        <v>0</v>
      </c>
    </row>
    <row r="188" s="1" customFormat="1" spans="1:10">
      <c r="A188" s="16"/>
      <c r="B188" s="59"/>
      <c r="C188" s="37" t="s">
        <v>151</v>
      </c>
      <c r="D188" s="16" t="s">
        <v>251</v>
      </c>
      <c r="E188" s="58"/>
      <c r="F188" s="16" t="s">
        <v>118</v>
      </c>
      <c r="G188" s="8">
        <f>12.71-2-2.18+12.71-2.18-2.474+10.566-2+10.566</f>
        <v>35.718</v>
      </c>
      <c r="H188" s="16">
        <v>1</v>
      </c>
      <c r="I188" s="16">
        <v>2</v>
      </c>
      <c r="J188" s="27">
        <f t="shared" si="11"/>
        <v>71.436</v>
      </c>
    </row>
    <row r="189" s="1" customFormat="1" spans="1:10">
      <c r="A189" s="16"/>
      <c r="B189" s="59"/>
      <c r="C189" s="37" t="s">
        <v>354</v>
      </c>
      <c r="D189" s="16" t="s">
        <v>253</v>
      </c>
      <c r="E189" s="58"/>
      <c r="F189" s="16" t="s">
        <v>118</v>
      </c>
      <c r="G189" s="60"/>
      <c r="H189" s="16">
        <v>1</v>
      </c>
      <c r="I189" s="16">
        <v>2</v>
      </c>
      <c r="J189" s="26">
        <f t="shared" si="11"/>
        <v>0</v>
      </c>
    </row>
    <row r="190" s="1" customFormat="1" spans="1:10">
      <c r="A190" s="16"/>
      <c r="B190" s="59"/>
      <c r="C190" s="37" t="s">
        <v>259</v>
      </c>
      <c r="D190" s="16"/>
      <c r="E190" s="58"/>
      <c r="F190" s="16" t="s">
        <v>165</v>
      </c>
      <c r="G190" s="13">
        <v>15.199</v>
      </c>
      <c r="H190" s="16">
        <v>1</v>
      </c>
      <c r="I190" s="16">
        <v>2</v>
      </c>
      <c r="J190" s="27">
        <f t="shared" si="11"/>
        <v>30.398</v>
      </c>
    </row>
    <row r="191" s="1" customFormat="1" spans="1:10">
      <c r="A191" s="16"/>
      <c r="B191" s="59"/>
      <c r="C191" s="37" t="s">
        <v>160</v>
      </c>
      <c r="D191" s="16"/>
      <c r="E191" s="58"/>
      <c r="F191" s="16" t="s">
        <v>99</v>
      </c>
      <c r="G191" s="13">
        <v>1</v>
      </c>
      <c r="H191" s="16">
        <v>1</v>
      </c>
      <c r="I191" s="16">
        <v>2</v>
      </c>
      <c r="J191" s="26">
        <f t="shared" si="11"/>
        <v>2</v>
      </c>
    </row>
    <row r="192" s="1" customFormat="1" spans="1:10">
      <c r="A192" s="16"/>
      <c r="B192" s="36" t="s">
        <v>398</v>
      </c>
      <c r="C192" s="35" t="s">
        <v>143</v>
      </c>
      <c r="D192" s="16" t="s">
        <v>350</v>
      </c>
      <c r="E192" s="58"/>
      <c r="F192" s="16" t="s">
        <v>118</v>
      </c>
      <c r="G192" s="60"/>
      <c r="H192" s="16">
        <v>1</v>
      </c>
      <c r="I192" s="16">
        <v>2</v>
      </c>
      <c r="J192" s="25">
        <f t="shared" si="11"/>
        <v>0</v>
      </c>
    </row>
    <row r="193" s="1" customFormat="1" spans="1:10">
      <c r="A193" s="16"/>
      <c r="B193" s="59"/>
      <c r="C193" s="35" t="s">
        <v>143</v>
      </c>
      <c r="D193" s="16" t="s">
        <v>352</v>
      </c>
      <c r="E193" s="58"/>
      <c r="F193" s="16" t="s">
        <v>118</v>
      </c>
      <c r="G193" s="60"/>
      <c r="H193" s="16">
        <v>1</v>
      </c>
      <c r="I193" s="16">
        <v>2</v>
      </c>
      <c r="J193" s="25">
        <f t="shared" si="11"/>
        <v>0</v>
      </c>
    </row>
    <row r="194" s="1" customFormat="1" spans="1:10">
      <c r="A194" s="16"/>
      <c r="B194" s="59"/>
      <c r="C194" s="35" t="s">
        <v>143</v>
      </c>
      <c r="D194" s="16" t="s">
        <v>399</v>
      </c>
      <c r="E194" s="58"/>
      <c r="F194" s="16" t="s">
        <v>118</v>
      </c>
      <c r="G194" s="60"/>
      <c r="H194" s="16">
        <v>1</v>
      </c>
      <c r="I194" s="16">
        <v>2</v>
      </c>
      <c r="J194" s="25">
        <f t="shared" si="11"/>
        <v>0</v>
      </c>
    </row>
    <row r="195" s="1" customFormat="1" spans="1:10">
      <c r="A195" s="16"/>
      <c r="B195" s="59"/>
      <c r="C195" s="35" t="s">
        <v>143</v>
      </c>
      <c r="D195" s="16" t="s">
        <v>251</v>
      </c>
      <c r="E195" s="58"/>
      <c r="F195" s="16" t="s">
        <v>118</v>
      </c>
      <c r="G195" s="13">
        <v>22.188</v>
      </c>
      <c r="H195" s="16">
        <v>1</v>
      </c>
      <c r="I195" s="16">
        <v>2</v>
      </c>
      <c r="J195" s="25">
        <f t="shared" si="11"/>
        <v>44.376</v>
      </c>
    </row>
    <row r="196" s="1" customFormat="1" spans="1:10">
      <c r="A196" s="16"/>
      <c r="B196" s="59"/>
      <c r="C196" s="35" t="s">
        <v>143</v>
      </c>
      <c r="D196" s="16" t="s">
        <v>356</v>
      </c>
      <c r="E196" s="58"/>
      <c r="F196" s="16" t="s">
        <v>118</v>
      </c>
      <c r="G196" s="60"/>
      <c r="H196" s="16">
        <v>1</v>
      </c>
      <c r="I196" s="16">
        <v>2</v>
      </c>
      <c r="J196" s="26">
        <f t="shared" si="11"/>
        <v>0</v>
      </c>
    </row>
    <row r="197" s="1" customFormat="1" spans="1:10">
      <c r="A197" s="16"/>
      <c r="B197" s="59"/>
      <c r="C197" s="37" t="s">
        <v>151</v>
      </c>
      <c r="D197" s="16" t="s">
        <v>251</v>
      </c>
      <c r="E197" s="58"/>
      <c r="F197" s="16" t="s">
        <v>118</v>
      </c>
      <c r="G197" s="8">
        <f>12.815-2-2.18+10.65-2+12.814-2.495-2.18+10.65</f>
        <v>36.074</v>
      </c>
      <c r="H197" s="16">
        <v>1</v>
      </c>
      <c r="I197" s="16">
        <v>2</v>
      </c>
      <c r="J197" s="27">
        <f t="shared" si="11"/>
        <v>72.148</v>
      </c>
    </row>
    <row r="198" s="1" customFormat="1" spans="1:10">
      <c r="A198" s="16"/>
      <c r="B198" s="59"/>
      <c r="C198" s="54" t="s">
        <v>151</v>
      </c>
      <c r="D198" s="20" t="s">
        <v>381</v>
      </c>
      <c r="E198" s="52"/>
      <c r="F198" s="51" t="s">
        <v>118</v>
      </c>
      <c r="G198" s="20">
        <f>(15.6-2.4*2)*0.4</f>
        <v>4.32</v>
      </c>
      <c r="H198" s="16">
        <v>1</v>
      </c>
      <c r="I198" s="16">
        <v>2</v>
      </c>
      <c r="J198" s="27">
        <f t="shared" si="11"/>
        <v>8.64</v>
      </c>
    </row>
    <row r="199" s="1" customFormat="1" spans="1:10">
      <c r="A199" s="16"/>
      <c r="B199" s="59"/>
      <c r="C199" s="37" t="s">
        <v>354</v>
      </c>
      <c r="D199" s="16" t="s">
        <v>253</v>
      </c>
      <c r="E199" s="58"/>
      <c r="F199" s="16" t="s">
        <v>118</v>
      </c>
      <c r="G199" s="60"/>
      <c r="H199" s="16">
        <v>1</v>
      </c>
      <c r="I199" s="16">
        <v>2</v>
      </c>
      <c r="J199" s="26">
        <f t="shared" si="11"/>
        <v>0</v>
      </c>
    </row>
    <row r="200" s="1" customFormat="1" spans="1:10">
      <c r="A200" s="16"/>
      <c r="B200" s="59"/>
      <c r="C200" s="37" t="s">
        <v>259</v>
      </c>
      <c r="D200" s="16"/>
      <c r="E200" s="58"/>
      <c r="F200" s="16" t="s">
        <v>165</v>
      </c>
      <c r="G200" s="60"/>
      <c r="H200" s="16">
        <v>1</v>
      </c>
      <c r="I200" s="16">
        <v>2</v>
      </c>
      <c r="J200" s="27">
        <f t="shared" si="11"/>
        <v>0</v>
      </c>
    </row>
    <row r="201" s="1" customFormat="1" spans="1:10">
      <c r="A201" s="16"/>
      <c r="B201" s="59"/>
      <c r="C201" s="37" t="s">
        <v>160</v>
      </c>
      <c r="D201" s="16"/>
      <c r="E201" s="58"/>
      <c r="F201" s="16" t="s">
        <v>99</v>
      </c>
      <c r="G201" s="13">
        <v>1</v>
      </c>
      <c r="H201" s="16">
        <v>1</v>
      </c>
      <c r="I201" s="16">
        <v>2</v>
      </c>
      <c r="J201" s="26">
        <f t="shared" si="11"/>
        <v>2</v>
      </c>
    </row>
    <row r="202" s="1" customFormat="1" spans="1:10">
      <c r="A202" s="33" t="s">
        <v>69</v>
      </c>
      <c r="B202" s="33"/>
      <c r="C202" s="34" t="s">
        <v>383</v>
      </c>
      <c r="D202" s="33" t="s">
        <v>380</v>
      </c>
      <c r="E202" s="34"/>
      <c r="F202" s="34"/>
      <c r="G202" s="33"/>
      <c r="H202" s="33"/>
      <c r="I202" s="33"/>
      <c r="J202" s="26">
        <f t="shared" si="11"/>
        <v>0</v>
      </c>
    </row>
    <row r="203" s="1" customFormat="1" ht="24" spans="1:10">
      <c r="A203" s="16">
        <v>1</v>
      </c>
      <c r="B203" s="16" t="s">
        <v>370</v>
      </c>
      <c r="C203" s="35" t="s">
        <v>143</v>
      </c>
      <c r="D203" s="16" t="s">
        <v>350</v>
      </c>
      <c r="E203" s="36" t="s">
        <v>351</v>
      </c>
      <c r="F203" s="36" t="s">
        <v>118</v>
      </c>
      <c r="G203" s="8">
        <f>(1.25+1.24)*1.2+(1.6+1.25)*2.5</f>
        <v>10.113</v>
      </c>
      <c r="H203" s="16">
        <v>1</v>
      </c>
      <c r="I203" s="16">
        <v>2</v>
      </c>
      <c r="J203" s="25">
        <f t="shared" si="11"/>
        <v>20.226</v>
      </c>
    </row>
    <row r="204" s="1" customFormat="1" spans="1:10">
      <c r="A204" s="16">
        <v>2</v>
      </c>
      <c r="B204" s="16"/>
      <c r="C204" s="35" t="s">
        <v>143</v>
      </c>
      <c r="D204" s="16" t="s">
        <v>352</v>
      </c>
      <c r="E204" s="36" t="s">
        <v>353</v>
      </c>
      <c r="F204" s="36" t="s">
        <v>118</v>
      </c>
      <c r="G204" s="8">
        <f>1.2*(1.56+1.82+2.08+1.04)</f>
        <v>7.8</v>
      </c>
      <c r="H204" s="16">
        <v>1</v>
      </c>
      <c r="I204" s="16">
        <v>2</v>
      </c>
      <c r="J204" s="25">
        <f t="shared" si="11"/>
        <v>15.6</v>
      </c>
    </row>
    <row r="205" s="1" customFormat="1" spans="1:10">
      <c r="A205" s="16">
        <v>3</v>
      </c>
      <c r="B205" s="16"/>
      <c r="C205" s="37" t="s">
        <v>354</v>
      </c>
      <c r="D205" s="16" t="s">
        <v>253</v>
      </c>
      <c r="E205" s="16" t="s">
        <v>355</v>
      </c>
      <c r="F205" s="16" t="s">
        <v>118</v>
      </c>
      <c r="G205" s="16"/>
      <c r="H205" s="16">
        <v>1</v>
      </c>
      <c r="I205" s="16">
        <v>2</v>
      </c>
      <c r="J205" s="26">
        <f t="shared" si="11"/>
        <v>0</v>
      </c>
    </row>
    <row r="206" s="1" customFormat="1" ht="24" spans="1:10">
      <c r="A206" s="16">
        <v>4</v>
      </c>
      <c r="B206" s="16"/>
      <c r="C206" s="35" t="s">
        <v>143</v>
      </c>
      <c r="D206" s="16" t="s">
        <v>251</v>
      </c>
      <c r="E206" s="16" t="s">
        <v>351</v>
      </c>
      <c r="F206" s="16" t="s">
        <v>118</v>
      </c>
      <c r="G206" s="8">
        <f>17.19-1.2*0.27</f>
        <v>16.866</v>
      </c>
      <c r="H206" s="16">
        <v>1</v>
      </c>
      <c r="I206" s="16">
        <v>2</v>
      </c>
      <c r="J206" s="25">
        <f t="shared" si="11"/>
        <v>33.732</v>
      </c>
    </row>
    <row r="207" s="1" customFormat="1" spans="1:10">
      <c r="A207" s="16">
        <v>5</v>
      </c>
      <c r="B207" s="16"/>
      <c r="C207" s="35" t="s">
        <v>143</v>
      </c>
      <c r="D207" s="16" t="s">
        <v>356</v>
      </c>
      <c r="E207" s="16" t="s">
        <v>357</v>
      </c>
      <c r="F207" s="16" t="s">
        <v>118</v>
      </c>
      <c r="G207" s="16"/>
      <c r="H207" s="16">
        <v>1</v>
      </c>
      <c r="I207" s="16">
        <v>2</v>
      </c>
      <c r="J207" s="26">
        <f t="shared" si="11"/>
        <v>0</v>
      </c>
    </row>
    <row r="208" s="1" customFormat="1" spans="1:10">
      <c r="A208" s="16">
        <v>6</v>
      </c>
      <c r="B208" s="16"/>
      <c r="C208" s="37" t="s">
        <v>151</v>
      </c>
      <c r="D208" s="16" t="s">
        <v>251</v>
      </c>
      <c r="E208" s="16"/>
      <c r="F208" s="16" t="s">
        <v>118</v>
      </c>
      <c r="G208" s="8">
        <f>3.33+8.735-1.47+3.334-2.18+8.735-2.184-2.495</f>
        <v>15.805</v>
      </c>
      <c r="H208" s="16">
        <v>1</v>
      </c>
      <c r="I208" s="16">
        <v>2</v>
      </c>
      <c r="J208" s="27">
        <f t="shared" si="11"/>
        <v>31.61</v>
      </c>
    </row>
    <row r="209" s="1" customFormat="1" spans="1:10">
      <c r="A209" s="16"/>
      <c r="B209" s="16"/>
      <c r="C209" s="54" t="s">
        <v>151</v>
      </c>
      <c r="D209" s="20" t="s">
        <v>381</v>
      </c>
      <c r="E209" s="52"/>
      <c r="F209" s="51" t="s">
        <v>118</v>
      </c>
      <c r="G209" s="20">
        <f>12.57*0.4</f>
        <v>5.028</v>
      </c>
      <c r="H209" s="16">
        <v>1</v>
      </c>
      <c r="I209" s="16">
        <v>2</v>
      </c>
      <c r="J209" s="27">
        <f t="shared" si="11"/>
        <v>10.056</v>
      </c>
    </row>
    <row r="210" s="1" customFormat="1" spans="1:10">
      <c r="A210" s="16">
        <v>8</v>
      </c>
      <c r="B210" s="16"/>
      <c r="C210" s="37" t="s">
        <v>259</v>
      </c>
      <c r="D210" s="16"/>
      <c r="E210" s="16"/>
      <c r="F210" s="16" t="s">
        <v>165</v>
      </c>
      <c r="G210" s="16"/>
      <c r="H210" s="16">
        <v>1</v>
      </c>
      <c r="I210" s="16">
        <v>2</v>
      </c>
      <c r="J210" s="27">
        <f t="shared" si="11"/>
        <v>0</v>
      </c>
    </row>
    <row r="211" s="1" customFormat="1" spans="1:10">
      <c r="A211" s="16">
        <v>9</v>
      </c>
      <c r="B211" s="16"/>
      <c r="C211" s="37" t="s">
        <v>160</v>
      </c>
      <c r="D211" s="16"/>
      <c r="E211" s="16"/>
      <c r="F211" s="16" t="s">
        <v>99</v>
      </c>
      <c r="G211" s="16">
        <v>1</v>
      </c>
      <c r="H211" s="16">
        <v>1</v>
      </c>
      <c r="I211" s="16">
        <v>2</v>
      </c>
      <c r="J211" s="26">
        <f t="shared" si="11"/>
        <v>2</v>
      </c>
    </row>
    <row r="212" s="1" customFormat="1" spans="1:10">
      <c r="A212" s="16">
        <v>1</v>
      </c>
      <c r="B212" s="36" t="s">
        <v>400</v>
      </c>
      <c r="C212" s="35" t="s">
        <v>143</v>
      </c>
      <c r="D212" s="16" t="s">
        <v>350</v>
      </c>
      <c r="E212" s="58"/>
      <c r="F212" s="16" t="s">
        <v>118</v>
      </c>
      <c r="G212" s="13">
        <f>(2.14+2.14+2.11)*2.5</f>
        <v>15.975</v>
      </c>
      <c r="H212" s="16">
        <v>1</v>
      </c>
      <c r="I212" s="16">
        <v>2</v>
      </c>
      <c r="J212" s="25">
        <f t="shared" si="11"/>
        <v>31.95</v>
      </c>
    </row>
    <row r="213" s="1" customFormat="1" spans="1:10">
      <c r="A213" s="16"/>
      <c r="B213" s="59"/>
      <c r="C213" s="35" t="s">
        <v>143</v>
      </c>
      <c r="D213" s="16" t="s">
        <v>397</v>
      </c>
      <c r="E213" s="58"/>
      <c r="F213" s="16" t="s">
        <v>118</v>
      </c>
      <c r="G213" s="13">
        <v>2.3</v>
      </c>
      <c r="H213" s="16">
        <v>1</v>
      </c>
      <c r="I213" s="16">
        <v>2</v>
      </c>
      <c r="J213" s="25">
        <f t="shared" si="11"/>
        <v>4.6</v>
      </c>
    </row>
    <row r="214" s="1" customFormat="1" spans="1:10">
      <c r="A214" s="16">
        <v>2</v>
      </c>
      <c r="B214" s="59"/>
      <c r="C214" s="35" t="s">
        <v>143</v>
      </c>
      <c r="D214" s="16" t="s">
        <v>352</v>
      </c>
      <c r="E214" s="58"/>
      <c r="F214" s="16" t="s">
        <v>118</v>
      </c>
      <c r="G214" s="61">
        <f>(1.82*3*1.2+1.3)*1.2</f>
        <v>9.4224</v>
      </c>
      <c r="H214" s="16">
        <v>1</v>
      </c>
      <c r="I214" s="16">
        <v>2</v>
      </c>
      <c r="J214" s="25">
        <f t="shared" si="11"/>
        <v>18.8448</v>
      </c>
    </row>
    <row r="215" s="1" customFormat="1" spans="1:10">
      <c r="A215" s="16">
        <v>3</v>
      </c>
      <c r="B215" s="59"/>
      <c r="C215" s="35" t="s">
        <v>143</v>
      </c>
      <c r="D215" s="16" t="s">
        <v>399</v>
      </c>
      <c r="E215" s="58"/>
      <c r="F215" s="16" t="s">
        <v>118</v>
      </c>
      <c r="G215" s="60"/>
      <c r="H215" s="16">
        <v>1</v>
      </c>
      <c r="I215" s="16">
        <v>2</v>
      </c>
      <c r="J215" s="25"/>
    </row>
    <row r="216" s="1" customFormat="1" spans="1:10">
      <c r="A216" s="16">
        <v>4</v>
      </c>
      <c r="B216" s="59"/>
      <c r="C216" s="35" t="s">
        <v>143</v>
      </c>
      <c r="D216" s="16" t="s">
        <v>251</v>
      </c>
      <c r="E216" s="58"/>
      <c r="F216" s="16" t="s">
        <v>118</v>
      </c>
      <c r="G216" s="13">
        <v>22.188</v>
      </c>
      <c r="H216" s="16">
        <v>1</v>
      </c>
      <c r="I216" s="16">
        <v>2</v>
      </c>
      <c r="J216" s="25">
        <f t="shared" ref="J216:J236" si="12">I216*H216*G216</f>
        <v>44.376</v>
      </c>
    </row>
    <row r="217" s="1" customFormat="1" spans="1:10">
      <c r="A217" s="16">
        <v>5</v>
      </c>
      <c r="B217" s="59"/>
      <c r="C217" s="35" t="s">
        <v>143</v>
      </c>
      <c r="D217" s="16" t="s">
        <v>356</v>
      </c>
      <c r="E217" s="58"/>
      <c r="F217" s="16" t="s">
        <v>118</v>
      </c>
      <c r="G217" s="60"/>
      <c r="H217" s="16">
        <v>1</v>
      </c>
      <c r="I217" s="16">
        <v>2</v>
      </c>
      <c r="J217" s="26">
        <f t="shared" si="12"/>
        <v>0</v>
      </c>
    </row>
    <row r="218" s="1" customFormat="1" spans="1:10">
      <c r="A218" s="16">
        <v>6</v>
      </c>
      <c r="B218" s="59"/>
      <c r="C218" s="37" t="s">
        <v>151</v>
      </c>
      <c r="D218" s="16" t="s">
        <v>251</v>
      </c>
      <c r="E218" s="58"/>
      <c r="F218" s="16" t="s">
        <v>118</v>
      </c>
      <c r="G218" s="8">
        <f>12.815-2-2.18+10.65-2+12.814-2.495-2.18+10.65</f>
        <v>36.074</v>
      </c>
      <c r="H218" s="16">
        <v>1</v>
      </c>
      <c r="I218" s="16">
        <v>2</v>
      </c>
      <c r="J218" s="27">
        <f t="shared" si="12"/>
        <v>72.148</v>
      </c>
    </row>
    <row r="219" s="1" customFormat="1" spans="1:10">
      <c r="A219" s="16"/>
      <c r="B219" s="59"/>
      <c r="C219" s="54" t="s">
        <v>151</v>
      </c>
      <c r="D219" s="20" t="s">
        <v>381</v>
      </c>
      <c r="E219" s="52"/>
      <c r="F219" s="51" t="s">
        <v>118</v>
      </c>
      <c r="G219" s="20">
        <f>(15.6-2.4*2)*0.4</f>
        <v>4.32</v>
      </c>
      <c r="H219" s="16">
        <v>1</v>
      </c>
      <c r="I219" s="16">
        <v>2</v>
      </c>
      <c r="J219" s="27">
        <f t="shared" si="12"/>
        <v>8.64</v>
      </c>
    </row>
    <row r="220" s="1" customFormat="1" spans="1:10">
      <c r="A220" s="16">
        <v>7</v>
      </c>
      <c r="B220" s="59"/>
      <c r="C220" s="37" t="s">
        <v>354</v>
      </c>
      <c r="D220" s="16" t="s">
        <v>253</v>
      </c>
      <c r="E220" s="58"/>
      <c r="F220" s="16" t="s">
        <v>118</v>
      </c>
      <c r="G220" s="60"/>
      <c r="H220" s="16">
        <v>1</v>
      </c>
      <c r="I220" s="16">
        <v>2</v>
      </c>
      <c r="J220" s="26">
        <f t="shared" si="12"/>
        <v>0</v>
      </c>
    </row>
    <row r="221" s="1" customFormat="1" spans="1:10">
      <c r="A221" s="16">
        <v>8</v>
      </c>
      <c r="B221" s="59"/>
      <c r="C221" s="37" t="s">
        <v>259</v>
      </c>
      <c r="D221" s="16"/>
      <c r="E221" s="58"/>
      <c r="F221" s="16" t="s">
        <v>165</v>
      </c>
      <c r="G221" s="60"/>
      <c r="H221" s="16">
        <v>1</v>
      </c>
      <c r="I221" s="16">
        <v>2</v>
      </c>
      <c r="J221" s="27">
        <f t="shared" si="12"/>
        <v>0</v>
      </c>
    </row>
    <row r="222" s="1" customFormat="1" spans="1:10">
      <c r="A222" s="16">
        <v>9</v>
      </c>
      <c r="B222" s="59"/>
      <c r="C222" s="37" t="s">
        <v>160</v>
      </c>
      <c r="D222" s="16"/>
      <c r="E222" s="58"/>
      <c r="F222" s="16" t="s">
        <v>99</v>
      </c>
      <c r="G222" s="13">
        <v>1</v>
      </c>
      <c r="H222" s="16">
        <v>1</v>
      </c>
      <c r="I222" s="16">
        <v>2</v>
      </c>
      <c r="J222" s="26">
        <f t="shared" si="12"/>
        <v>2</v>
      </c>
    </row>
    <row r="223" s="1" customFormat="1" ht="24" spans="1:10">
      <c r="A223" s="16">
        <v>1</v>
      </c>
      <c r="B223" s="16" t="s">
        <v>377</v>
      </c>
      <c r="C223" s="35" t="s">
        <v>143</v>
      </c>
      <c r="D223" s="16" t="s">
        <v>350</v>
      </c>
      <c r="E223" s="36" t="s">
        <v>351</v>
      </c>
      <c r="F223" s="36" t="s">
        <v>118</v>
      </c>
      <c r="G223" s="8">
        <f>(1.25)*1.2+(1.63*2+1.25*2)*2.5</f>
        <v>15.9</v>
      </c>
      <c r="H223" s="16">
        <v>1</v>
      </c>
      <c r="I223" s="16">
        <v>2</v>
      </c>
      <c r="J223" s="25">
        <f t="shared" si="12"/>
        <v>31.8</v>
      </c>
    </row>
    <row r="224" s="1" customFormat="1" ht="25" customHeight="1" spans="1:10">
      <c r="A224" s="16">
        <v>2</v>
      </c>
      <c r="B224" s="16"/>
      <c r="C224" s="35" t="s">
        <v>143</v>
      </c>
      <c r="D224" s="16" t="s">
        <v>352</v>
      </c>
      <c r="E224" s="36" t="s">
        <v>353</v>
      </c>
      <c r="F224" s="36" t="s">
        <v>118</v>
      </c>
      <c r="G224" s="8">
        <f>1.2*(4.42+1.82*3+1.3)</f>
        <v>13.416</v>
      </c>
      <c r="H224" s="16">
        <v>1</v>
      </c>
      <c r="I224" s="16">
        <v>2</v>
      </c>
      <c r="J224" s="25">
        <f t="shared" si="12"/>
        <v>26.832</v>
      </c>
    </row>
    <row r="225" s="1" customFormat="1" ht="25" customHeight="1" spans="1:10">
      <c r="A225" s="16">
        <v>3</v>
      </c>
      <c r="B225" s="16"/>
      <c r="C225" s="37" t="s">
        <v>354</v>
      </c>
      <c r="D225" s="16" t="s">
        <v>253</v>
      </c>
      <c r="E225" s="16" t="s">
        <v>355</v>
      </c>
      <c r="F225" s="16" t="s">
        <v>118</v>
      </c>
      <c r="G225" s="16"/>
      <c r="H225" s="16">
        <v>1</v>
      </c>
      <c r="I225" s="16">
        <v>2</v>
      </c>
      <c r="J225" s="26">
        <f t="shared" si="12"/>
        <v>0</v>
      </c>
    </row>
    <row r="226" s="1" customFormat="1" ht="24" spans="1:10">
      <c r="A226" s="16">
        <v>4</v>
      </c>
      <c r="B226" s="16"/>
      <c r="C226" s="35" t="s">
        <v>143</v>
      </c>
      <c r="D226" s="16" t="s">
        <v>401</v>
      </c>
      <c r="E226" s="16" t="s">
        <v>351</v>
      </c>
      <c r="F226" s="16" t="s">
        <v>118</v>
      </c>
      <c r="G226" s="8">
        <f>5.786+6.81</f>
        <v>12.596</v>
      </c>
      <c r="H226" s="16">
        <v>1</v>
      </c>
      <c r="I226" s="16">
        <v>2</v>
      </c>
      <c r="J226" s="25">
        <f t="shared" si="12"/>
        <v>25.192</v>
      </c>
    </row>
    <row r="227" s="1" customFormat="1" spans="1:10">
      <c r="A227" s="16">
        <v>5</v>
      </c>
      <c r="B227" s="16"/>
      <c r="C227" s="35" t="s">
        <v>143</v>
      </c>
      <c r="D227" s="16" t="s">
        <v>356</v>
      </c>
      <c r="E227" s="16" t="s">
        <v>357</v>
      </c>
      <c r="F227" s="16" t="s">
        <v>118</v>
      </c>
      <c r="G227" s="16"/>
      <c r="H227" s="16">
        <v>1</v>
      </c>
      <c r="I227" s="16">
        <v>2</v>
      </c>
      <c r="J227" s="26">
        <f t="shared" si="12"/>
        <v>0</v>
      </c>
    </row>
    <row r="228" s="1" customFormat="1" ht="24" spans="1:10">
      <c r="A228" s="16">
        <v>6</v>
      </c>
      <c r="B228" s="16"/>
      <c r="C228" s="37" t="s">
        <v>151</v>
      </c>
      <c r="D228" s="16" t="s">
        <v>401</v>
      </c>
      <c r="E228" s="16"/>
      <c r="F228" s="16" t="s">
        <v>118</v>
      </c>
      <c r="G228" s="8">
        <f>(10.99+12.599-0.2*4*2-1.3)*2.4-1.1*2.1*4-0.7*2.1*2-2.495*2</f>
        <v>32.4836</v>
      </c>
      <c r="H228" s="16">
        <v>1</v>
      </c>
      <c r="I228" s="16">
        <v>2</v>
      </c>
      <c r="J228" s="27">
        <f t="shared" si="12"/>
        <v>64.9672</v>
      </c>
    </row>
    <row r="229" s="1" customFormat="1" spans="1:10">
      <c r="A229" s="16">
        <v>8</v>
      </c>
      <c r="B229" s="16"/>
      <c r="C229" s="37" t="s">
        <v>259</v>
      </c>
      <c r="D229" s="16"/>
      <c r="E229" s="16"/>
      <c r="F229" s="16" t="s">
        <v>165</v>
      </c>
      <c r="G229" s="8">
        <f>(10.99+12.599-0.2*4*2-1.3)</f>
        <v>20.689</v>
      </c>
      <c r="H229" s="16">
        <v>1</v>
      </c>
      <c r="I229" s="16">
        <v>2</v>
      </c>
      <c r="J229" s="27">
        <f t="shared" si="12"/>
        <v>41.378</v>
      </c>
    </row>
    <row r="230" s="1" customFormat="1" spans="1:10">
      <c r="A230" s="16">
        <v>9</v>
      </c>
      <c r="B230" s="16"/>
      <c r="C230" s="37" t="s">
        <v>160</v>
      </c>
      <c r="D230" s="16"/>
      <c r="E230" s="16"/>
      <c r="F230" s="16" t="s">
        <v>99</v>
      </c>
      <c r="G230" s="16">
        <v>2</v>
      </c>
      <c r="H230" s="16">
        <v>1</v>
      </c>
      <c r="I230" s="16">
        <v>2</v>
      </c>
      <c r="J230" s="26">
        <f t="shared" si="12"/>
        <v>4</v>
      </c>
    </row>
    <row r="231" s="1" customFormat="1" ht="24" spans="1:10">
      <c r="A231" s="5"/>
      <c r="B231" s="5" t="s">
        <v>402</v>
      </c>
      <c r="C231" s="35" t="s">
        <v>143</v>
      </c>
      <c r="D231" s="16" t="s">
        <v>251</v>
      </c>
      <c r="E231" s="16" t="s">
        <v>351</v>
      </c>
      <c r="F231" s="16" t="s">
        <v>118</v>
      </c>
      <c r="G231" s="8">
        <f>17.19-1.2*0.27</f>
        <v>16.866</v>
      </c>
      <c r="H231" s="16">
        <v>1</v>
      </c>
      <c r="I231" s="16">
        <v>2</v>
      </c>
      <c r="J231" s="25">
        <f t="shared" si="12"/>
        <v>33.732</v>
      </c>
    </row>
    <row r="232" s="1" customFormat="1" spans="1:10">
      <c r="A232" s="5"/>
      <c r="B232" s="5"/>
      <c r="C232" s="35" t="s">
        <v>143</v>
      </c>
      <c r="D232" s="16" t="s">
        <v>356</v>
      </c>
      <c r="E232" s="16" t="s">
        <v>357</v>
      </c>
      <c r="F232" s="16" t="s">
        <v>118</v>
      </c>
      <c r="G232" s="16"/>
      <c r="H232" s="16">
        <v>1</v>
      </c>
      <c r="I232" s="16">
        <v>2</v>
      </c>
      <c r="J232" s="26">
        <f t="shared" si="12"/>
        <v>0</v>
      </c>
    </row>
    <row r="233" s="1" customFormat="1" spans="1:10">
      <c r="A233" s="5"/>
      <c r="B233" s="5"/>
      <c r="C233" s="37" t="s">
        <v>151</v>
      </c>
      <c r="D233" s="16" t="s">
        <v>251</v>
      </c>
      <c r="E233" s="16"/>
      <c r="F233" s="16" t="s">
        <v>118</v>
      </c>
      <c r="G233" s="8">
        <f>3.33+8.735-1.47+3.334-2.18+8.735-2.184-2.495</f>
        <v>15.805</v>
      </c>
      <c r="H233" s="16">
        <v>1</v>
      </c>
      <c r="I233" s="16">
        <v>2</v>
      </c>
      <c r="J233" s="27">
        <f t="shared" si="12"/>
        <v>31.61</v>
      </c>
    </row>
    <row r="234" s="1" customFormat="1" spans="1:10">
      <c r="A234" s="5"/>
      <c r="B234" s="5"/>
      <c r="C234" s="54" t="s">
        <v>151</v>
      </c>
      <c r="D234" s="20" t="s">
        <v>381</v>
      </c>
      <c r="E234" s="52"/>
      <c r="F234" s="51" t="s">
        <v>118</v>
      </c>
      <c r="G234" s="20">
        <f>12.57*0.4</f>
        <v>5.028</v>
      </c>
      <c r="H234" s="16">
        <v>1</v>
      </c>
      <c r="I234" s="16">
        <v>2</v>
      </c>
      <c r="J234" s="27">
        <f t="shared" si="12"/>
        <v>10.056</v>
      </c>
    </row>
    <row r="235" s="1" customFormat="1" spans="1:10">
      <c r="A235" s="5"/>
      <c r="B235" s="5"/>
      <c r="C235" s="37" t="s">
        <v>259</v>
      </c>
      <c r="D235" s="16"/>
      <c r="E235" s="16"/>
      <c r="F235" s="16" t="s">
        <v>165</v>
      </c>
      <c r="G235" s="16"/>
      <c r="H235" s="16">
        <v>1</v>
      </c>
      <c r="I235" s="16">
        <v>2</v>
      </c>
      <c r="J235" s="27">
        <f t="shared" si="12"/>
        <v>0</v>
      </c>
    </row>
    <row r="236" s="1" customFormat="1" spans="1:10">
      <c r="A236" s="5"/>
      <c r="B236" s="5"/>
      <c r="C236" s="37" t="s">
        <v>160</v>
      </c>
      <c r="D236" s="16"/>
      <c r="E236" s="16"/>
      <c r="F236" s="16" t="s">
        <v>99</v>
      </c>
      <c r="G236" s="16">
        <v>1</v>
      </c>
      <c r="H236" s="16">
        <v>1</v>
      </c>
      <c r="I236" s="16">
        <v>2</v>
      </c>
      <c r="J236" s="26">
        <f t="shared" si="12"/>
        <v>2</v>
      </c>
    </row>
  </sheetData>
  <mergeCells count="28">
    <mergeCell ref="A1:J1"/>
    <mergeCell ref="B4:B12"/>
    <mergeCell ref="B13:B23"/>
    <mergeCell ref="B24:B34"/>
    <mergeCell ref="B35:B43"/>
    <mergeCell ref="B44:B52"/>
    <mergeCell ref="B53:B61"/>
    <mergeCell ref="B62:B70"/>
    <mergeCell ref="B71:B79"/>
    <mergeCell ref="B80:B88"/>
    <mergeCell ref="B89:B97"/>
    <mergeCell ref="B100:B108"/>
    <mergeCell ref="B110:B118"/>
    <mergeCell ref="B120:B128"/>
    <mergeCell ref="B130:B144"/>
    <mergeCell ref="B146:B154"/>
    <mergeCell ref="B156:B164"/>
    <mergeCell ref="B165:B173"/>
    <mergeCell ref="B174:B182"/>
    <mergeCell ref="B183:B191"/>
    <mergeCell ref="B192:B201"/>
    <mergeCell ref="B203:B211"/>
    <mergeCell ref="B212:B222"/>
    <mergeCell ref="B223:B230"/>
    <mergeCell ref="B231:B236"/>
    <mergeCell ref="K137:K138"/>
    <mergeCell ref="K139:K140"/>
    <mergeCell ref="K141:K1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结算目录</vt:lpstr>
      <vt:lpstr>结算汇总表</vt:lpstr>
      <vt:lpstr>结算明细汇总表</vt:lpstr>
      <vt:lpstr>一层大堂精装工程-装饰</vt:lpstr>
      <vt:lpstr>一层大堂精装工程-安装</vt:lpstr>
      <vt:lpstr>公共区域装修工程</vt:lpstr>
      <vt:lpstr>单元门头装修工程</vt:lpstr>
      <vt:lpstr>门头钢结构工程量计算</vt:lpstr>
      <vt:lpstr>公区计算底稿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AA</cp:lastModifiedBy>
  <dcterms:created xsi:type="dcterms:W3CDTF">2020-11-19T09:45:00Z</dcterms:created>
  <dcterms:modified xsi:type="dcterms:W3CDTF">2024-12-26T01:47:42Z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39E5BC8846EE4FFA9C5B4660ABF91EF8</vt:lpwstr>
  </property>
</Properties>
</file>