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2" activeTab="4"/>
  </bookViews>
  <sheets>
    <sheet name="单价表-木门" sheetId="18" state="hidden" r:id="rId1"/>
    <sheet name="03、（方案1）综合单价分析表" sheetId="5" state="hidden" r:id="rId2"/>
    <sheet name="01、（方案2）《价格汇总表》" sheetId="12" r:id="rId3"/>
    <sheet name="02（方案2）、《价格清单-门》" sheetId="13" r:id="rId4"/>
    <sheet name="03、（方案2）综合单价分析表" sheetId="14" r:id="rId5"/>
    <sheet name="WpsReserved_CellImgList" sheetId="20" state="veryHidden" r:id="rId6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1" hidden="1">'03、（方案1）综合单价分析表'!$A$1:$XFC$273</definedName>
    <definedName name="_xlnm._FilterDatabase" localSheetId="4" hidden="1">'03、（方案2）综合单价分析表'!$A$1:$XFC$273</definedName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[7]XLR_NoRangeSheet!$B$6</definedName>
    <definedName name="XLRPARAMS_GCMC_" hidden="1">[8]XLR_NoRangeSheet!$B$6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'[3]21'!$B$1:$B$802</definedName>
    <definedName name="ad">'[2]21'!$A$1:$A$802</definedName>
    <definedName name="ae">'[2]21'!$B$1:$B$802</definedName>
    <definedName name="dj">#REF!</definedName>
    <definedName name="iii">#REF!</definedName>
    <definedName name="mj">[5]Sheet1!$E$137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VLOOKUP('[11]1'!IV65533,[13]清单!E11:IR65536,8,FALSE)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IF('[11]1'!D1=0,,VLOOKUP('[11]1'!IQ1,INDIRECT("'"&amp;'[11]1'!$G$4&amp;"'!$B$1:$J$32"),8,FALSE))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IF([12]工程量!$B1="","",ROUND(SUMIF([12]工程量!$O$1:$O$65536,[12]工程量!$O2,[12]工程量!$K$1:$K$65536),2))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垫层突出单边宽">#REF!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IF('[11]1'!E1=0,,VLOOKUP('[11]1'!IR1,[11]材料表!$C$5:$K$145,9,FALSE))</definedName>
    <definedName name="排水沟深">[4]内围地梁钢筋说明!$C$21</definedName>
    <definedName name="数量">#REF!</definedName>
    <definedName name="机械费">VLOOKUP('[11]1'!IV65511,[13]清单!E65514:IR65525,10,FALSE)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VLOOKUP('[11]1'!IV65512,[13]清单!E65515:IR65526,9,FALSE)</definedName>
    <definedName name="汇总表1">'[14]材料损耗(不打印)'!$B$4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VLOOKUP('[11]1'!IV65512,[13]清单!E65515:IR65526,9,FALSE)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VLOOKUP('[11]1'!IV65536,[13]清单!B3:IR14,4,FALSE)</definedName>
    <definedName name="项目名称">VLOOKUP('[11]1'!D65536,[13]清单!F3:IV14,3,FALSE)</definedName>
    <definedName name="ABC">#REF!</definedName>
    <definedName name="CT_01">[17]甲供材!$L$4</definedName>
    <definedName name="CT_02">[17]甲供材!$L$5</definedName>
    <definedName name="CT_03">[17]甲供材!$L$6</definedName>
    <definedName name="CT_04">[17]甲供材!$L$7</definedName>
    <definedName name="CT_05">[17]甲供材!$L$8</definedName>
    <definedName name="CT_06">[17]甲供材!$L$9</definedName>
    <definedName name="Excel_BuiltIn__FilterDatabase_6">#REF!</definedName>
    <definedName name="UP_2">'[16]乙供材（豪装）'!$J$31</definedName>
    <definedName name="WC_1">'[16]乙供材（豪装）'!$J$22</definedName>
    <definedName name="WC_2">'[16]乙供材（豪装）'!$J$23</definedName>
    <definedName name="WC_3">'[16]乙供材（豪装）'!$J$24</definedName>
    <definedName name="WC_4">'[16]乙供材（豪装）'!$J$25</definedName>
    <definedName name="WC_5">'[16]乙供材（豪装）'!$J$26</definedName>
    <definedName name="WC_6">'[16]乙供材（豪装）'!$J$27</definedName>
    <definedName name="WD_1">'[16]乙供材（豪装）'!$J$16</definedName>
    <definedName name="WD_2">'[16]乙供材（豪装）'!$J$17</definedName>
    <definedName name="WD_3">'[16]乙供材（豪装）'!$J$18</definedName>
    <definedName name="_1_2_3">#REF!</definedName>
    <definedName name="_302_台下脸盆">'[16]乙供材（豪装）'!$J$55</definedName>
    <definedName name="_302_脸盆龙头">'[16]乙供材（豪装）'!$J$56</definedName>
    <definedName name="__x1">#REF!</definedName>
    <definedName name="__ys2">#REF!</definedName>
    <definedName name="_ys1">#REF!</definedName>
    <definedName name="dw">[18]单位!$A$1:$A$24</definedName>
    <definedName name="frmCreateSheetList">[19]索引!$A$1</definedName>
    <definedName name="sdsad">#REF!</definedName>
    <definedName name="series01">#REF!</definedName>
    <definedName name="series02">#REF!</definedName>
    <definedName name="series03">#REF!</definedName>
    <definedName name="series18">#REF!</definedName>
    <definedName name="xm">[18]常用项目!$A$1:$A$65536</definedName>
    <definedName name="xvs">#REF!</definedName>
    <definedName name="zxd">#REF!</definedName>
    <definedName name="一级">#REF!</definedName>
    <definedName name="三级">#REF!</definedName>
    <definedName name="个">[24]数据!$C$2:$C$140</definedName>
    <definedName name="中空5">[20]名称!$B$5</definedName>
    <definedName name="中空5g">[20]名称!$B$6</definedName>
    <definedName name="主体">#REF!</definedName>
    <definedName name="主卫地面拼花">#REF!</definedName>
    <definedName name="乳胶漆人工">#REF!</definedName>
    <definedName name="二级">#REF!</definedName>
    <definedName name="交标_CT_01">'[16]甲供主材表（交楼标准）'!$M$6</definedName>
    <definedName name="人工挖土">#REF!</definedName>
    <definedName name="人造米黄">#REF!</definedName>
    <definedName name="价差">#REF!</definedName>
    <definedName name="仿啡网马赛克">#REF!</definedName>
    <definedName name="仿马赛克砖">#REF!</definedName>
    <definedName name="保温">#REF!</definedName>
    <definedName name="其他">[20]名称!$B$24</definedName>
    <definedName name="其他费">[20]名称!$B$29</definedName>
    <definedName name="分项工程名称">[25]数据!$F$2:$F$4</definedName>
    <definedName name="加工">[20]名称!$B$20</definedName>
    <definedName name="包装">[20]名称!$B$21</definedName>
    <definedName name="单价1">[21]综合单价表!$E$6</definedName>
    <definedName name="单价100">[21]综合单价表!$E$133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11">[21]综合单价表!$E$25</definedName>
    <definedName name="单价113">[21]综合单价表!$E$149</definedName>
    <definedName name="单价114">[21]综合单价表!$E$150</definedName>
    <definedName name="单价115">[21]综合单价表!$E$151</definedName>
    <definedName name="单价119">[21]综合单价表!$E$155</definedName>
    <definedName name="单价12">[21]综合单价表!$E$26</definedName>
    <definedName name="单价127">[21]综合单价表!$E$163</definedName>
    <definedName name="单价128">[21]综合单价表!$E$164</definedName>
    <definedName name="单价13">[21]综合单价表!$E$27</definedName>
    <definedName name="单价130">[21]综合单价表!$E$166</definedName>
    <definedName name="单价131">[21]综合单价表!$E$167</definedName>
    <definedName name="单价135">[21]综合单价表!$E$172</definedName>
    <definedName name="单价136">[21]综合单价表!$E$173</definedName>
    <definedName name="单价137">[21]综合单价表!$E$174</definedName>
    <definedName name="单价139">[21]综合单价表!$E$176</definedName>
    <definedName name="单价14">[21]综合单价表!$E$28</definedName>
    <definedName name="单价157">[21]综合单价表!$E$148</definedName>
    <definedName name="单价16">[21]综合单价表!$E$30</definedName>
    <definedName name="单价18">[21]综合单价表!$E$32</definedName>
    <definedName name="单价19">[21]综合单价表!$E$33</definedName>
    <definedName name="单价2">[21]综合单价表!$E$7</definedName>
    <definedName name="单价20">[21]综合单价表!$E$34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">[21]综合单价表!$E$37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">[21]综合单价表!$E$38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">[21]综合单价表!$E$39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6">[21]综合单价表!$E$43</definedName>
    <definedName name="单价27">[21]综合单价表!$E$44</definedName>
    <definedName name="单价28">[21]综合单价表!$E$45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29">[21]综合单价表!$E$46</definedName>
    <definedName name="单价30">[21]综合单价表!$E$48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32">[21]综合单价表!$E$52</definedName>
    <definedName name="单价33">[21]综合单价表!$E$53</definedName>
    <definedName name="单价34">[21]综合单价表!$E$54</definedName>
    <definedName name="单价35">[21]综合单价表!$E$55</definedName>
    <definedName name="单价37">[21]综合单价表!$E$57</definedName>
    <definedName name="单价39">[21]综合单价表!$E$59</definedName>
    <definedName name="单价4">[21]综合单价表!$E$14</definedName>
    <definedName name="单价40">[21]综合单价表!$E$60</definedName>
    <definedName name="单价401">#REF!</definedName>
    <definedName name="单价42">[21]综合单价表!$E$62</definedName>
    <definedName name="单价46">#REF!</definedName>
    <definedName name="单价5">[21]综合单价表!$E$16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54">[21]综合单价表!$E$76</definedName>
    <definedName name="单价55">[21]综合单价表!$E$77</definedName>
    <definedName name="单价56">[21]综合单价表!$E$80</definedName>
    <definedName name="单价57">[21]综合单价表!$E$81</definedName>
    <definedName name="单价58">[21]综合单价表!$E$82</definedName>
    <definedName name="单价6">[21]综合单价表!$E$17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">[21]综合单价表!$E$85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">[21]综合单价表!$E$86</definedName>
    <definedName name="单价621">#REF!</definedName>
    <definedName name="单价622">#REF!</definedName>
    <definedName name="单价623">#REF!</definedName>
    <definedName name="单价63">[21]综合单价表!$E$92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">[21]综合单价表!$E$93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67">#REF!</definedName>
    <definedName name="单价7">[21]综合单价表!$E$20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3">[21]综合单价表!$E$103</definedName>
    <definedName name="单价74">[21]综合单价表!$E$104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75">[21]综合单价表!$E$105</definedName>
    <definedName name="单价76">[21]综合单价表!$E$106</definedName>
    <definedName name="单价77">[21]综合单价表!$E$107</definedName>
    <definedName name="单价78">[21]综合单价表!$E$108</definedName>
    <definedName name="单价79">[21]综合单价表!$E$110</definedName>
    <definedName name="单价8">[21]综合单价表!$E$21</definedName>
    <definedName name="单价80">[21]综合单价表!$E$111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1">[21]综合单价表!$E$112</definedName>
    <definedName name="单价82">[21]综合单价表!$E$113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85">[21]综合单价表!$E$116</definedName>
    <definedName name="单价86">[21]综合单价表!$E$117</definedName>
    <definedName name="单价87">[21]综合单价表!$E$119</definedName>
    <definedName name="单价89">[21]综合单价表!$E$121</definedName>
    <definedName name="单价90">[21]综合单价表!$E$122</definedName>
    <definedName name="单价93">[21]综合单价表!$E$126</definedName>
    <definedName name="单价94">[21]综合单价表!$E$127</definedName>
    <definedName name="单价95">[21]综合单价表!$E$128</definedName>
    <definedName name="单价96">[21]综合单价表!$E$129</definedName>
    <definedName name="单价97">[21]综合单价表!$E$130</definedName>
    <definedName name="单价98">[21]综合单价表!$E$131</definedName>
    <definedName name="单价99">[21]综合单价表!$E$132</definedName>
    <definedName name="单位">[25]数据!$A$2:$A$16</definedName>
    <definedName name="卡布奇诺">'[16]乙供材（豪装）'!$J$11</definedName>
    <definedName name="卧室门及门套及五金">[17]甲供材!$L$10</definedName>
    <definedName name="卫生间陶粒回填">#REF!</definedName>
    <definedName name="厕纸架">'[16]乙供材（豪装）'!$J$66</definedName>
    <definedName name="厨房木门及门套及五金">[17]甲供材!$L$11</definedName>
    <definedName name="双层石膏板人工">#REF!</definedName>
    <definedName name="发泡剂">[20]名称!$B$18</definedName>
    <definedName name="变配电">#REF!</definedName>
    <definedName name="台下脸盆">'[16]乙供材（豪装）'!$J$57</definedName>
    <definedName name="合资胶合板12mm">#REF!</definedName>
    <definedName name="合资胶合板15mm">#REF!</definedName>
    <definedName name="合资胶合板18mm">#REF!</definedName>
    <definedName name="合资胶合板9mm">#REF!</definedName>
    <definedName name="啡慕斯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土方">#REF!</definedName>
    <definedName name="地坪标高">#REF!</definedName>
    <definedName name="地面">#REF!</definedName>
    <definedName name="地面工程">#REF!</definedName>
    <definedName name="地面石材人工">#REF!</definedName>
    <definedName name="地面石材铺贴">#REF!</definedName>
    <definedName name="埃特板">#REF!</definedName>
    <definedName name="埃特板人工">#REF!</definedName>
    <definedName name="墙">#REF!</definedName>
    <definedName name="墙200模">#REF!</definedName>
    <definedName name="墙500模">#REF!</definedName>
    <definedName name="墙地砖人工">#REF!</definedName>
    <definedName name="墙纸">#REF!</definedName>
    <definedName name="墙纸人工">#REF!</definedName>
    <definedName name="墙身">#REF!</definedName>
    <definedName name="墙身工程">#REF!</definedName>
    <definedName name="墙面石材人工">#REF!</definedName>
    <definedName name="墙面石材铺贴">#REF!</definedName>
    <definedName name="复式">#REF!</definedName>
    <definedName name="外墙底漆">#REF!</definedName>
    <definedName name="外墙胶">[20]名称!$B$17</definedName>
    <definedName name="外墙腻子">#REF!</definedName>
    <definedName name="外墙面漆">#REF!</definedName>
    <definedName name="外涂">#REF!</definedName>
    <definedName name="外面砖">#REF!</definedName>
    <definedName name="多乐士配得丽底漆">#REF!</definedName>
    <definedName name="多乐士配得丽面漆">#REF!</definedName>
    <definedName name="大哥和环境是减肥">#REF!</definedName>
    <definedName name="大堂射灯">#REF!</definedName>
    <definedName name="大堂筒灯">#REF!</definedName>
    <definedName name="大堂花灯">#REF!</definedName>
    <definedName name="天棚">#REF!</definedName>
    <definedName name="天沟">#REF!</definedName>
    <definedName name="天花工程">#REF!</definedName>
    <definedName name="天花灯槽">#REF!</definedName>
    <definedName name="天花石膏线C1_450A">#REF!</definedName>
    <definedName name="天花石膏线C1_450B">#REF!</definedName>
    <definedName name="天花窗帘盒人工">#REF!</definedName>
    <definedName name="安装">#REF!</definedName>
    <definedName name="审核单位">""</definedName>
    <definedName name="层数高度">""</definedName>
    <definedName name="屋面">#REF!</definedName>
    <definedName name="山西黑">#REF!</definedName>
    <definedName name="工程名称">"东塔01户型水电安装（装修部分含二次预埋）"</definedName>
    <definedName name="工程类别">""</definedName>
    <definedName name="巴西木纹">'[16]乙供材（豪装）'!$J$7</definedName>
    <definedName name="帕斯高灰">'[16]乙供材（豪装）'!$J$12</definedName>
    <definedName name="帝皇米黄石">#REF!</definedName>
    <definedName name="平开窗">[20]名称!$B$10</definedName>
    <definedName name="建筑">#REF!</definedName>
    <definedName name="建筑装饰">#REF!</definedName>
    <definedName name="建设单位">""</definedName>
    <definedName name="异柱模">#REF!</definedName>
    <definedName name="弱电智能化">#REF!</definedName>
    <definedName name="总措施">[23]总措施项目!$G$11</definedName>
    <definedName name="承台">#REF!</definedName>
    <definedName name="承台编号">#REF!</definedName>
    <definedName name="护栏">#REF!</definedName>
    <definedName name="拆除工程">#REF!</definedName>
    <definedName name="拉丝不锈钢">#REF!</definedName>
    <definedName name="挡水石人工">#REF!</definedName>
    <definedName name="挪威森林">'[16]乙供材（豪装）'!$J$5</definedName>
    <definedName name="损耗">[20]名称!$B$32</definedName>
    <definedName name="排气扇">#REF!</definedName>
    <definedName name="断热">[20]名称!$B$3</definedName>
    <definedName name="新砌">#REF!</definedName>
    <definedName name="新西米">#REF!</definedName>
    <definedName name="新西米门套鞋">#REF!</definedName>
    <definedName name="新雅米黄石地面">#REF!</definedName>
    <definedName name="新雅米黄石墙面">#REF!</definedName>
    <definedName name="机电设备">#REF!</definedName>
    <definedName name="材料名称">[25]数据!$B$2:$B$78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标高">#REF!</definedName>
    <definedName name="桩">#REF!</definedName>
    <definedName name="桩模">#REF!</definedName>
    <definedName name="梁模">#REF!</definedName>
    <definedName name="欠">#REF!</definedName>
    <definedName name="水">#REF!</definedName>
    <definedName name="水泥沙">#REF!</definedName>
    <definedName name="水泥砂浆找平">#REF!</definedName>
    <definedName name="水泥砂浆找平人工">#REF!</definedName>
    <definedName name="油漆人工">#REF!</definedName>
    <definedName name="浅啡网">#REF!</definedName>
    <definedName name="浴巾架">'[16]乙供材（豪装）'!$J$67</definedName>
    <definedName name="涂料">#REF!</definedName>
    <definedName name="消防">#REF!</definedName>
    <definedName name="清镜">'[16]乙供材（豪装）'!$J$42</definedName>
    <definedName name="灯带T4">#REF!</definedName>
    <definedName name="灰镜蚀花">'[16]乙供材（豪装）'!$J$43</definedName>
    <definedName name="煤气">#REF!</definedName>
    <definedName name="玻璃胶">[20]名称!$B$16</definedName>
    <definedName name="瓷砖踢脚线人工">#REF!</definedName>
    <definedName name="电">#REF!</definedName>
    <definedName name="电梯厅墙地砖人工">#REF!</definedName>
    <definedName name="电梯厅油漆人工">#REF!</definedName>
    <definedName name="电气安装">#REF!</definedName>
    <definedName name="电气配线">OFFSET([22]电气设置!$J$2,1,MATCH([22]电气计算!IV1,[22]电气设置!$J$2:$IV$2,0)-1,500,1)</definedName>
    <definedName name="真石马赛克">#REF!</definedName>
    <definedName name="矩柱模">#REF!</definedName>
    <definedName name="石材踢脚线人工">#REF!</definedName>
    <definedName name="石膏板9mm">#REF!</definedName>
    <definedName name="石膏板9厘">#REF!</definedName>
    <definedName name="石膏线100乘80">#REF!</definedName>
    <definedName name="石膏线60包人工">#REF!</definedName>
    <definedName name="石膏线安装费">#REF!</definedName>
    <definedName name="砂面钛金不绣钢">#REF!</definedName>
    <definedName name="砌筑">#REF!</definedName>
    <definedName name="砼">#REF!</definedName>
    <definedName name="砼10">#REF!</definedName>
    <definedName name="砼15">#REF!</definedName>
    <definedName name="砼20">#REF!</definedName>
    <definedName name="砼25">#REF!</definedName>
    <definedName name="砼30">#REF!</definedName>
    <definedName name="砼35">#REF!</definedName>
    <definedName name="砼40">#REF!</definedName>
    <definedName name="砼45">#REF!</definedName>
    <definedName name="砼50">#REF!</definedName>
    <definedName name="砼55">#REF!</definedName>
    <definedName name="砼浇">#REF!</definedName>
    <definedName name="窗台石人工">#REF!</definedName>
    <definedName name="窗帘盒人工">#REF!</definedName>
    <definedName name="窗护栏">#REF!</definedName>
    <definedName name="筒灯华辉4寸防雾">#REF!</definedName>
    <definedName name="筒灯华辉9w">#REF!</definedName>
    <definedName name="筒灯欧普">#REF!</definedName>
    <definedName name="管理">[20]名称!$B$27</definedName>
    <definedName name="管理利润费">'[16]1#305 (修改)'!$O$4</definedName>
    <definedName name="紫檀木实木线框安装人工">#REF!</definedName>
    <definedName name="紫檀木镜框实木线120乘50">#REF!</definedName>
    <definedName name="紫檀木镜框实木线60乘25">#REF!</definedName>
    <definedName name="结构">[25]数据!$E$2:$E$5</definedName>
    <definedName name="结构形式">""</definedName>
    <definedName name="结果">清单装修部分M11</definedName>
    <definedName name="给排水">#REF!</definedName>
    <definedName name="编制人">""</definedName>
    <definedName name="编制单位">""</definedName>
    <definedName name="编制日期">"2015年01月16日"</definedName>
    <definedName name="聚氨酯">#REF!</definedName>
    <definedName name="脚手">#REF!</definedName>
    <definedName name="腻子">#REF!</definedName>
    <definedName name="腻子等辅材">#REF!</definedName>
    <definedName name="艾美米黄">'[16]乙供材（豪装）'!$J$13</definedName>
    <definedName name="英国棕">#REF!</definedName>
    <definedName name="英国棕门套鞋">#REF!</definedName>
    <definedName name="装饰">#REF!</definedName>
    <definedName name="西班牙米黄">#REF!</definedName>
    <definedName name="规格型号">[25]数据!$C$2:$C$140</definedName>
    <definedName name="设计单位">""</definedName>
    <definedName name="贝砂金">#REF!</definedName>
    <definedName name="软木">#REF!</definedName>
    <definedName name="轻钢龙骨埃特板天花吊顶">#REF!</definedName>
    <definedName name="辅件">[20]名称!$B$19</definedName>
    <definedName name="运输">[20]名称!$B$22</definedName>
    <definedName name="通风空调">#REF!</definedName>
    <definedName name="采购">#REF!</definedName>
    <definedName name="金属">#REF!</definedName>
    <definedName name="钢12">#REF!</definedName>
    <definedName name="钢3">#REF!</definedName>
    <definedName name="钢化玻璃">'[16]乙供材（豪装）'!$J$37</definedName>
    <definedName name="铝单板2.5mm">#REF!</definedName>
    <definedName name="铝单板人工">#REF!</definedName>
    <definedName name="铝扣板">#REF!</definedName>
    <definedName name="铝扣板人工">#REF!</definedName>
    <definedName name="铝条10mm">#REF!</definedName>
    <definedName name="铝边角">#REF!</definedName>
    <definedName name="镜面钛金不绣钢">#REF!</definedName>
    <definedName name="门套鞋人工">#REF!</definedName>
    <definedName name="门槛石人工">#REF!</definedName>
    <definedName name="门洞塞缝">#REF!</definedName>
    <definedName name="门窗表">#REF!</definedName>
    <definedName name="门窗表a23">#REF!</definedName>
    <definedName name="防水">#REF!</definedName>
    <definedName name="陶粒">#REF!</definedName>
    <definedName name="雅士白">'[16]乙供材（豪装）'!$J$6</definedName>
    <definedName name="集中采购">#REF!</definedName>
    <definedName name="零星模">#REF!</definedName>
    <definedName name="面积">#REF!</definedName>
    <definedName name="风">#REF!</definedName>
    <definedName name="飞">[24]数据!$A$2:$A$16</definedName>
    <definedName name="马桶刷">'[16]乙供材（豪装）'!$J$68</definedName>
    <definedName name="马赛克MS_1">'[16]乙供材（豪装）'!$J$14</definedName>
    <definedName name="黑色烤漆玻璃">#REF!</definedName>
    <definedName name="黑豹防水涂料">#REF!</definedName>
    <definedName name="黑金花">#REF!</definedName>
    <definedName name="黑金花石60mm">#REF!</definedName>
    <definedName name="n">EVALUATE('[26]2、B户型115m2'!#REF!)</definedName>
    <definedName name="X">EVALUATE('[26]5、LOFT公寓'!#REF!)</definedName>
    <definedName name="计算式">EVALUATE('[26]2、B户型115m2'!#REF!)</definedName>
    <definedName name="结果" localSheetId="2">清单装修部分M11</definedName>
    <definedName name="结果" localSheetId="3">清单装修部分M11</definedName>
    <definedName name="结果" localSheetId="4">清单装修部分M11</definedName>
    <definedName name="_xlnm.Print_Area" localSheetId="3">'02（方案2）、《价格清单-门》'!$A$1:$AB$15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B20F95081DB14FD687CD08812FBA24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1695" y="304800"/>
          <a:ext cx="7143750" cy="509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64146BB3B9544488FA77E3B38DD873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11695" y="11645900"/>
          <a:ext cx="9496425" cy="6819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34699B1E55A4090AAB626FD6160ED1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1695" y="22009100"/>
          <a:ext cx="7762875" cy="55911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497B367832CA4177920CE0910EB837F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11695" y="32981900"/>
          <a:ext cx="8020050" cy="569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54C2313BE64D4C78B9540179E215914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11695" y="43345100"/>
          <a:ext cx="7810500" cy="557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614D6CDE4F8A47629D0B7D34A272F8D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25565" y="7226300"/>
          <a:ext cx="6362700" cy="4552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FCEC15B1385E4F26870B1A11F9C406B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25565" y="8445500"/>
          <a:ext cx="5181600" cy="363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A40A987D22B24C849D74D5151B96B89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25565" y="9664700"/>
          <a:ext cx="7162800" cy="5048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D7A96D7217E84E449C10C835108A8E3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25565" y="10883900"/>
          <a:ext cx="7153275" cy="5162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3E12B6997F084F988A551E1801D4081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25565" y="12103100"/>
          <a:ext cx="9144000" cy="6610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3BF7245F7C54807AF675470706F7F2E" descr="upload_post_object_v2_2139464247"/>
        <xdr:cNvPicPr/>
      </xdr:nvPicPr>
      <xdr:blipFill>
        <a:blip r:embed="rId11"/>
        <a:stretch>
          <a:fillRect/>
        </a:stretch>
      </xdr:blipFill>
      <xdr:spPr>
        <a:xfrm>
          <a:off x="0" y="0"/>
          <a:ext cx="5349240" cy="48691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<sst xmlns="http://schemas.openxmlformats.org/spreadsheetml/2006/main" count="1390" uniqueCount="157">
  <si>
    <t>序号</t>
  </si>
  <si>
    <t>使用位置</t>
  </si>
  <si>
    <t>描述</t>
  </si>
  <si>
    <t>备注</t>
  </si>
  <si>
    <t>不含税材料单价</t>
  </si>
  <si>
    <t>门框</t>
  </si>
  <si>
    <t>深度220基层采用复合多层实木板</t>
  </si>
  <si>
    <t>㎡</t>
  </si>
  <si>
    <t>展开面积</t>
  </si>
  <si>
    <t>门扇</t>
  </si>
  <si>
    <t>1.木门整体厚度45mm；
2.内部需加2根方钢；
3.实木边框+复合多层实木30mm间隔90mm填充
4.2侧表面5mm中纤板面板</t>
  </si>
  <si>
    <t>m2</t>
  </si>
  <si>
    <t>门扇基材
投影面</t>
  </si>
  <si>
    <t>门套挡条</t>
  </si>
  <si>
    <t>40宽基层采用复合多层实木板+密度板</t>
  </si>
  <si>
    <t>m</t>
  </si>
  <si>
    <t>长度</t>
  </si>
  <si>
    <t>门套线</t>
  </si>
  <si>
    <t>基层采用复合多层实木板+密度板</t>
  </si>
  <si>
    <t>科技木贴皮</t>
  </si>
  <si>
    <t>科技木皮+油漆</t>
  </si>
  <si>
    <t>表面处理</t>
  </si>
  <si>
    <t>门锁</t>
  </si>
  <si>
    <t>撼涛、静音锁体</t>
  </si>
  <si>
    <t>套</t>
  </si>
  <si>
    <t>荷叶</t>
  </si>
  <si>
    <t>撼涛、平开合页</t>
  </si>
  <si>
    <t>按个</t>
  </si>
  <si>
    <t>门吸</t>
  </si>
  <si>
    <t>KDMW-8003</t>
  </si>
  <si>
    <t>其他</t>
  </si>
  <si>
    <t>排钉</t>
  </si>
  <si>
    <t>按每樘门辅料</t>
  </si>
  <si>
    <t>粘结剂</t>
  </si>
  <si>
    <t>发泡胶</t>
  </si>
  <si>
    <t>密封胶条（PE）</t>
  </si>
  <si>
    <t>PE</t>
  </si>
  <si>
    <t>按每米</t>
  </si>
  <si>
    <t>/</t>
  </si>
  <si>
    <t>制作费+安装费-油漆门</t>
  </si>
  <si>
    <t>木门安装费</t>
  </si>
  <si>
    <t>均衡</t>
  </si>
  <si>
    <t>成品保护费</t>
  </si>
  <si>
    <t>玻璃</t>
  </si>
  <si>
    <t>8mm厚超白水晶艺术玻璃</t>
  </si>
  <si>
    <t>按门扇正面投影</t>
  </si>
  <si>
    <r>
      <rPr>
        <sz val="9"/>
        <rFont val="宋体"/>
        <charset val="134"/>
      </rPr>
      <t>不锈钢</t>
    </r>
    <r>
      <rPr>
        <sz val="9"/>
        <color rgb="FFFF0000"/>
        <rFont val="宋体"/>
        <charset val="134"/>
      </rPr>
      <t>门框</t>
    </r>
  </si>
  <si>
    <t>1.2mm古铜拉丝不锈钢边框</t>
  </si>
  <si>
    <t>轨道</t>
  </si>
  <si>
    <t>单轨道</t>
  </si>
  <si>
    <t>配件1</t>
  </si>
  <si>
    <t>双阻尼缓冲五金含1套移门滑轮</t>
  </si>
  <si>
    <t>按每套</t>
  </si>
  <si>
    <t>配件2</t>
  </si>
  <si>
    <t>阻尼缓冲五金含2套移门滑轮</t>
  </si>
  <si>
    <t>不锈钢门套</t>
  </si>
  <si>
    <t>1.2mm古铜拉丝不锈钢套板</t>
  </si>
  <si>
    <t>按展开面积</t>
  </si>
  <si>
    <t>制作费+安装费（移门含不锈钢门套）</t>
  </si>
  <si>
    <t>移门安装费</t>
  </si>
  <si>
    <t>成品保护费（移门）</t>
  </si>
  <si>
    <t>管理费、利润等</t>
  </si>
  <si>
    <t>占比</t>
  </si>
  <si>
    <t>税金</t>
  </si>
  <si>
    <t>方案1</t>
  </si>
  <si>
    <t>综合单价分析表--卫生间1</t>
  </si>
  <si>
    <t>位置</t>
  </si>
  <si>
    <t>卫生间1</t>
  </si>
  <si>
    <t>编号</t>
  </si>
  <si>
    <t>MB.01</t>
  </si>
  <si>
    <t>面积</t>
  </si>
  <si>
    <t>项目名称</t>
  </si>
  <si>
    <t>材质规格/型号</t>
  </si>
  <si>
    <t>品牌</t>
  </si>
  <si>
    <t>单位</t>
  </si>
  <si>
    <t>每樘用量</t>
  </si>
  <si>
    <t>综合单价</t>
  </si>
  <si>
    <t>门套</t>
  </si>
  <si>
    <t>1.木门整体厚度45mm；
2.内部需加2根方钢；
3.实木边框+复合多层实木40mm间隔60mm填充
4.2侧表面8mm中纤板面板</t>
  </si>
  <si>
    <t>注明材质，密度</t>
  </si>
  <si>
    <t>实木贴皮</t>
  </si>
  <si>
    <t>天然木皮+油漆</t>
  </si>
  <si>
    <t>小计1</t>
  </si>
  <si>
    <t>门五金配件</t>
  </si>
  <si>
    <t>小计2</t>
  </si>
  <si>
    <t>辅材</t>
  </si>
  <si>
    <t>小计</t>
  </si>
  <si>
    <t>制作费+安装费</t>
  </si>
  <si>
    <t>直接费小计</t>
  </si>
  <si>
    <t>单方</t>
  </si>
  <si>
    <t>综合单价分析表-卫生间2</t>
  </si>
  <si>
    <t>卫生间2</t>
  </si>
  <si>
    <t>MB.04</t>
  </si>
  <si>
    <t>综合单价分析表--卧室1</t>
  </si>
  <si>
    <t>卧室1</t>
  </si>
  <si>
    <t>MB.02</t>
  </si>
  <si>
    <t>综合单价分析表-卧室2</t>
  </si>
  <si>
    <t>卧室2</t>
  </si>
  <si>
    <t>MB.03</t>
  </si>
  <si>
    <t>综合单价分析表--卧室3</t>
  </si>
  <si>
    <t>卧室3</t>
  </si>
  <si>
    <t>MB.05</t>
  </si>
  <si>
    <t>综合单价分析表-推拉门（MB.06）</t>
  </si>
  <si>
    <t>MB.06</t>
  </si>
  <si>
    <t>配件</t>
  </si>
  <si>
    <t>综合单价分析表-推拉门（MB.07）</t>
  </si>
  <si>
    <t>MB.07</t>
  </si>
  <si>
    <t>同步异向阻尼缓冲五金含2套移门滑轮</t>
  </si>
  <si>
    <t>综合单价分析表-推拉门（MB.08）</t>
  </si>
  <si>
    <t>MB.08</t>
  </si>
  <si>
    <t>综合单价分析表-推拉门（MB.09）</t>
  </si>
  <si>
    <t>MB.09</t>
  </si>
  <si>
    <t>综合单价分析表-推拉门（MB.10）</t>
  </si>
  <si>
    <t>MB.10</t>
  </si>
  <si>
    <t>综合单价分析表-推拉门（MB.11）</t>
  </si>
  <si>
    <t>MB.11</t>
  </si>
  <si>
    <t>方案二</t>
  </si>
  <si>
    <r>
      <rPr>
        <b/>
        <sz val="10"/>
        <rFont val="宋体"/>
        <charset val="0"/>
        <scheme val="minor"/>
      </rPr>
      <t>1、木门做法：</t>
    </r>
    <r>
      <rPr>
        <sz val="10"/>
        <rFont val="宋体"/>
        <charset val="0"/>
        <scheme val="minor"/>
      </rPr>
      <t>木门整体厚度45mm。高度超过2.3m内部需加方钢。
实木框+复合多层实木填充+2侧表面5mm中纤板面板+</t>
    </r>
    <r>
      <rPr>
        <sz val="10"/>
        <color rgb="FFFF0000"/>
        <rFont val="宋体"/>
        <charset val="0"/>
        <scheme val="minor"/>
      </rPr>
      <t>科技木</t>
    </r>
    <r>
      <rPr>
        <sz val="10"/>
        <rFont val="宋体"/>
        <charset val="0"/>
        <scheme val="minor"/>
      </rPr>
      <t xml:space="preserve">贴皮饰面。
</t>
    </r>
    <r>
      <rPr>
        <b/>
        <sz val="10"/>
        <rFont val="宋体"/>
        <charset val="0"/>
        <scheme val="minor"/>
      </rPr>
      <t>2、门套做法：</t>
    </r>
    <r>
      <rPr>
        <sz val="10"/>
        <rFont val="宋体"/>
        <charset val="0"/>
        <scheme val="minor"/>
      </rPr>
      <t>基层采用复合多层实木板+</t>
    </r>
    <r>
      <rPr>
        <sz val="10"/>
        <color rgb="FFFF0000"/>
        <rFont val="宋体"/>
        <charset val="0"/>
        <scheme val="minor"/>
      </rPr>
      <t>科技木</t>
    </r>
    <r>
      <rPr>
        <sz val="10"/>
        <rFont val="宋体"/>
        <charset val="0"/>
        <scheme val="minor"/>
      </rPr>
      <t>贴皮饰面。</t>
    </r>
  </si>
  <si>
    <r>
      <rPr>
        <b/>
        <sz val="14"/>
        <rFont val="宋体"/>
        <charset val="134"/>
        <scheme val="minor"/>
      </rPr>
      <t>01、（</t>
    </r>
    <r>
      <rPr>
        <b/>
        <sz val="14"/>
        <color rgb="FFFF0000"/>
        <rFont val="宋体"/>
        <charset val="134"/>
        <scheme val="minor"/>
      </rPr>
      <t>方案2</t>
    </r>
    <r>
      <rPr>
        <b/>
        <sz val="14"/>
        <rFont val="宋体"/>
        <charset val="134"/>
        <scheme val="minor"/>
      </rPr>
      <t>）《价格汇总表（悠然居项目户内门及门套供货及安装）》</t>
    </r>
  </si>
  <si>
    <t>名称</t>
  </si>
  <si>
    <t>A
一标段
套数</t>
  </si>
  <si>
    <t>B
二标段
套数</t>
  </si>
  <si>
    <t>金额
（元/户）</t>
  </si>
  <si>
    <t>8=7*A
一标段金额
（元）</t>
  </si>
  <si>
    <t>9=7*B
二标段金额
（元）</t>
  </si>
  <si>
    <t>说明</t>
  </si>
  <si>
    <t>J1户型</t>
  </si>
  <si>
    <t>J2户型</t>
  </si>
  <si>
    <t>G1户型</t>
  </si>
  <si>
    <t>J1"户型</t>
  </si>
  <si>
    <t>J2"户型</t>
  </si>
  <si>
    <t>G1"户型</t>
  </si>
  <si>
    <t>H户型</t>
  </si>
  <si>
    <t>E1户型
(2、4层)</t>
  </si>
  <si>
    <t>E2户型</t>
  </si>
  <si>
    <t>E1户型
(6-顶层)</t>
  </si>
  <si>
    <t>合计</t>
  </si>
  <si>
    <r>
      <rPr>
        <b/>
        <sz val="14"/>
        <rFont val="宋体"/>
        <charset val="134"/>
      </rPr>
      <t>02、（</t>
    </r>
    <r>
      <rPr>
        <b/>
        <sz val="14"/>
        <color rgb="FFFF0000"/>
        <rFont val="宋体"/>
        <charset val="134"/>
      </rPr>
      <t>方案2</t>
    </r>
    <r>
      <rPr>
        <b/>
        <sz val="14"/>
        <rFont val="宋体"/>
        <charset val="134"/>
      </rPr>
      <t>）《价格清单（悠然居项目户内门及门套供货及安装）》</t>
    </r>
  </si>
  <si>
    <t>建筑
层高</t>
  </si>
  <si>
    <t>含税13%
单价
（元/㎡）</t>
  </si>
  <si>
    <t>单樘面积</t>
  </si>
  <si>
    <t>含税13%单樘金额</t>
  </si>
  <si>
    <t>J1’户型</t>
  </si>
  <si>
    <t>J2’户型</t>
  </si>
  <si>
    <t>G1’户型</t>
  </si>
  <si>
    <t>E1户型(2、4层)</t>
  </si>
  <si>
    <t>E1户型(6-顶层)</t>
  </si>
  <si>
    <t>元/樘</t>
  </si>
  <si>
    <t>数量
（樘）</t>
  </si>
  <si>
    <t>金额小计（元）</t>
  </si>
  <si>
    <t>推拉门（MB.06）</t>
  </si>
  <si>
    <t>推拉门（MB.07）</t>
  </si>
  <si>
    <t>推拉门（MB.08）</t>
  </si>
  <si>
    <t>推拉门（MB.09）</t>
  </si>
  <si>
    <t>推拉门（MB.10）</t>
  </si>
  <si>
    <t>推拉门（MB.11）</t>
  </si>
  <si>
    <t>方案2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</si>
</sst>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;[Red]0.00"/>
    <numFmt numFmtId="179" formatCode="0.00;0.00"/>
    <numFmt numFmtId="180" formatCode="0_ "/>
  </numFmts>
  <fonts count="40">
    <font>
      <sz val="10"/>
      <name val="Arial"/>
      <charset val="0"/>
    </font>
    <font>
      <sz val="12"/>
      <name val="宋体"/>
      <charset val="134"/>
    </font>
    <font>
      <b/>
      <sz val="12"/>
      <name val="宋体"/>
      <charset val="134"/>
    </font>
    <font>
      <b/>
      <sz val="16"/>
      <color rgb="FFFF000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rgb="FF000000"/>
      <name val="微软雅黑"/>
      <charset val="134"/>
    </font>
    <font>
      <b/>
      <sz val="14"/>
      <name val="宋体"/>
      <charset val="134"/>
    </font>
    <font>
      <b/>
      <sz val="10"/>
      <name val="宋体"/>
      <charset val="0"/>
      <scheme val="minor"/>
    </font>
    <font>
      <sz val="10"/>
      <name val="宋体"/>
      <charset val="0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sz val="10"/>
      <color rgb="FFFF0000"/>
      <name val="宋体"/>
      <charset val="0"/>
      <scheme val="minor"/>
    </font>
    <font>
      <b/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28" applyNumberFormat="0" applyAlignment="0" applyProtection="0">
      <alignment vertical="center"/>
    </xf>
    <xf numFmtId="0" fontId="27" fillId="6" borderId="29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7" borderId="30" applyNumberFormat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1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justify" vertical="center" wrapText="1"/>
    </xf>
    <xf numFmtId="0" fontId="5" fillId="0" borderId="16" xfId="0" applyFont="1" applyFill="1" applyBorder="1" applyAlignment="1">
      <alignment horizontal="justify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21" xfId="0" applyNumberFormat="1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78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0" fillId="0" borderId="0" xfId="0" applyNumberFormat="1"/>
    <xf numFmtId="178" fontId="10" fillId="2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8" fontId="11" fillId="0" borderId="9" xfId="0" applyNumberFormat="1" applyFont="1" applyBorder="1" applyAlignment="1">
      <alignment horizontal="left" vertical="center" wrapText="1"/>
    </xf>
    <xf numFmtId="178" fontId="11" fillId="0" borderId="3" xfId="0" applyNumberFormat="1" applyFont="1" applyBorder="1" applyAlignment="1">
      <alignment horizontal="left" vertical="center" wrapText="1"/>
    </xf>
    <xf numFmtId="180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tyles" Target="styles.xml"/><Relationship Id="rId37" Type="http://www.wps.cn/officeDocument/2020/cellImage" Target="cellimag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26.xml"/><Relationship Id="rId33" Type="http://schemas.openxmlformats.org/officeDocument/2006/relationships/externalLink" Target="externalLinks/externalLink25.xml"/><Relationship Id="rId32" Type="http://schemas.openxmlformats.org/officeDocument/2006/relationships/externalLink" Target="externalLinks/externalLink24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438150</xdr:colOff>
      <xdr:row>31</xdr:row>
      <xdr:rowOff>76200</xdr:rowOff>
    </xdr:to>
    <xdr:pic>
      <xdr:nvPicPr>
        <xdr:cNvPr id="4" name="ID_B20F95081DB14FD687CD08812FBA24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1695" y="304800"/>
          <a:ext cx="7143750" cy="509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352425</xdr:colOff>
      <xdr:row>42</xdr:row>
      <xdr:rowOff>19050</xdr:rowOff>
    </xdr:to>
    <xdr:pic>
      <xdr:nvPicPr>
        <xdr:cNvPr id="5" name="ID_564146BB3B9544488FA77E3B38DD873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11695" y="11645900"/>
          <a:ext cx="9496425" cy="681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447675</xdr:colOff>
      <xdr:row>34</xdr:row>
      <xdr:rowOff>85725</xdr:rowOff>
    </xdr:to>
    <xdr:pic>
      <xdr:nvPicPr>
        <xdr:cNvPr id="6" name="ID_634699B1E55A4090AAB626FD6160ED1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11695" y="22009100"/>
          <a:ext cx="7762875" cy="5591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95250</xdr:colOff>
      <xdr:row>35</xdr:row>
      <xdr:rowOff>28575</xdr:rowOff>
    </xdr:to>
    <xdr:pic>
      <xdr:nvPicPr>
        <xdr:cNvPr id="8" name="ID_497B367832CA4177920CE0910EB837F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11695" y="32981900"/>
          <a:ext cx="8020050" cy="569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495300</xdr:colOff>
      <xdr:row>34</xdr:row>
      <xdr:rowOff>66675</xdr:rowOff>
    </xdr:to>
    <xdr:pic>
      <xdr:nvPicPr>
        <xdr:cNvPr id="9" name="ID_54C2313BE64D4C78B9540179E215914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211695" y="43345100"/>
          <a:ext cx="7810500" cy="557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266700</xdr:colOff>
      <xdr:row>28</xdr:row>
      <xdr:rowOff>19050</xdr:rowOff>
    </xdr:to>
    <xdr:pic>
      <xdr:nvPicPr>
        <xdr:cNvPr id="11" name="ID_614D6CDE4F8A47629D0B7D34A272F8D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25565" y="7226300"/>
          <a:ext cx="6362700" cy="4552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304800</xdr:colOff>
      <xdr:row>22</xdr:row>
      <xdr:rowOff>76200</xdr:rowOff>
    </xdr:to>
    <xdr:pic>
      <xdr:nvPicPr>
        <xdr:cNvPr id="12" name="ID_FCEC15B1385E4F26870B1A11F9C406B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25565" y="8445500"/>
          <a:ext cx="5181600" cy="363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457200</xdr:colOff>
      <xdr:row>31</xdr:row>
      <xdr:rowOff>28575</xdr:rowOff>
    </xdr:to>
    <xdr:pic>
      <xdr:nvPicPr>
        <xdr:cNvPr id="13" name="ID_A40A987D22B24C849D74D5151B96B89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425565" y="9664700"/>
          <a:ext cx="7162800" cy="504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447675</xdr:colOff>
      <xdr:row>31</xdr:row>
      <xdr:rowOff>142875</xdr:rowOff>
    </xdr:to>
    <xdr:pic>
      <xdr:nvPicPr>
        <xdr:cNvPr id="14" name="ID_D7A96D7217E84E449C10C835108A8E3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425565" y="10883900"/>
          <a:ext cx="71532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40</xdr:row>
      <xdr:rowOff>133350</xdr:rowOff>
    </xdr:to>
    <xdr:pic>
      <xdr:nvPicPr>
        <xdr:cNvPr id="15" name="ID_3E12B6997F084F988A551E1801D4081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425565" y="12103100"/>
          <a:ext cx="9144000" cy="661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472440</xdr:colOff>
      <xdr:row>30</xdr:row>
      <xdr:rowOff>11430</xdr:rowOff>
    </xdr:to>
    <xdr:pic>
      <xdr:nvPicPr>
        <xdr:cNvPr id="3" name="ID_C3BF7245F7C54807AF675470706F7F2E" descr="upload_post_object_v2_2139464247"/>
        <xdr:cNvPicPr/>
      </xdr:nvPicPr>
      <xdr:blipFill>
        <a:blip r:embed="rId11"/>
        <a:stretch>
          <a:fillRect/>
        </a:stretch>
      </xdr:blipFill>
      <xdr:spPr>
        <a:xfrm>
          <a:off x="0" y="0"/>
          <a:ext cx="5349240" cy="48691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J11" sqref="J11"/>
    </sheetView>
  </sheetViews>
  <sheetFormatPr defaultColWidth="8.88571428571429" defaultRowHeight="12.75" outlineLevelCol="7"/>
  <cols>
    <col min="1" max="1" width="5.33333333333333" style="111" customWidth="1"/>
    <col min="2" max="2" width="29.9714285714286" style="111" customWidth="1"/>
    <col min="3" max="3" width="29.7809523809524" style="111" customWidth="1"/>
    <col min="4" max="4" width="5.66666666666667" style="111" customWidth="1"/>
    <col min="5" max="5" width="13" style="111" customWidth="1"/>
    <col min="6" max="6" width="13.6666666666667" style="111" customWidth="1"/>
    <col min="7" max="7" width="12.1142857142857" style="111" customWidth="1"/>
    <col min="8" max="16384" width="8.88571428571429" style="111"/>
  </cols>
  <sheetData>
    <row r="1" ht="22.5" spans="1:6">
      <c r="A1" s="15" t="s">
        <v>0</v>
      </c>
      <c r="B1" s="32" t="s">
        <v>1</v>
      </c>
      <c r="C1" s="112" t="s">
        <v>2</v>
      </c>
      <c r="D1" s="32"/>
      <c r="E1" s="12" t="s">
        <v>3</v>
      </c>
      <c r="F1" s="12" t="s">
        <v>4</v>
      </c>
    </row>
    <row r="2" ht="17.85" customHeight="1" spans="1:8">
      <c r="A2" s="17">
        <v>1</v>
      </c>
      <c r="B2" s="18" t="s">
        <v>5</v>
      </c>
      <c r="C2" s="19" t="s">
        <v>6</v>
      </c>
      <c r="D2" s="21" t="s">
        <v>7</v>
      </c>
      <c r="E2" s="21" t="s">
        <v>8</v>
      </c>
      <c r="F2" s="21">
        <v>114</v>
      </c>
      <c r="G2" s="21"/>
      <c r="H2" s="21"/>
    </row>
    <row r="3" ht="48" customHeight="1" spans="1:6">
      <c r="A3" s="17">
        <v>2</v>
      </c>
      <c r="B3" s="22" t="s">
        <v>9</v>
      </c>
      <c r="C3" s="23" t="s">
        <v>10</v>
      </c>
      <c r="D3" s="21" t="s">
        <v>11</v>
      </c>
      <c r="E3" s="21" t="s">
        <v>12</v>
      </c>
      <c r="F3" s="21">
        <v>93</v>
      </c>
    </row>
    <row r="4" ht="16" customHeight="1" spans="1:6">
      <c r="A4" s="17">
        <v>3</v>
      </c>
      <c r="B4" s="18" t="s">
        <v>13</v>
      </c>
      <c r="C4" s="19" t="s">
        <v>14</v>
      </c>
      <c r="D4" s="21" t="s">
        <v>15</v>
      </c>
      <c r="E4" s="21" t="s">
        <v>16</v>
      </c>
      <c r="F4" s="21">
        <v>4.85</v>
      </c>
    </row>
    <row r="5" ht="19" customHeight="1" spans="1:6">
      <c r="A5" s="17">
        <v>4</v>
      </c>
      <c r="B5" s="18" t="s">
        <v>17</v>
      </c>
      <c r="C5" s="19" t="s">
        <v>18</v>
      </c>
      <c r="D5" s="21" t="s">
        <v>15</v>
      </c>
      <c r="E5" s="21" t="s">
        <v>16</v>
      </c>
      <c r="F5" s="21">
        <v>7.25</v>
      </c>
    </row>
    <row r="6" spans="1:6">
      <c r="A6" s="17">
        <v>6</v>
      </c>
      <c r="B6" s="18" t="s">
        <v>19</v>
      </c>
      <c r="C6" s="19" t="s">
        <v>20</v>
      </c>
      <c r="D6" s="21" t="s">
        <v>7</v>
      </c>
      <c r="E6" s="21" t="s">
        <v>21</v>
      </c>
      <c r="F6" s="21">
        <v>53.15</v>
      </c>
    </row>
    <row r="7" spans="1:6">
      <c r="A7" s="17">
        <v>8</v>
      </c>
      <c r="B7" s="18" t="s">
        <v>22</v>
      </c>
      <c r="C7" s="113" t="s">
        <v>23</v>
      </c>
      <c r="D7" s="21" t="s">
        <v>24</v>
      </c>
      <c r="E7" s="21"/>
      <c r="F7" s="21">
        <v>86</v>
      </c>
    </row>
    <row r="8" spans="1:6">
      <c r="A8" s="17">
        <v>9</v>
      </c>
      <c r="B8" s="18" t="s">
        <v>25</v>
      </c>
      <c r="C8" s="113" t="s">
        <v>26</v>
      </c>
      <c r="D8" s="21" t="s">
        <v>24</v>
      </c>
      <c r="E8" s="21" t="s">
        <v>27</v>
      </c>
      <c r="F8" s="21">
        <v>14</v>
      </c>
    </row>
    <row r="9" spans="1:6">
      <c r="A9" s="17">
        <v>10</v>
      </c>
      <c r="B9" s="18" t="s">
        <v>28</v>
      </c>
      <c r="C9" s="113" t="s">
        <v>29</v>
      </c>
      <c r="D9" s="21" t="s">
        <v>24</v>
      </c>
      <c r="E9" s="21" t="s">
        <v>27</v>
      </c>
      <c r="F9" s="21">
        <v>12</v>
      </c>
    </row>
    <row r="10" spans="1:6">
      <c r="A10" s="17">
        <v>11</v>
      </c>
      <c r="B10" s="18" t="s">
        <v>30</v>
      </c>
      <c r="C10" s="19" t="s">
        <v>31</v>
      </c>
      <c r="D10" s="21" t="s">
        <v>24</v>
      </c>
      <c r="E10" s="21" t="s">
        <v>32</v>
      </c>
      <c r="F10" s="21">
        <v>12.4</v>
      </c>
    </row>
    <row r="11" spans="1:6">
      <c r="A11" s="17">
        <v>12</v>
      </c>
      <c r="B11" s="18" t="s">
        <v>33</v>
      </c>
      <c r="C11" s="21" t="s">
        <v>34</v>
      </c>
      <c r="D11" s="21" t="s">
        <v>24</v>
      </c>
      <c r="E11" s="21" t="s">
        <v>32</v>
      </c>
      <c r="F11" s="21">
        <v>9.7</v>
      </c>
    </row>
    <row r="12" spans="1:6">
      <c r="A12" s="17">
        <v>13</v>
      </c>
      <c r="B12" s="18" t="s">
        <v>35</v>
      </c>
      <c r="C12" s="21" t="s">
        <v>36</v>
      </c>
      <c r="D12" s="21" t="s">
        <v>15</v>
      </c>
      <c r="E12" s="21" t="s">
        <v>37</v>
      </c>
      <c r="F12" s="21">
        <v>4.8</v>
      </c>
    </row>
    <row r="13" spans="1:6">
      <c r="A13" s="17">
        <v>14</v>
      </c>
      <c r="B13" s="18" t="s">
        <v>30</v>
      </c>
      <c r="C13" s="19" t="s">
        <v>38</v>
      </c>
      <c r="D13" s="21" t="s">
        <v>24</v>
      </c>
      <c r="E13" s="21" t="s">
        <v>32</v>
      </c>
      <c r="F13" s="21">
        <v>14.5</v>
      </c>
    </row>
    <row r="14" spans="1:8">
      <c r="A14" s="17">
        <v>15</v>
      </c>
      <c r="B14" s="114" t="s">
        <v>39</v>
      </c>
      <c r="C14" s="27"/>
      <c r="D14" s="27"/>
      <c r="E14" s="21" t="s">
        <v>32</v>
      </c>
      <c r="F14" s="21">
        <v>227</v>
      </c>
      <c r="G14" s="115" t="s">
        <v>40</v>
      </c>
      <c r="H14" s="115" t="s">
        <v>41</v>
      </c>
    </row>
    <row r="15" spans="1:6">
      <c r="A15" s="17">
        <v>16</v>
      </c>
      <c r="B15" s="27" t="s">
        <v>42</v>
      </c>
      <c r="C15" s="27"/>
      <c r="D15" s="27"/>
      <c r="E15" s="21" t="s">
        <v>32</v>
      </c>
      <c r="F15" s="21">
        <v>14.5</v>
      </c>
    </row>
    <row r="16" ht="18" customHeight="1" spans="1:6">
      <c r="A16" s="17">
        <v>17</v>
      </c>
      <c r="B16" s="18" t="s">
        <v>43</v>
      </c>
      <c r="C16" s="19" t="s">
        <v>44</v>
      </c>
      <c r="D16" s="21" t="s">
        <v>7</v>
      </c>
      <c r="E16" s="21" t="s">
        <v>45</v>
      </c>
      <c r="F16" s="21">
        <v>232</v>
      </c>
    </row>
    <row r="17" ht="18" customHeight="1" spans="1:6">
      <c r="A17" s="17">
        <v>18</v>
      </c>
      <c r="B17" s="22" t="s">
        <v>46</v>
      </c>
      <c r="C17" s="58" t="s">
        <v>47</v>
      </c>
      <c r="D17" s="21" t="s">
        <v>11</v>
      </c>
      <c r="E17" s="21" t="s">
        <v>45</v>
      </c>
      <c r="F17" s="21">
        <v>290</v>
      </c>
    </row>
    <row r="18" ht="19" customHeight="1" spans="1:6">
      <c r="A18" s="17">
        <v>19</v>
      </c>
      <c r="B18" s="18" t="s">
        <v>48</v>
      </c>
      <c r="C18" s="19" t="s">
        <v>49</v>
      </c>
      <c r="D18" s="21" t="s">
        <v>15</v>
      </c>
      <c r="E18" s="21" t="s">
        <v>37</v>
      </c>
      <c r="F18" s="21">
        <v>33</v>
      </c>
    </row>
    <row r="19" spans="1:6">
      <c r="A19" s="17">
        <v>20</v>
      </c>
      <c r="B19" s="18" t="s">
        <v>50</v>
      </c>
      <c r="C19" s="19" t="s">
        <v>51</v>
      </c>
      <c r="D19" s="21" t="s">
        <v>24</v>
      </c>
      <c r="E19" s="21" t="s">
        <v>52</v>
      </c>
      <c r="F19" s="21">
        <v>82</v>
      </c>
    </row>
    <row r="20" spans="1:6">
      <c r="A20" s="17">
        <v>21</v>
      </c>
      <c r="B20" s="18" t="s">
        <v>53</v>
      </c>
      <c r="C20" s="19" t="s">
        <v>54</v>
      </c>
      <c r="D20" s="21" t="s">
        <v>24</v>
      </c>
      <c r="E20" s="21" t="s">
        <v>52</v>
      </c>
      <c r="F20" s="21">
        <v>434</v>
      </c>
    </row>
    <row r="21" spans="1:6">
      <c r="A21" s="17">
        <v>22</v>
      </c>
      <c r="B21" s="61" t="s">
        <v>55</v>
      </c>
      <c r="C21" s="58" t="s">
        <v>56</v>
      </c>
      <c r="D21" s="21" t="s">
        <v>11</v>
      </c>
      <c r="E21" s="21" t="s">
        <v>57</v>
      </c>
      <c r="F21" s="21">
        <v>270</v>
      </c>
    </row>
    <row r="22" spans="1:8">
      <c r="A22" s="17">
        <v>23</v>
      </c>
      <c r="B22" s="27" t="s">
        <v>58</v>
      </c>
      <c r="C22" s="27"/>
      <c r="D22" s="21" t="s">
        <v>24</v>
      </c>
      <c r="E22" s="21" t="s">
        <v>52</v>
      </c>
      <c r="F22" s="21">
        <v>570</v>
      </c>
      <c r="G22" s="115" t="s">
        <v>59</v>
      </c>
      <c r="H22" s="115" t="s">
        <v>41</v>
      </c>
    </row>
    <row r="23" spans="1:6">
      <c r="A23" s="17">
        <v>24</v>
      </c>
      <c r="B23" s="27" t="s">
        <v>60</v>
      </c>
      <c r="C23" s="27"/>
      <c r="D23" s="21" t="s">
        <v>24</v>
      </c>
      <c r="E23" s="21" t="s">
        <v>52</v>
      </c>
      <c r="F23" s="21">
        <v>34</v>
      </c>
    </row>
    <row r="24" spans="1:7">
      <c r="A24" s="17">
        <v>25</v>
      </c>
      <c r="B24" s="116" t="s">
        <v>61</v>
      </c>
      <c r="C24" s="117"/>
      <c r="D24" s="21" t="s">
        <v>62</v>
      </c>
      <c r="E24" s="117"/>
      <c r="F24" s="118">
        <v>0.03</v>
      </c>
      <c r="G24" s="119"/>
    </row>
    <row r="25" spans="1:7">
      <c r="A25" s="17">
        <v>26</v>
      </c>
      <c r="B25" s="116" t="s">
        <v>63</v>
      </c>
      <c r="C25" s="117"/>
      <c r="D25" s="21" t="s">
        <v>62</v>
      </c>
      <c r="E25" s="117"/>
      <c r="F25" s="118">
        <v>0.13</v>
      </c>
      <c r="G25" s="119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73"/>
  <sheetViews>
    <sheetView view="pageBreakPreview" zoomScaleNormal="60" workbookViewId="0">
      <selection activeCell="B263" sqref="B263:J263"/>
    </sheetView>
  </sheetViews>
  <sheetFormatPr defaultColWidth="10.2857142857143" defaultRowHeight="24" customHeight="1"/>
  <cols>
    <col min="1" max="1" width="4.42857142857143" style="3" customWidth="1"/>
    <col min="2" max="2" width="14" style="4" customWidth="1"/>
    <col min="3" max="3" width="10.6761904761905" style="4" customWidth="1"/>
    <col min="4" max="4" width="14.8190476190476" style="4" customWidth="1"/>
    <col min="5" max="5" width="7.20952380952381" style="4" customWidth="1"/>
    <col min="6" max="6" width="5.7047619047619" style="4" customWidth="1"/>
    <col min="7" max="7" width="8.85714285714286" style="4" customWidth="1"/>
    <col min="8" max="8" width="10.2857142857143" style="4"/>
    <col min="9" max="9" width="10.5714285714286" style="5"/>
    <col min="10" max="10" width="13.7142857142857" style="4" customWidth="1"/>
    <col min="11" max="11" width="14.4761904761905" style="1"/>
    <col min="12" max="12" width="10.2857142857143" style="1"/>
    <col min="13" max="13" width="91.9142857142857" style="1" customWidth="1"/>
    <col min="14" max="16383" width="10.2857142857143" style="1"/>
  </cols>
  <sheetData>
    <row r="1" customHeight="1" spans="1:10">
      <c r="A1" s="6" t="s">
        <v>64</v>
      </c>
      <c r="B1" s="6"/>
      <c r="C1" s="6"/>
      <c r="D1" s="6"/>
      <c r="E1" s="6"/>
      <c r="F1" s="6"/>
      <c r="G1" s="6"/>
      <c r="H1" s="6"/>
      <c r="I1" s="37"/>
      <c r="J1" s="6"/>
    </row>
    <row r="2" s="1" customFormat="1" customHeight="1" spans="1:10">
      <c r="A2" s="7" t="s">
        <v>65</v>
      </c>
      <c r="B2" s="7"/>
      <c r="C2" s="7"/>
      <c r="D2" s="7"/>
      <c r="E2" s="7"/>
      <c r="F2" s="7"/>
      <c r="G2" s="7"/>
      <c r="H2" s="7"/>
      <c r="I2" s="38"/>
      <c r="J2" s="7"/>
    </row>
    <row r="3" s="1" customFormat="1" customHeight="1" spans="1:12">
      <c r="A3" s="8" t="s">
        <v>66</v>
      </c>
      <c r="B3" s="8"/>
      <c r="C3" s="9" t="s">
        <v>67</v>
      </c>
      <c r="D3" s="10"/>
      <c r="E3" s="8" t="s">
        <v>68</v>
      </c>
      <c r="F3" s="8" t="s">
        <v>69</v>
      </c>
      <c r="G3" s="8"/>
      <c r="H3" s="8" t="s">
        <v>70</v>
      </c>
      <c r="I3" s="39">
        <f>0.8*2.68</f>
        <v>2.144</v>
      </c>
      <c r="J3" s="8"/>
      <c r="K3" s="40" t="str">
        <f>_xlfn.DISPIMG("ID_B20F95081DB14FD687CD08812FBA2461",1)</f>
        <v>=DISPIMG("ID_B20F95081DB14FD687CD08812FBA2461",1)</v>
      </c>
      <c r="L3" s="41"/>
    </row>
    <row r="4" s="1" customFormat="1" ht="65" customHeight="1" spans="1:12">
      <c r="A4" s="11" t="s">
        <v>0</v>
      </c>
      <c r="B4" s="12" t="s">
        <v>71</v>
      </c>
      <c r="C4" s="13" t="s">
        <v>72</v>
      </c>
      <c r="D4" s="14"/>
      <c r="E4" s="12" t="s">
        <v>73</v>
      </c>
      <c r="F4" s="12" t="s">
        <v>74</v>
      </c>
      <c r="G4" s="12" t="s">
        <v>75</v>
      </c>
      <c r="H4" s="12" t="s">
        <v>4</v>
      </c>
      <c r="I4" s="42" t="s">
        <v>76</v>
      </c>
      <c r="J4" s="43" t="s">
        <v>3</v>
      </c>
      <c r="K4" s="44"/>
      <c r="L4" s="45"/>
    </row>
    <row r="5" s="1" customFormat="1" customHeight="1" outlineLevel="1" spans="1:12">
      <c r="A5" s="15">
        <v>1</v>
      </c>
      <c r="B5" s="16" t="s">
        <v>77</v>
      </c>
      <c r="C5" s="16"/>
      <c r="D5" s="16"/>
      <c r="E5" s="16"/>
      <c r="F5" s="16"/>
      <c r="G5" s="16"/>
      <c r="H5" s="16"/>
      <c r="I5" s="46"/>
      <c r="J5" s="47"/>
      <c r="K5" s="44"/>
      <c r="L5" s="45"/>
    </row>
    <row r="6" s="1" customFormat="1" customHeight="1" outlineLevel="1" spans="1:12">
      <c r="A6" s="17">
        <v>1.1</v>
      </c>
      <c r="B6" s="18" t="s">
        <v>5</v>
      </c>
      <c r="C6" s="19" t="s">
        <v>6</v>
      </c>
      <c r="D6" s="20"/>
      <c r="E6" s="21"/>
      <c r="F6" s="21" t="s">
        <v>7</v>
      </c>
      <c r="G6" s="21">
        <v>1.23</v>
      </c>
      <c r="H6" s="21">
        <f>VLOOKUP(C6,'单价表-木门'!$C:$F,4,FALSE)</f>
        <v>114</v>
      </c>
      <c r="I6" s="48">
        <f>G6*H6</f>
        <v>140.22</v>
      </c>
      <c r="J6" s="49"/>
      <c r="K6" s="44"/>
      <c r="L6" s="45"/>
    </row>
    <row r="7" s="1" customFormat="1" ht="55" customHeight="1" outlineLevel="1" spans="1:10">
      <c r="A7" s="17">
        <v>2.1</v>
      </c>
      <c r="B7" s="22" t="s">
        <v>9</v>
      </c>
      <c r="C7" s="19" t="s">
        <v>78</v>
      </c>
      <c r="D7" s="20"/>
      <c r="E7" s="21"/>
      <c r="F7" s="21" t="s">
        <v>11</v>
      </c>
      <c r="G7" s="21">
        <v>2.15</v>
      </c>
      <c r="H7" s="21" t="e">
        <f>VLOOKUP(C7,'单价表-木门'!$C:$F,4,FALSE)</f>
        <v>#N/A</v>
      </c>
      <c r="I7" s="48" t="e">
        <f>G7*H7</f>
        <v>#N/A</v>
      </c>
      <c r="J7" s="50" t="s">
        <v>79</v>
      </c>
    </row>
    <row r="8" s="1" customFormat="1" customHeight="1" outlineLevel="1" spans="1:12">
      <c r="A8" s="17">
        <v>3.1</v>
      </c>
      <c r="B8" s="18" t="s">
        <v>13</v>
      </c>
      <c r="C8" s="19" t="s">
        <v>14</v>
      </c>
      <c r="D8" s="20"/>
      <c r="E8" s="21"/>
      <c r="F8" s="21" t="s">
        <v>15</v>
      </c>
      <c r="G8" s="21">
        <v>6.16</v>
      </c>
      <c r="H8" s="21">
        <f>VLOOKUP(C8,'单价表-木门'!$C:$F,4,FALSE)</f>
        <v>4.85</v>
      </c>
      <c r="I8" s="48">
        <f>G8*H8</f>
        <v>29.876</v>
      </c>
      <c r="J8" s="49"/>
      <c r="K8" s="51"/>
      <c r="L8" s="52"/>
    </row>
    <row r="9" s="1" customFormat="1" customHeight="1" outlineLevel="1" spans="1:10">
      <c r="A9" s="17">
        <v>4.1</v>
      </c>
      <c r="B9" s="18" t="s">
        <v>17</v>
      </c>
      <c r="C9" s="19" t="s">
        <v>18</v>
      </c>
      <c r="D9" s="20"/>
      <c r="E9" s="21"/>
      <c r="F9" s="21" t="s">
        <v>15</v>
      </c>
      <c r="G9" s="21">
        <v>12.32</v>
      </c>
      <c r="H9" s="21">
        <f>VLOOKUP(C9,'单价表-木门'!$C:$F,4,FALSE)</f>
        <v>7.25</v>
      </c>
      <c r="I9" s="48">
        <f>G9*H9</f>
        <v>89.32</v>
      </c>
      <c r="J9" s="53"/>
    </row>
    <row r="10" s="1" customFormat="1" customHeight="1" outlineLevel="1" spans="1:10">
      <c r="A10" s="17">
        <v>5.1</v>
      </c>
      <c r="B10" s="18" t="s">
        <v>80</v>
      </c>
      <c r="C10" s="19" t="s">
        <v>81</v>
      </c>
      <c r="D10" s="20"/>
      <c r="E10" s="21"/>
      <c r="F10" s="21" t="s">
        <v>7</v>
      </c>
      <c r="G10" s="21">
        <f>4.6+G6*2</f>
        <v>7.06</v>
      </c>
      <c r="H10" s="21" t="e">
        <f>VLOOKUP(C10,'单价表-木门'!$C:$F,4,FALSE)</f>
        <v>#N/A</v>
      </c>
      <c r="I10" s="48" t="e">
        <f>G10*H10</f>
        <v>#N/A</v>
      </c>
      <c r="J10" s="53"/>
    </row>
    <row r="11" s="1" customFormat="1" customHeight="1" outlineLevel="1" spans="1:10">
      <c r="A11" s="15"/>
      <c r="B11" s="16" t="s">
        <v>82</v>
      </c>
      <c r="C11" s="16"/>
      <c r="D11" s="16"/>
      <c r="E11" s="16"/>
      <c r="F11" s="16"/>
      <c r="G11" s="16"/>
      <c r="H11" s="16"/>
      <c r="I11" s="46" t="e">
        <f>SUM(I6:I10)</f>
        <v>#N/A</v>
      </c>
      <c r="J11" s="53"/>
    </row>
    <row r="12" s="1" customFormat="1" customHeight="1" outlineLevel="1" spans="1:10">
      <c r="A12" s="15">
        <v>2</v>
      </c>
      <c r="B12" s="16" t="s">
        <v>83</v>
      </c>
      <c r="C12" s="16"/>
      <c r="D12" s="16"/>
      <c r="E12" s="16"/>
      <c r="F12" s="16"/>
      <c r="G12" s="16"/>
      <c r="H12" s="16"/>
      <c r="I12" s="46"/>
      <c r="J12" s="54"/>
    </row>
    <row r="13" s="1" customFormat="1" customHeight="1" outlineLevel="1" spans="1:10">
      <c r="A13" s="17">
        <v>2.1</v>
      </c>
      <c r="B13" s="18" t="s">
        <v>22</v>
      </c>
      <c r="C13" s="19" t="s">
        <v>23</v>
      </c>
      <c r="D13" s="20"/>
      <c r="E13" s="21"/>
      <c r="F13" s="21" t="s">
        <v>24</v>
      </c>
      <c r="G13" s="21">
        <v>1</v>
      </c>
      <c r="H13" s="21">
        <f>VLOOKUP(C13,'单价表-木门'!$C:$F,4,FALSE)</f>
        <v>86</v>
      </c>
      <c r="I13" s="48">
        <f t="shared" ref="I13:I16" si="0">G13*H13</f>
        <v>86</v>
      </c>
      <c r="J13" s="53"/>
    </row>
    <row r="14" s="1" customFormat="1" customHeight="1" outlineLevel="1" spans="1:10">
      <c r="A14" s="17">
        <v>2.2</v>
      </c>
      <c r="B14" s="18" t="s">
        <v>25</v>
      </c>
      <c r="C14" s="19" t="s">
        <v>26</v>
      </c>
      <c r="D14" s="20"/>
      <c r="E14" s="21"/>
      <c r="F14" s="21" t="s">
        <v>24</v>
      </c>
      <c r="G14" s="21">
        <v>4</v>
      </c>
      <c r="H14" s="21">
        <f>VLOOKUP(C14,'单价表-木门'!$C:$F,4,FALSE)</f>
        <v>14</v>
      </c>
      <c r="I14" s="48">
        <f t="shared" si="0"/>
        <v>56</v>
      </c>
      <c r="J14" s="53"/>
    </row>
    <row r="15" s="1" customFormat="1" customHeight="1" outlineLevel="1" spans="1:10">
      <c r="A15" s="17">
        <v>2.3</v>
      </c>
      <c r="B15" s="18" t="s">
        <v>28</v>
      </c>
      <c r="C15" s="19" t="s">
        <v>29</v>
      </c>
      <c r="D15" s="20"/>
      <c r="E15" s="21"/>
      <c r="F15" s="21" t="s">
        <v>24</v>
      </c>
      <c r="G15" s="21">
        <v>1</v>
      </c>
      <c r="H15" s="21">
        <f>VLOOKUP(C15,'单价表-木门'!$C:$F,4,FALSE)</f>
        <v>12</v>
      </c>
      <c r="I15" s="48">
        <f t="shared" si="0"/>
        <v>12</v>
      </c>
      <c r="J15" s="53"/>
    </row>
    <row r="16" s="1" customFormat="1" customHeight="1" outlineLevel="1" spans="1:10">
      <c r="A16" s="17">
        <v>2.4</v>
      </c>
      <c r="B16" s="18" t="s">
        <v>30</v>
      </c>
      <c r="C16" s="19" t="s">
        <v>31</v>
      </c>
      <c r="D16" s="20"/>
      <c r="E16" s="21"/>
      <c r="F16" s="21" t="s">
        <v>24</v>
      </c>
      <c r="G16" s="21">
        <v>1</v>
      </c>
      <c r="H16" s="21">
        <f>VLOOKUP(C16,'单价表-木门'!$C:$F,4,FALSE)</f>
        <v>12.4</v>
      </c>
      <c r="I16" s="48">
        <f t="shared" si="0"/>
        <v>12.4</v>
      </c>
      <c r="J16" s="53"/>
    </row>
    <row r="17" s="1" customFormat="1" customHeight="1" outlineLevel="1" spans="1:10">
      <c r="A17" s="15"/>
      <c r="B17" s="16" t="s">
        <v>84</v>
      </c>
      <c r="C17" s="16"/>
      <c r="D17" s="16"/>
      <c r="E17" s="16"/>
      <c r="F17" s="16"/>
      <c r="G17" s="16"/>
      <c r="H17" s="16"/>
      <c r="I17" s="46">
        <f>SUM(I13:I16)</f>
        <v>166.4</v>
      </c>
      <c r="J17" s="53"/>
    </row>
    <row r="18" s="1" customFormat="1" customHeight="1" outlineLevel="1" spans="1:10">
      <c r="A18" s="25">
        <v>3</v>
      </c>
      <c r="B18" s="16" t="s">
        <v>85</v>
      </c>
      <c r="C18" s="16"/>
      <c r="D18" s="16"/>
      <c r="E18" s="16"/>
      <c r="F18" s="16"/>
      <c r="G18" s="16"/>
      <c r="H18" s="16"/>
      <c r="I18" s="46"/>
      <c r="J18" s="54"/>
    </row>
    <row r="19" s="1" customFormat="1" customHeight="1" outlineLevel="1" spans="1:10">
      <c r="A19" s="21">
        <v>3.1</v>
      </c>
      <c r="B19" s="18" t="s">
        <v>33</v>
      </c>
      <c r="C19" s="21" t="s">
        <v>34</v>
      </c>
      <c r="D19" s="21"/>
      <c r="E19" s="18"/>
      <c r="F19" s="21" t="s">
        <v>11</v>
      </c>
      <c r="G19" s="21">
        <v>1</v>
      </c>
      <c r="H19" s="21">
        <f>VLOOKUP(C19,'单价表-木门'!$C:$F,4,FALSE)</f>
        <v>9.7</v>
      </c>
      <c r="I19" s="48">
        <f>G19*H19</f>
        <v>9.7</v>
      </c>
      <c r="J19" s="53"/>
    </row>
    <row r="20" s="1" customFormat="1" customHeight="1" outlineLevel="1" spans="1:10">
      <c r="A20" s="21">
        <v>3.2</v>
      </c>
      <c r="B20" s="18" t="s">
        <v>35</v>
      </c>
      <c r="C20" s="21" t="s">
        <v>36</v>
      </c>
      <c r="D20" s="21"/>
      <c r="E20" s="21"/>
      <c r="F20" s="21" t="s">
        <v>15</v>
      </c>
      <c r="G20" s="21">
        <f>G8</f>
        <v>6.16</v>
      </c>
      <c r="H20" s="21">
        <f>VLOOKUP(C20,'单价表-木门'!$C:$F,4,FALSE)</f>
        <v>4.8</v>
      </c>
      <c r="I20" s="48">
        <f>G20*H20</f>
        <v>29.568</v>
      </c>
      <c r="J20" s="53"/>
    </row>
    <row r="21" s="1" customFormat="1" customHeight="1" outlineLevel="1" spans="1:10">
      <c r="A21" s="21">
        <v>3.3</v>
      </c>
      <c r="B21" s="18" t="s">
        <v>30</v>
      </c>
      <c r="C21" s="19" t="s">
        <v>38</v>
      </c>
      <c r="D21" s="20"/>
      <c r="E21" s="21"/>
      <c r="F21" s="21" t="s">
        <v>24</v>
      </c>
      <c r="G21" s="21">
        <v>1</v>
      </c>
      <c r="H21" s="21">
        <f>VLOOKUP(C21,'单价表-木门'!$C:$F,4,FALSE)</f>
        <v>14.5</v>
      </c>
      <c r="I21" s="48">
        <f>G21*H21</f>
        <v>14.5</v>
      </c>
      <c r="J21" s="53"/>
    </row>
    <row r="22" s="1" customFormat="1" customHeight="1" outlineLevel="1" spans="1:10">
      <c r="A22" s="15"/>
      <c r="B22" s="16" t="s">
        <v>86</v>
      </c>
      <c r="C22" s="16"/>
      <c r="D22" s="16"/>
      <c r="E22" s="16"/>
      <c r="F22" s="16"/>
      <c r="G22" s="16"/>
      <c r="H22" s="16"/>
      <c r="I22" s="46">
        <f>SUM(I19:I21)</f>
        <v>53.768</v>
      </c>
      <c r="J22" s="53"/>
    </row>
    <row r="23" s="1" customFormat="1" customHeight="1" outlineLevel="1" spans="1:10">
      <c r="A23" s="15">
        <v>4</v>
      </c>
      <c r="B23" s="18" t="s">
        <v>87</v>
      </c>
      <c r="C23" s="18"/>
      <c r="D23" s="18"/>
      <c r="E23" s="18"/>
      <c r="F23" s="18"/>
      <c r="G23" s="18"/>
      <c r="H23" s="18"/>
      <c r="I23" s="21">
        <f>'单价表-木门'!F14</f>
        <v>227</v>
      </c>
      <c r="J23" s="53"/>
    </row>
    <row r="24" s="1" customFormat="1" customHeight="1" outlineLevel="1" spans="1:10">
      <c r="A24" s="15">
        <v>5</v>
      </c>
      <c r="B24" s="18" t="s">
        <v>42</v>
      </c>
      <c r="C24" s="18"/>
      <c r="D24" s="18"/>
      <c r="E24" s="18"/>
      <c r="F24" s="18"/>
      <c r="G24" s="18"/>
      <c r="H24" s="18"/>
      <c r="I24" s="21">
        <f>VLOOKUP(B24,'单价表-木门'!$B:$F,5,FALSE)</f>
        <v>14.5</v>
      </c>
      <c r="J24" s="53"/>
    </row>
    <row r="25" s="1" customFormat="1" customHeight="1" outlineLevel="1" spans="1:10">
      <c r="A25" s="15">
        <v>6</v>
      </c>
      <c r="B25" s="23" t="s">
        <v>88</v>
      </c>
      <c r="C25" s="26"/>
      <c r="D25" s="26"/>
      <c r="E25" s="26"/>
      <c r="F25" s="26"/>
      <c r="G25" s="24"/>
      <c r="H25" s="27"/>
      <c r="I25" s="46" t="e">
        <f>I11+I17+I22+I23+I24</f>
        <v>#N/A</v>
      </c>
      <c r="J25" s="54"/>
    </row>
    <row r="26" s="1" customFormat="1" customHeight="1" outlineLevel="1" spans="1:10">
      <c r="A26" s="15">
        <v>7</v>
      </c>
      <c r="B26" s="23" t="s">
        <v>61</v>
      </c>
      <c r="C26" s="26"/>
      <c r="D26" s="26"/>
      <c r="E26" s="26"/>
      <c r="F26" s="26"/>
      <c r="G26" s="24"/>
      <c r="H26" s="28">
        <v>0.03</v>
      </c>
      <c r="I26" s="48" t="e">
        <f>I25*H26</f>
        <v>#N/A</v>
      </c>
      <c r="J26" s="53"/>
    </row>
    <row r="27" s="1" customFormat="1" customHeight="1" outlineLevel="1" spans="1:10">
      <c r="A27" s="15">
        <v>8</v>
      </c>
      <c r="B27" s="23" t="s">
        <v>63</v>
      </c>
      <c r="C27" s="26"/>
      <c r="D27" s="26"/>
      <c r="E27" s="26"/>
      <c r="F27" s="26"/>
      <c r="G27" s="24"/>
      <c r="H27" s="28">
        <v>0.13</v>
      </c>
      <c r="I27" s="48" t="e">
        <f>+(I25+I26)*H27</f>
        <v>#N/A</v>
      </c>
      <c r="J27" s="53"/>
    </row>
    <row r="28" s="1" customFormat="1" customHeight="1" spans="1:11">
      <c r="A28" s="15">
        <v>9</v>
      </c>
      <c r="B28" s="29" t="s">
        <v>76</v>
      </c>
      <c r="C28" s="30"/>
      <c r="D28" s="30"/>
      <c r="E28" s="30"/>
      <c r="F28" s="30"/>
      <c r="G28" s="31"/>
      <c r="H28" s="32"/>
      <c r="I28" s="55" t="e">
        <f>+I27+I26+I25</f>
        <v>#N/A</v>
      </c>
      <c r="J28" s="16"/>
      <c r="K28" s="56"/>
    </row>
    <row r="29" s="1" customFormat="1" customHeight="1" spans="1:10">
      <c r="A29" s="15">
        <v>10</v>
      </c>
      <c r="B29" s="33" t="s">
        <v>89</v>
      </c>
      <c r="C29" s="34"/>
      <c r="D29" s="34"/>
      <c r="E29" s="34"/>
      <c r="F29" s="34"/>
      <c r="G29" s="35"/>
      <c r="H29" s="36"/>
      <c r="I29" s="55" t="e">
        <f>+I28/I3</f>
        <v>#N/A</v>
      </c>
      <c r="J29" s="57"/>
    </row>
    <row r="30" s="1" customFormat="1" customHeight="1" spans="1:10">
      <c r="A30" s="7" t="s">
        <v>90</v>
      </c>
      <c r="B30" s="7"/>
      <c r="C30" s="7"/>
      <c r="D30" s="7"/>
      <c r="E30" s="7"/>
      <c r="F30" s="7"/>
      <c r="G30" s="7"/>
      <c r="H30" s="7"/>
      <c r="I30" s="38"/>
      <c r="J30" s="7"/>
    </row>
    <row r="31" s="2" customFormat="1" customHeight="1" spans="1:12">
      <c r="A31" s="8" t="s">
        <v>66</v>
      </c>
      <c r="B31" s="8"/>
      <c r="C31" s="9" t="s">
        <v>91</v>
      </c>
      <c r="D31" s="10"/>
      <c r="E31" s="8" t="s">
        <v>68</v>
      </c>
      <c r="F31" s="8" t="s">
        <v>92</v>
      </c>
      <c r="G31" s="8"/>
      <c r="H31" s="8" t="s">
        <v>70</v>
      </c>
      <c r="I31" s="39">
        <f>0.85*2.68</f>
        <v>2.278</v>
      </c>
      <c r="J31" s="8"/>
      <c r="K31" s="40" t="str">
        <f>_xlfn.DISPIMG("ID_497B367832CA4177920CE0910EB837FA",1)</f>
        <v>=DISPIMG("ID_497B367832CA4177920CE0910EB837FA",1)</v>
      </c>
      <c r="L31" s="41"/>
    </row>
    <row r="32" s="2" customFormat="1" ht="45" customHeight="1" outlineLevel="1" spans="1:12">
      <c r="A32" s="11" t="s">
        <v>0</v>
      </c>
      <c r="B32" s="12" t="s">
        <v>71</v>
      </c>
      <c r="C32" s="13" t="s">
        <v>72</v>
      </c>
      <c r="D32" s="14"/>
      <c r="E32" s="12" t="s">
        <v>73</v>
      </c>
      <c r="F32" s="12" t="s">
        <v>74</v>
      </c>
      <c r="G32" s="12" t="s">
        <v>75</v>
      </c>
      <c r="H32" s="12" t="s">
        <v>4</v>
      </c>
      <c r="I32" s="42" t="s">
        <v>76</v>
      </c>
      <c r="J32" s="43" t="s">
        <v>3</v>
      </c>
      <c r="K32" s="44"/>
      <c r="L32" s="45"/>
    </row>
    <row r="33" s="2" customFormat="1" customHeight="1" outlineLevel="1" spans="1:12">
      <c r="A33" s="15">
        <v>1</v>
      </c>
      <c r="B33" s="16" t="s">
        <v>77</v>
      </c>
      <c r="C33" s="16"/>
      <c r="D33" s="16"/>
      <c r="E33" s="16"/>
      <c r="F33" s="16"/>
      <c r="G33" s="16"/>
      <c r="H33" s="16"/>
      <c r="I33" s="46"/>
      <c r="J33" s="47"/>
      <c r="K33" s="44"/>
      <c r="L33" s="45"/>
    </row>
    <row r="34" s="2" customFormat="1" customHeight="1" outlineLevel="1" spans="1:12">
      <c r="A34" s="17">
        <v>1.1</v>
      </c>
      <c r="B34" s="18" t="s">
        <v>5</v>
      </c>
      <c r="C34" s="19" t="s">
        <v>6</v>
      </c>
      <c r="D34" s="20"/>
      <c r="E34" s="21"/>
      <c r="F34" s="21" t="s">
        <v>7</v>
      </c>
      <c r="G34" s="21">
        <v>1.24</v>
      </c>
      <c r="H34" s="21">
        <f>VLOOKUP(C34,'单价表-木门'!$C:$F,4,FALSE)</f>
        <v>114</v>
      </c>
      <c r="I34" s="48">
        <f t="shared" ref="I34:I38" si="1">G34*H34</f>
        <v>141.36</v>
      </c>
      <c r="J34" s="49"/>
      <c r="K34" s="44"/>
      <c r="L34" s="45"/>
    </row>
    <row r="35" s="2" customFormat="1" ht="56" customHeight="1" outlineLevel="1" spans="1:12">
      <c r="A35" s="17">
        <v>2.1</v>
      </c>
      <c r="B35" s="22" t="s">
        <v>9</v>
      </c>
      <c r="C35" s="23" t="s">
        <v>78</v>
      </c>
      <c r="D35" s="24"/>
      <c r="E35" s="21"/>
      <c r="F35" s="21" t="s">
        <v>11</v>
      </c>
      <c r="G35" s="21">
        <v>2.28</v>
      </c>
      <c r="H35" s="21" t="e">
        <f>VLOOKUP(C35,'单价表-木门'!$C:$F,4,FALSE)</f>
        <v>#N/A</v>
      </c>
      <c r="I35" s="48" t="e">
        <f t="shared" si="1"/>
        <v>#N/A</v>
      </c>
      <c r="J35" s="50" t="s">
        <v>79</v>
      </c>
      <c r="K35" s="51"/>
      <c r="L35" s="52"/>
    </row>
    <row r="36" s="2" customFormat="1" customHeight="1" outlineLevel="1" spans="1:10">
      <c r="A36" s="17">
        <v>3.1</v>
      </c>
      <c r="B36" s="18" t="s">
        <v>13</v>
      </c>
      <c r="C36" s="19" t="s">
        <v>14</v>
      </c>
      <c r="D36" s="20"/>
      <c r="E36" s="21"/>
      <c r="F36" s="21" t="s">
        <v>15</v>
      </c>
      <c r="G36" s="21">
        <v>6.21</v>
      </c>
      <c r="H36" s="21">
        <f>VLOOKUP(C36,'单价表-木门'!$C:$F,4,FALSE)</f>
        <v>4.85</v>
      </c>
      <c r="I36" s="48">
        <f t="shared" si="1"/>
        <v>30.1185</v>
      </c>
      <c r="J36" s="49"/>
    </row>
    <row r="37" s="2" customFormat="1" customHeight="1" outlineLevel="1" spans="1:10">
      <c r="A37" s="17">
        <v>4.1</v>
      </c>
      <c r="B37" s="18" t="s">
        <v>17</v>
      </c>
      <c r="C37" s="19" t="s">
        <v>18</v>
      </c>
      <c r="D37" s="20"/>
      <c r="E37" s="21"/>
      <c r="F37" s="21" t="s">
        <v>15</v>
      </c>
      <c r="G37" s="21">
        <v>12.42</v>
      </c>
      <c r="H37" s="21">
        <f>VLOOKUP(C37,'单价表-木门'!$C:$F,4,FALSE)</f>
        <v>7.25</v>
      </c>
      <c r="I37" s="48">
        <f t="shared" si="1"/>
        <v>90.045</v>
      </c>
      <c r="J37" s="53"/>
    </row>
    <row r="38" s="2" customFormat="1" customHeight="1" outlineLevel="1" spans="1:10">
      <c r="A38" s="17">
        <v>5.1</v>
      </c>
      <c r="B38" s="18" t="s">
        <v>80</v>
      </c>
      <c r="C38" s="19" t="s">
        <v>81</v>
      </c>
      <c r="D38" s="20"/>
      <c r="E38" s="21"/>
      <c r="F38" s="21" t="s">
        <v>7</v>
      </c>
      <c r="G38" s="21">
        <f>4.87+G34*2</f>
        <v>7.35</v>
      </c>
      <c r="H38" s="21" t="e">
        <f>VLOOKUP(C38,'单价表-木门'!$C:$F,4,FALSE)</f>
        <v>#N/A</v>
      </c>
      <c r="I38" s="48" t="e">
        <f t="shared" si="1"/>
        <v>#N/A</v>
      </c>
      <c r="J38" s="53"/>
    </row>
    <row r="39" s="2" customFormat="1" customHeight="1" outlineLevel="1" spans="1:10">
      <c r="A39" s="15"/>
      <c r="B39" s="16" t="s">
        <v>82</v>
      </c>
      <c r="C39" s="16"/>
      <c r="D39" s="16"/>
      <c r="E39" s="16"/>
      <c r="F39" s="16"/>
      <c r="G39" s="16"/>
      <c r="H39" s="16"/>
      <c r="I39" s="46" t="e">
        <f>SUM(I34:I38)</f>
        <v>#N/A</v>
      </c>
      <c r="J39" s="53"/>
    </row>
    <row r="40" s="2" customFormat="1" customHeight="1" outlineLevel="1" spans="1:10">
      <c r="A40" s="15">
        <v>2</v>
      </c>
      <c r="B40" s="16" t="s">
        <v>83</v>
      </c>
      <c r="C40" s="16"/>
      <c r="D40" s="16"/>
      <c r="E40" s="16"/>
      <c r="F40" s="16"/>
      <c r="G40" s="16"/>
      <c r="H40" s="16"/>
      <c r="I40" s="46"/>
      <c r="J40" s="54"/>
    </row>
    <row r="41" s="2" customFormat="1" customHeight="1" outlineLevel="1" spans="1:10">
      <c r="A41" s="17">
        <v>2.1</v>
      </c>
      <c r="B41" s="18" t="s">
        <v>22</v>
      </c>
      <c r="C41" s="19" t="s">
        <v>23</v>
      </c>
      <c r="D41" s="20"/>
      <c r="E41" s="21"/>
      <c r="F41" s="21" t="s">
        <v>24</v>
      </c>
      <c r="G41" s="21">
        <v>1</v>
      </c>
      <c r="H41" s="21">
        <f>VLOOKUP(C41,'单价表-木门'!$C:$F,4,FALSE)</f>
        <v>86</v>
      </c>
      <c r="I41" s="48">
        <f t="shared" ref="I41:I44" si="2">G41*H41</f>
        <v>86</v>
      </c>
      <c r="J41" s="53"/>
    </row>
    <row r="42" s="2" customFormat="1" customHeight="1" outlineLevel="1" spans="1:10">
      <c r="A42" s="17">
        <v>2.2</v>
      </c>
      <c r="B42" s="18" t="s">
        <v>25</v>
      </c>
      <c r="C42" s="19" t="s">
        <v>26</v>
      </c>
      <c r="D42" s="20"/>
      <c r="E42" s="21"/>
      <c r="F42" s="21" t="s">
        <v>24</v>
      </c>
      <c r="G42" s="21">
        <v>4</v>
      </c>
      <c r="H42" s="21">
        <f>VLOOKUP(C42,'单价表-木门'!$C:$F,4,FALSE)</f>
        <v>14</v>
      </c>
      <c r="I42" s="48">
        <f t="shared" si="2"/>
        <v>56</v>
      </c>
      <c r="J42" s="53"/>
    </row>
    <row r="43" s="2" customFormat="1" customHeight="1" outlineLevel="1" spans="1:10">
      <c r="A43" s="17">
        <v>2.3</v>
      </c>
      <c r="B43" s="18" t="s">
        <v>28</v>
      </c>
      <c r="C43" s="19" t="s">
        <v>29</v>
      </c>
      <c r="D43" s="20"/>
      <c r="E43" s="21"/>
      <c r="F43" s="21" t="s">
        <v>24</v>
      </c>
      <c r="G43" s="21">
        <v>1</v>
      </c>
      <c r="H43" s="21">
        <f>VLOOKUP(C43,'单价表-木门'!$C:$F,4,FALSE)</f>
        <v>12</v>
      </c>
      <c r="I43" s="48">
        <f t="shared" si="2"/>
        <v>12</v>
      </c>
      <c r="J43" s="53"/>
    </row>
    <row r="44" s="2" customFormat="1" customHeight="1" outlineLevel="1" spans="1:10">
      <c r="A44" s="17">
        <v>2.4</v>
      </c>
      <c r="B44" s="18" t="s">
        <v>30</v>
      </c>
      <c r="C44" s="19" t="s">
        <v>31</v>
      </c>
      <c r="D44" s="20"/>
      <c r="E44" s="21"/>
      <c r="F44" s="21" t="s">
        <v>24</v>
      </c>
      <c r="G44" s="21">
        <v>1</v>
      </c>
      <c r="H44" s="21">
        <f>VLOOKUP(C44,'单价表-木门'!$C:$F,4,FALSE)</f>
        <v>12.4</v>
      </c>
      <c r="I44" s="48">
        <f t="shared" si="2"/>
        <v>12.4</v>
      </c>
      <c r="J44" s="53"/>
    </row>
    <row r="45" s="2" customFormat="1" customHeight="1" outlineLevel="1" spans="1:10">
      <c r="A45" s="15"/>
      <c r="B45" s="16" t="s">
        <v>84</v>
      </c>
      <c r="C45" s="16"/>
      <c r="D45" s="16"/>
      <c r="E45" s="16"/>
      <c r="F45" s="16"/>
      <c r="G45" s="16"/>
      <c r="H45" s="16"/>
      <c r="I45" s="46">
        <f>SUM(I41:I44)</f>
        <v>166.4</v>
      </c>
      <c r="J45" s="53"/>
    </row>
    <row r="46" s="2" customFormat="1" customHeight="1" outlineLevel="1" spans="1:10">
      <c r="A46" s="25">
        <v>3</v>
      </c>
      <c r="B46" s="16" t="s">
        <v>85</v>
      </c>
      <c r="C46" s="16"/>
      <c r="D46" s="16"/>
      <c r="E46" s="16"/>
      <c r="F46" s="16"/>
      <c r="G46" s="16"/>
      <c r="H46" s="16"/>
      <c r="I46" s="46"/>
      <c r="J46" s="54"/>
    </row>
    <row r="47" s="2" customFormat="1" customHeight="1" outlineLevel="1" spans="1:10">
      <c r="A47" s="21">
        <v>3.1</v>
      </c>
      <c r="B47" s="18" t="s">
        <v>33</v>
      </c>
      <c r="C47" s="21" t="s">
        <v>34</v>
      </c>
      <c r="D47" s="21"/>
      <c r="E47" s="18"/>
      <c r="F47" s="21" t="s">
        <v>11</v>
      </c>
      <c r="G47" s="21">
        <v>1</v>
      </c>
      <c r="H47" s="21">
        <f>VLOOKUP(C47,'单价表-木门'!$C:$F,4,FALSE)</f>
        <v>9.7</v>
      </c>
      <c r="I47" s="48">
        <f t="shared" ref="I47:I49" si="3">G47*H47</f>
        <v>9.7</v>
      </c>
      <c r="J47" s="53"/>
    </row>
    <row r="48" s="2" customFormat="1" customHeight="1" outlineLevel="1" spans="1:10">
      <c r="A48" s="21">
        <v>3.2</v>
      </c>
      <c r="B48" s="18" t="s">
        <v>35</v>
      </c>
      <c r="C48" s="21" t="s">
        <v>36</v>
      </c>
      <c r="D48" s="21"/>
      <c r="E48" s="21"/>
      <c r="F48" s="21" t="s">
        <v>15</v>
      </c>
      <c r="G48" s="21">
        <f>G36</f>
        <v>6.21</v>
      </c>
      <c r="H48" s="21">
        <f>VLOOKUP(C48,'单价表-木门'!$C:$F,4,FALSE)</f>
        <v>4.8</v>
      </c>
      <c r="I48" s="48">
        <f t="shared" si="3"/>
        <v>29.808</v>
      </c>
      <c r="J48" s="53"/>
    </row>
    <row r="49" s="2" customFormat="1" customHeight="1" outlineLevel="1" spans="1:10">
      <c r="A49" s="21">
        <v>3.3</v>
      </c>
      <c r="B49" s="18" t="s">
        <v>30</v>
      </c>
      <c r="C49" s="19" t="s">
        <v>38</v>
      </c>
      <c r="D49" s="20"/>
      <c r="E49" s="21"/>
      <c r="F49" s="21" t="s">
        <v>24</v>
      </c>
      <c r="G49" s="21">
        <v>1</v>
      </c>
      <c r="H49" s="21">
        <f>VLOOKUP(C49,'单价表-木门'!$C:$F,4,FALSE)</f>
        <v>14.5</v>
      </c>
      <c r="I49" s="48">
        <f t="shared" si="3"/>
        <v>14.5</v>
      </c>
      <c r="J49" s="53"/>
    </row>
    <row r="50" s="2" customFormat="1" customHeight="1" outlineLevel="1" spans="1:10">
      <c r="A50" s="15"/>
      <c r="B50" s="16" t="s">
        <v>86</v>
      </c>
      <c r="C50" s="16"/>
      <c r="D50" s="16"/>
      <c r="E50" s="16"/>
      <c r="F50" s="16"/>
      <c r="G50" s="16"/>
      <c r="H50" s="16"/>
      <c r="I50" s="46">
        <f>SUM(I47:I49)</f>
        <v>54.008</v>
      </c>
      <c r="J50" s="53"/>
    </row>
    <row r="51" s="2" customFormat="1" customHeight="1" outlineLevel="1" spans="1:10">
      <c r="A51" s="15">
        <v>4</v>
      </c>
      <c r="B51" s="18" t="s">
        <v>87</v>
      </c>
      <c r="C51" s="18"/>
      <c r="D51" s="18"/>
      <c r="E51" s="18"/>
      <c r="F51" s="18"/>
      <c r="G51" s="18"/>
      <c r="H51" s="18"/>
      <c r="I51" s="21">
        <f>'单价表-木门'!F14</f>
        <v>227</v>
      </c>
      <c r="J51" s="53"/>
    </row>
    <row r="52" s="2" customFormat="1" customHeight="1" outlineLevel="1" spans="1:10">
      <c r="A52" s="15">
        <v>5</v>
      </c>
      <c r="B52" s="18" t="s">
        <v>42</v>
      </c>
      <c r="C52" s="18"/>
      <c r="D52" s="18"/>
      <c r="E52" s="18"/>
      <c r="F52" s="18"/>
      <c r="G52" s="18"/>
      <c r="H52" s="18"/>
      <c r="I52" s="21">
        <f>VLOOKUP(B52,'单价表-木门'!$B:$F,5,FALSE)</f>
        <v>14.5</v>
      </c>
      <c r="J52" s="53"/>
    </row>
    <row r="53" s="2" customFormat="1" customHeight="1" outlineLevel="1" spans="1:10">
      <c r="A53" s="15">
        <v>6</v>
      </c>
      <c r="B53" s="23" t="s">
        <v>88</v>
      </c>
      <c r="C53" s="26"/>
      <c r="D53" s="26"/>
      <c r="E53" s="26"/>
      <c r="F53" s="26"/>
      <c r="G53" s="24"/>
      <c r="H53" s="27"/>
      <c r="I53" s="46" t="e">
        <f>I39+I45+I50+I51+I52</f>
        <v>#N/A</v>
      </c>
      <c r="J53" s="54"/>
    </row>
    <row r="54" s="2" customFormat="1" customHeight="1" outlineLevel="1" spans="1:10">
      <c r="A54" s="15">
        <v>7</v>
      </c>
      <c r="B54" s="23" t="s">
        <v>61</v>
      </c>
      <c r="C54" s="26"/>
      <c r="D54" s="26"/>
      <c r="E54" s="26"/>
      <c r="F54" s="26"/>
      <c r="G54" s="24"/>
      <c r="H54" s="28">
        <v>0.03</v>
      </c>
      <c r="I54" s="48" t="e">
        <f>I53*H54</f>
        <v>#N/A</v>
      </c>
      <c r="J54" s="53"/>
    </row>
    <row r="55" s="2" customFormat="1" customHeight="1" outlineLevel="1" spans="1:10">
      <c r="A55" s="15">
        <v>8</v>
      </c>
      <c r="B55" s="23" t="s">
        <v>63</v>
      </c>
      <c r="C55" s="26"/>
      <c r="D55" s="26"/>
      <c r="E55" s="26"/>
      <c r="F55" s="26"/>
      <c r="G55" s="24"/>
      <c r="H55" s="28">
        <v>0.13</v>
      </c>
      <c r="I55" s="48" t="e">
        <f>+(I53+I54)*H55</f>
        <v>#N/A</v>
      </c>
      <c r="J55" s="53"/>
    </row>
    <row r="56" s="2" customFormat="1" customHeight="1" spans="1:10">
      <c r="A56" s="15">
        <v>9</v>
      </c>
      <c r="B56" s="29" t="s">
        <v>76</v>
      </c>
      <c r="C56" s="30"/>
      <c r="D56" s="30"/>
      <c r="E56" s="30"/>
      <c r="F56" s="30"/>
      <c r="G56" s="31"/>
      <c r="H56" s="32"/>
      <c r="I56" s="55" t="e">
        <f>+I55+I54+I53</f>
        <v>#N/A</v>
      </c>
      <c r="J56" s="16"/>
    </row>
    <row r="57" s="2" customFormat="1" customHeight="1" spans="1:10">
      <c r="A57" s="15">
        <v>10</v>
      </c>
      <c r="B57" s="33" t="s">
        <v>89</v>
      </c>
      <c r="C57" s="34"/>
      <c r="D57" s="34"/>
      <c r="E57" s="34"/>
      <c r="F57" s="34"/>
      <c r="G57" s="35"/>
      <c r="H57" s="36"/>
      <c r="I57" s="55" t="e">
        <f>+I56/I31</f>
        <v>#N/A</v>
      </c>
      <c r="J57" s="57"/>
    </row>
    <row r="58" customHeight="1" spans="1:10">
      <c r="A58" s="7" t="s">
        <v>93</v>
      </c>
      <c r="B58" s="7"/>
      <c r="C58" s="7"/>
      <c r="D58" s="7"/>
      <c r="E58" s="7"/>
      <c r="F58" s="7"/>
      <c r="G58" s="7"/>
      <c r="H58" s="7"/>
      <c r="I58" s="38"/>
      <c r="J58" s="7"/>
    </row>
    <row r="59" customHeight="1" spans="1:12">
      <c r="A59" s="8" t="s">
        <v>66</v>
      </c>
      <c r="B59" s="8"/>
      <c r="C59" s="9" t="s">
        <v>94</v>
      </c>
      <c r="D59" s="10"/>
      <c r="E59" s="8" t="s">
        <v>68</v>
      </c>
      <c r="F59" s="8" t="s">
        <v>95</v>
      </c>
      <c r="G59" s="8"/>
      <c r="H59" s="8" t="s">
        <v>70</v>
      </c>
      <c r="I59" s="39">
        <f>0.95*2.68</f>
        <v>2.546</v>
      </c>
      <c r="J59" s="8"/>
      <c r="K59" s="40" t="str">
        <f>_xlfn.DISPIMG("ID_564146BB3B9544488FA77E3B38DD873F",1)</f>
        <v>=DISPIMG("ID_564146BB3B9544488FA77E3B38DD873F",1)</v>
      </c>
      <c r="L59" s="41"/>
    </row>
    <row r="60" ht="42" customHeight="1" outlineLevel="1" spans="1:12">
      <c r="A60" s="11" t="s">
        <v>0</v>
      </c>
      <c r="B60" s="12" t="s">
        <v>71</v>
      </c>
      <c r="C60" s="13" t="s">
        <v>72</v>
      </c>
      <c r="D60" s="14"/>
      <c r="E60" s="12" t="s">
        <v>73</v>
      </c>
      <c r="F60" s="12" t="s">
        <v>74</v>
      </c>
      <c r="G60" s="12" t="s">
        <v>75</v>
      </c>
      <c r="H60" s="12" t="s">
        <v>4</v>
      </c>
      <c r="I60" s="42" t="s">
        <v>76</v>
      </c>
      <c r="J60" s="43" t="s">
        <v>3</v>
      </c>
      <c r="K60" s="44"/>
      <c r="L60" s="45"/>
    </row>
    <row r="61" customHeight="1" outlineLevel="1" spans="1:12">
      <c r="A61" s="15">
        <v>1</v>
      </c>
      <c r="B61" s="16" t="s">
        <v>77</v>
      </c>
      <c r="C61" s="16"/>
      <c r="D61" s="16"/>
      <c r="E61" s="16"/>
      <c r="F61" s="16"/>
      <c r="G61" s="16"/>
      <c r="H61" s="16"/>
      <c r="I61" s="46"/>
      <c r="J61" s="47"/>
      <c r="K61" s="44"/>
      <c r="L61" s="45"/>
    </row>
    <row r="62" customHeight="1" outlineLevel="1" spans="1:12">
      <c r="A62" s="17">
        <v>1.1</v>
      </c>
      <c r="B62" s="18" t="s">
        <v>5</v>
      </c>
      <c r="C62" s="19" t="s">
        <v>6</v>
      </c>
      <c r="D62" s="20"/>
      <c r="E62" s="21"/>
      <c r="F62" s="21" t="s">
        <v>7</v>
      </c>
      <c r="G62" s="21">
        <v>1.39</v>
      </c>
      <c r="H62" s="21">
        <f>VLOOKUP(C62,'单价表-木门'!$C:$F,4,FALSE)</f>
        <v>114</v>
      </c>
      <c r="I62" s="48">
        <f t="shared" ref="I62:I66" si="4">G62*H62</f>
        <v>158.46</v>
      </c>
      <c r="J62" s="49"/>
      <c r="K62" s="44"/>
      <c r="L62" s="45"/>
    </row>
    <row r="63" ht="54" customHeight="1" outlineLevel="1" spans="1:12">
      <c r="A63" s="17">
        <v>2.1</v>
      </c>
      <c r="B63" s="22" t="s">
        <v>9</v>
      </c>
      <c r="C63" s="23" t="s">
        <v>78</v>
      </c>
      <c r="D63" s="24"/>
      <c r="E63" s="21"/>
      <c r="F63" s="21" t="s">
        <v>11</v>
      </c>
      <c r="G63" s="21">
        <v>2.55</v>
      </c>
      <c r="H63" s="21" t="e">
        <f>VLOOKUP(C63,'单价表-木门'!$C:$F,4,FALSE)</f>
        <v>#N/A</v>
      </c>
      <c r="I63" s="48" t="e">
        <f t="shared" si="4"/>
        <v>#N/A</v>
      </c>
      <c r="J63" s="50" t="s">
        <v>79</v>
      </c>
      <c r="K63" s="51"/>
      <c r="L63" s="52"/>
    </row>
    <row r="64" customHeight="1" outlineLevel="1" spans="1:10">
      <c r="A64" s="17">
        <v>3.1</v>
      </c>
      <c r="B64" s="18" t="s">
        <v>13</v>
      </c>
      <c r="C64" s="19" t="s">
        <v>14</v>
      </c>
      <c r="D64" s="20"/>
      <c r="E64" s="21"/>
      <c r="F64" s="21" t="s">
        <v>15</v>
      </c>
      <c r="G64" s="21">
        <v>6.31</v>
      </c>
      <c r="H64" s="21">
        <f>VLOOKUP(C64,'单价表-木门'!$C:$F,4,FALSE)</f>
        <v>4.85</v>
      </c>
      <c r="I64" s="48">
        <f t="shared" si="4"/>
        <v>30.6035</v>
      </c>
      <c r="J64" s="49"/>
    </row>
    <row r="65" customHeight="1" outlineLevel="1" spans="1:10">
      <c r="A65" s="17">
        <v>4.1</v>
      </c>
      <c r="B65" s="18" t="s">
        <v>17</v>
      </c>
      <c r="C65" s="19" t="s">
        <v>18</v>
      </c>
      <c r="D65" s="20"/>
      <c r="E65" s="21"/>
      <c r="F65" s="21" t="s">
        <v>15</v>
      </c>
      <c r="G65" s="21">
        <v>12.62</v>
      </c>
      <c r="H65" s="21">
        <f>VLOOKUP(C65,'单价表-木门'!$C:$F,4,FALSE)</f>
        <v>7.25</v>
      </c>
      <c r="I65" s="48">
        <f t="shared" si="4"/>
        <v>91.495</v>
      </c>
      <c r="J65" s="53"/>
    </row>
    <row r="66" customHeight="1" outlineLevel="1" spans="1:10">
      <c r="A66" s="17">
        <v>5.1</v>
      </c>
      <c r="B66" s="18" t="s">
        <v>80</v>
      </c>
      <c r="C66" s="19" t="s">
        <v>81</v>
      </c>
      <c r="D66" s="20"/>
      <c r="E66" s="21"/>
      <c r="F66" s="21" t="s">
        <v>7</v>
      </c>
      <c r="G66" s="21">
        <f>5.42+G62*2</f>
        <v>8.2</v>
      </c>
      <c r="H66" s="21" t="e">
        <f>VLOOKUP(C66,'单价表-木门'!$C:$F,4,FALSE)</f>
        <v>#N/A</v>
      </c>
      <c r="I66" s="48" t="e">
        <f t="shared" si="4"/>
        <v>#N/A</v>
      </c>
      <c r="J66" s="53"/>
    </row>
    <row r="67" customHeight="1" outlineLevel="1" spans="1:10">
      <c r="A67" s="15"/>
      <c r="B67" s="16" t="s">
        <v>82</v>
      </c>
      <c r="C67" s="16"/>
      <c r="D67" s="16"/>
      <c r="E67" s="16"/>
      <c r="F67" s="16"/>
      <c r="G67" s="16"/>
      <c r="H67" s="16"/>
      <c r="I67" s="46" t="e">
        <f>SUM(I62:I66)</f>
        <v>#N/A</v>
      </c>
      <c r="J67" s="53"/>
    </row>
    <row r="68" customHeight="1" outlineLevel="1" spans="1:10">
      <c r="A68" s="15">
        <v>2</v>
      </c>
      <c r="B68" s="16" t="s">
        <v>83</v>
      </c>
      <c r="C68" s="16"/>
      <c r="D68" s="16"/>
      <c r="E68" s="16"/>
      <c r="F68" s="16"/>
      <c r="G68" s="16"/>
      <c r="H68" s="16"/>
      <c r="I68" s="46"/>
      <c r="J68" s="54"/>
    </row>
    <row r="69" customHeight="1" outlineLevel="1" spans="1:10">
      <c r="A69" s="17">
        <v>2.1</v>
      </c>
      <c r="B69" s="18" t="s">
        <v>22</v>
      </c>
      <c r="C69" s="19" t="s">
        <v>23</v>
      </c>
      <c r="D69" s="20"/>
      <c r="E69" s="21"/>
      <c r="F69" s="21" t="s">
        <v>24</v>
      </c>
      <c r="G69" s="21">
        <v>1</v>
      </c>
      <c r="H69" s="21">
        <f>VLOOKUP(C69,'单价表-木门'!$C:$F,4,FALSE)</f>
        <v>86</v>
      </c>
      <c r="I69" s="48">
        <f t="shared" ref="I69:I72" si="5">G69*H69</f>
        <v>86</v>
      </c>
      <c r="J69" s="53"/>
    </row>
    <row r="70" customHeight="1" outlineLevel="1" spans="1:10">
      <c r="A70" s="17">
        <v>2.2</v>
      </c>
      <c r="B70" s="18" t="s">
        <v>25</v>
      </c>
      <c r="C70" s="19" t="s">
        <v>26</v>
      </c>
      <c r="D70" s="20"/>
      <c r="E70" s="21"/>
      <c r="F70" s="21" t="s">
        <v>24</v>
      </c>
      <c r="G70" s="21">
        <v>4</v>
      </c>
      <c r="H70" s="21">
        <f>VLOOKUP(C70,'单价表-木门'!$C:$F,4,FALSE)</f>
        <v>14</v>
      </c>
      <c r="I70" s="48">
        <f t="shared" si="5"/>
        <v>56</v>
      </c>
      <c r="J70" s="53"/>
    </row>
    <row r="71" customHeight="1" outlineLevel="1" spans="1:10">
      <c r="A71" s="17">
        <v>2.3</v>
      </c>
      <c r="B71" s="18" t="s">
        <v>28</v>
      </c>
      <c r="C71" s="19" t="s">
        <v>29</v>
      </c>
      <c r="D71" s="20"/>
      <c r="E71" s="21"/>
      <c r="F71" s="21" t="s">
        <v>24</v>
      </c>
      <c r="G71" s="21">
        <v>1</v>
      </c>
      <c r="H71" s="21">
        <f>VLOOKUP(C71,'单价表-木门'!$C:$F,4,FALSE)</f>
        <v>12</v>
      </c>
      <c r="I71" s="48">
        <f t="shared" si="5"/>
        <v>12</v>
      </c>
      <c r="J71" s="53"/>
    </row>
    <row r="72" customHeight="1" outlineLevel="1" spans="1:10">
      <c r="A72" s="17">
        <v>2.4</v>
      </c>
      <c r="B72" s="18" t="s">
        <v>30</v>
      </c>
      <c r="C72" s="19" t="s">
        <v>31</v>
      </c>
      <c r="D72" s="20"/>
      <c r="E72" s="21"/>
      <c r="F72" s="21" t="s">
        <v>24</v>
      </c>
      <c r="G72" s="21">
        <v>1</v>
      </c>
      <c r="H72" s="21">
        <f>VLOOKUP(C72,'单价表-木门'!$C:$F,4,FALSE)</f>
        <v>12.4</v>
      </c>
      <c r="I72" s="48">
        <f t="shared" si="5"/>
        <v>12.4</v>
      </c>
      <c r="J72" s="53"/>
    </row>
    <row r="73" customHeight="1" outlineLevel="1" spans="1:10">
      <c r="A73" s="15"/>
      <c r="B73" s="16" t="s">
        <v>84</v>
      </c>
      <c r="C73" s="16"/>
      <c r="D73" s="16"/>
      <c r="E73" s="16"/>
      <c r="F73" s="16"/>
      <c r="G73" s="16"/>
      <c r="H73" s="16"/>
      <c r="I73" s="46">
        <f>SUM(I69:I72)</f>
        <v>166.4</v>
      </c>
      <c r="J73" s="53"/>
    </row>
    <row r="74" customHeight="1" outlineLevel="1" spans="1:10">
      <c r="A74" s="25">
        <v>3</v>
      </c>
      <c r="B74" s="16" t="s">
        <v>85</v>
      </c>
      <c r="C74" s="16"/>
      <c r="D74" s="16"/>
      <c r="E74" s="16"/>
      <c r="F74" s="16"/>
      <c r="G74" s="16"/>
      <c r="H74" s="16"/>
      <c r="I74" s="46"/>
      <c r="J74" s="54"/>
    </row>
    <row r="75" customHeight="1" outlineLevel="1" spans="1:10">
      <c r="A75" s="21">
        <v>3.1</v>
      </c>
      <c r="B75" s="18" t="s">
        <v>33</v>
      </c>
      <c r="C75" s="21" t="s">
        <v>34</v>
      </c>
      <c r="D75" s="21"/>
      <c r="E75" s="18"/>
      <c r="F75" s="21" t="s">
        <v>11</v>
      </c>
      <c r="G75" s="21">
        <v>1</v>
      </c>
      <c r="H75" s="21">
        <f>VLOOKUP(C75,'单价表-木门'!$C:$F,4,FALSE)</f>
        <v>9.7</v>
      </c>
      <c r="I75" s="48">
        <f t="shared" ref="I75:I77" si="6">G75*H75</f>
        <v>9.7</v>
      </c>
      <c r="J75" s="53"/>
    </row>
    <row r="76" customHeight="1" outlineLevel="1" spans="1:10">
      <c r="A76" s="21">
        <v>3.2</v>
      </c>
      <c r="B76" s="18" t="s">
        <v>35</v>
      </c>
      <c r="C76" s="21" t="s">
        <v>36</v>
      </c>
      <c r="D76" s="21"/>
      <c r="E76" s="21"/>
      <c r="F76" s="21" t="s">
        <v>15</v>
      </c>
      <c r="G76" s="21">
        <f>G64</f>
        <v>6.31</v>
      </c>
      <c r="H76" s="21">
        <f>VLOOKUP(C76,'单价表-木门'!$C:$F,4,FALSE)</f>
        <v>4.8</v>
      </c>
      <c r="I76" s="48">
        <f t="shared" si="6"/>
        <v>30.288</v>
      </c>
      <c r="J76" s="53"/>
    </row>
    <row r="77" customHeight="1" outlineLevel="1" spans="1:10">
      <c r="A77" s="21">
        <v>3.3</v>
      </c>
      <c r="B77" s="18" t="s">
        <v>30</v>
      </c>
      <c r="C77" s="19" t="s">
        <v>38</v>
      </c>
      <c r="D77" s="20"/>
      <c r="E77" s="21"/>
      <c r="F77" s="21" t="s">
        <v>24</v>
      </c>
      <c r="G77" s="21">
        <v>1</v>
      </c>
      <c r="H77" s="21">
        <f>VLOOKUP(C77,'单价表-木门'!$C:$F,4,FALSE)</f>
        <v>14.5</v>
      </c>
      <c r="I77" s="48">
        <f t="shared" si="6"/>
        <v>14.5</v>
      </c>
      <c r="J77" s="53"/>
    </row>
    <row r="78" customHeight="1" outlineLevel="1" spans="1:10">
      <c r="A78" s="15"/>
      <c r="B78" s="16" t="s">
        <v>86</v>
      </c>
      <c r="C78" s="16"/>
      <c r="D78" s="16"/>
      <c r="E78" s="16"/>
      <c r="F78" s="16"/>
      <c r="G78" s="16"/>
      <c r="H78" s="16"/>
      <c r="I78" s="46">
        <f>SUM(I75:I77)</f>
        <v>54.488</v>
      </c>
      <c r="J78" s="53"/>
    </row>
    <row r="79" customHeight="1" outlineLevel="1" spans="1:10">
      <c r="A79" s="15">
        <v>4</v>
      </c>
      <c r="B79" s="18" t="s">
        <v>87</v>
      </c>
      <c r="C79" s="18"/>
      <c r="D79" s="18"/>
      <c r="E79" s="18"/>
      <c r="F79" s="18"/>
      <c r="G79" s="18"/>
      <c r="H79" s="18"/>
      <c r="I79" s="21">
        <f>'单价表-木门'!F14</f>
        <v>227</v>
      </c>
      <c r="J79" s="53"/>
    </row>
    <row r="80" customHeight="1" outlineLevel="1" spans="1:10">
      <c r="A80" s="15">
        <v>5</v>
      </c>
      <c r="B80" s="18" t="s">
        <v>42</v>
      </c>
      <c r="C80" s="18"/>
      <c r="D80" s="18"/>
      <c r="E80" s="18"/>
      <c r="F80" s="18"/>
      <c r="G80" s="18"/>
      <c r="H80" s="18"/>
      <c r="I80" s="21">
        <f>VLOOKUP(B80,'单价表-木门'!$B:$F,5,FALSE)</f>
        <v>14.5</v>
      </c>
      <c r="J80" s="53"/>
    </row>
    <row r="81" customHeight="1" outlineLevel="1" spans="1:10">
      <c r="A81" s="15">
        <v>6</v>
      </c>
      <c r="B81" s="23" t="s">
        <v>88</v>
      </c>
      <c r="C81" s="26"/>
      <c r="D81" s="26"/>
      <c r="E81" s="26"/>
      <c r="F81" s="26"/>
      <c r="G81" s="24"/>
      <c r="H81" s="27"/>
      <c r="I81" s="46" t="e">
        <f>I67+I73+I78+I79+I80</f>
        <v>#N/A</v>
      </c>
      <c r="J81" s="54"/>
    </row>
    <row r="82" customHeight="1" outlineLevel="1" spans="1:10">
      <c r="A82" s="15">
        <v>7</v>
      </c>
      <c r="B82" s="23" t="s">
        <v>61</v>
      </c>
      <c r="C82" s="26"/>
      <c r="D82" s="26"/>
      <c r="E82" s="26"/>
      <c r="F82" s="26"/>
      <c r="G82" s="24"/>
      <c r="H82" s="28">
        <v>0.03</v>
      </c>
      <c r="I82" s="48" t="e">
        <f>I81*H82</f>
        <v>#N/A</v>
      </c>
      <c r="J82" s="53"/>
    </row>
    <row r="83" customHeight="1" outlineLevel="1" spans="1:10">
      <c r="A83" s="15">
        <v>8</v>
      </c>
      <c r="B83" s="23" t="s">
        <v>63</v>
      </c>
      <c r="C83" s="26"/>
      <c r="D83" s="26"/>
      <c r="E83" s="26"/>
      <c r="F83" s="26"/>
      <c r="G83" s="24"/>
      <c r="H83" s="28">
        <v>0.13</v>
      </c>
      <c r="I83" s="48" t="e">
        <f>+(I81+I82)*H83</f>
        <v>#N/A</v>
      </c>
      <c r="J83" s="53"/>
    </row>
    <row r="84" customHeight="1" spans="1:10">
      <c r="A84" s="15">
        <v>9</v>
      </c>
      <c r="B84" s="29" t="s">
        <v>76</v>
      </c>
      <c r="C84" s="30"/>
      <c r="D84" s="30"/>
      <c r="E84" s="30"/>
      <c r="F84" s="30"/>
      <c r="G84" s="31"/>
      <c r="H84" s="32"/>
      <c r="I84" s="55" t="e">
        <f>+I83+I82+I81</f>
        <v>#N/A</v>
      </c>
      <c r="J84" s="16"/>
    </row>
    <row r="85" customHeight="1" spans="1:10">
      <c r="A85" s="15">
        <v>10</v>
      </c>
      <c r="B85" s="33" t="s">
        <v>89</v>
      </c>
      <c r="C85" s="34"/>
      <c r="D85" s="34"/>
      <c r="E85" s="34"/>
      <c r="F85" s="34"/>
      <c r="G85" s="35"/>
      <c r="H85" s="36"/>
      <c r="I85" s="55" t="e">
        <f>+I84/I59</f>
        <v>#N/A</v>
      </c>
      <c r="J85" s="57"/>
    </row>
    <row r="86" customHeight="1" spans="1:10">
      <c r="A86" s="7" t="s">
        <v>96</v>
      </c>
      <c r="B86" s="7"/>
      <c r="C86" s="7"/>
      <c r="D86" s="7"/>
      <c r="E86" s="7"/>
      <c r="F86" s="7"/>
      <c r="G86" s="7"/>
      <c r="H86" s="7"/>
      <c r="I86" s="38"/>
      <c r="J86" s="7"/>
    </row>
    <row r="87" customHeight="1" spans="1:12">
      <c r="A87" s="8" t="s">
        <v>66</v>
      </c>
      <c r="B87" s="8"/>
      <c r="C87" s="9" t="s">
        <v>97</v>
      </c>
      <c r="D87" s="10"/>
      <c r="E87" s="8" t="s">
        <v>68</v>
      </c>
      <c r="F87" s="8" t="s">
        <v>98</v>
      </c>
      <c r="G87" s="8"/>
      <c r="H87" s="8" t="s">
        <v>70</v>
      </c>
      <c r="I87" s="39">
        <f>1.12*2.68</f>
        <v>3.0016</v>
      </c>
      <c r="J87" s="8"/>
      <c r="K87" s="40" t="str">
        <f>_xlfn.DISPIMG("ID_634699B1E55A4090AAB626FD6160ED1E",1)</f>
        <v>=DISPIMG("ID_634699B1E55A4090AAB626FD6160ED1E",1)</v>
      </c>
      <c r="L87" s="41"/>
    </row>
    <row r="88" customHeight="1" outlineLevel="1" spans="1:12">
      <c r="A88" s="11" t="s">
        <v>0</v>
      </c>
      <c r="B88" s="12" t="s">
        <v>71</v>
      </c>
      <c r="C88" s="13" t="s">
        <v>72</v>
      </c>
      <c r="D88" s="14"/>
      <c r="E88" s="12" t="s">
        <v>73</v>
      </c>
      <c r="F88" s="12" t="s">
        <v>74</v>
      </c>
      <c r="G88" s="12" t="s">
        <v>75</v>
      </c>
      <c r="H88" s="12" t="s">
        <v>4</v>
      </c>
      <c r="I88" s="42" t="s">
        <v>76</v>
      </c>
      <c r="J88" s="43" t="s">
        <v>3</v>
      </c>
      <c r="K88" s="44"/>
      <c r="L88" s="45"/>
    </row>
    <row r="89" customHeight="1" outlineLevel="1" spans="1:12">
      <c r="A89" s="15">
        <v>1</v>
      </c>
      <c r="B89" s="16" t="s">
        <v>77</v>
      </c>
      <c r="C89" s="16"/>
      <c r="D89" s="16"/>
      <c r="E89" s="16"/>
      <c r="F89" s="16"/>
      <c r="G89" s="16"/>
      <c r="H89" s="16"/>
      <c r="I89" s="46"/>
      <c r="J89" s="47"/>
      <c r="K89" s="44"/>
      <c r="L89" s="45"/>
    </row>
    <row r="90" customHeight="1" outlineLevel="1" spans="1:12">
      <c r="A90" s="17">
        <v>1.1</v>
      </c>
      <c r="B90" s="18" t="s">
        <v>5</v>
      </c>
      <c r="C90" s="19" t="s">
        <v>6</v>
      </c>
      <c r="D90" s="20"/>
      <c r="E90" s="21"/>
      <c r="F90" s="21" t="s">
        <v>7</v>
      </c>
      <c r="G90" s="21">
        <v>1.43</v>
      </c>
      <c r="H90" s="21">
        <f>VLOOKUP(C90,'单价表-木门'!$C:$F,4,FALSE)</f>
        <v>114</v>
      </c>
      <c r="I90" s="48">
        <f t="shared" ref="I90:I94" si="7">G90*H90</f>
        <v>163.02</v>
      </c>
      <c r="J90" s="49"/>
      <c r="K90" s="44"/>
      <c r="L90" s="45"/>
    </row>
    <row r="91" ht="54" customHeight="1" outlineLevel="1" spans="1:12">
      <c r="A91" s="17">
        <v>2.1</v>
      </c>
      <c r="B91" s="22" t="s">
        <v>9</v>
      </c>
      <c r="C91" s="23" t="s">
        <v>78</v>
      </c>
      <c r="D91" s="24"/>
      <c r="E91" s="21"/>
      <c r="F91" s="21" t="s">
        <v>11</v>
      </c>
      <c r="G91" s="21">
        <v>3</v>
      </c>
      <c r="H91" s="21" t="e">
        <f>VLOOKUP(C91,'单价表-木门'!$C:$F,4,FALSE)</f>
        <v>#N/A</v>
      </c>
      <c r="I91" s="48" t="e">
        <f t="shared" si="7"/>
        <v>#N/A</v>
      </c>
      <c r="J91" s="50" t="s">
        <v>79</v>
      </c>
      <c r="K91" s="51"/>
      <c r="L91" s="52"/>
    </row>
    <row r="92" customHeight="1" outlineLevel="1" spans="1:10">
      <c r="A92" s="17">
        <v>3.1</v>
      </c>
      <c r="B92" s="18" t="s">
        <v>13</v>
      </c>
      <c r="C92" s="19" t="s">
        <v>14</v>
      </c>
      <c r="D92" s="20"/>
      <c r="E92" s="21"/>
      <c r="F92" s="21" t="s">
        <v>15</v>
      </c>
      <c r="G92" s="21">
        <v>6.48</v>
      </c>
      <c r="H92" s="21">
        <f>VLOOKUP(C92,'单价表-木门'!$C:$F,4,FALSE)</f>
        <v>4.85</v>
      </c>
      <c r="I92" s="48">
        <f t="shared" si="7"/>
        <v>31.428</v>
      </c>
      <c r="J92" s="49"/>
    </row>
    <row r="93" customHeight="1" outlineLevel="1" spans="1:10">
      <c r="A93" s="17">
        <v>4.1</v>
      </c>
      <c r="B93" s="18" t="s">
        <v>17</v>
      </c>
      <c r="C93" s="19" t="s">
        <v>18</v>
      </c>
      <c r="D93" s="20"/>
      <c r="E93" s="21"/>
      <c r="F93" s="21" t="s">
        <v>15</v>
      </c>
      <c r="G93" s="21">
        <v>12.96</v>
      </c>
      <c r="H93" s="21">
        <f>VLOOKUP(C93,'单价表-木门'!$C:$F,4,FALSE)</f>
        <v>7.25</v>
      </c>
      <c r="I93" s="48">
        <f t="shared" si="7"/>
        <v>93.96</v>
      </c>
      <c r="J93" s="53"/>
    </row>
    <row r="94" customHeight="1" outlineLevel="1" spans="1:10">
      <c r="A94" s="17">
        <v>5.1</v>
      </c>
      <c r="B94" s="18" t="s">
        <v>80</v>
      </c>
      <c r="C94" s="19" t="s">
        <v>81</v>
      </c>
      <c r="D94" s="20"/>
      <c r="E94" s="21"/>
      <c r="F94" s="21" t="s">
        <v>7</v>
      </c>
      <c r="G94" s="21">
        <f>6.35+G90*2</f>
        <v>9.21</v>
      </c>
      <c r="H94" s="21" t="e">
        <f>VLOOKUP(C94,'单价表-木门'!$C:$F,4,FALSE)</f>
        <v>#N/A</v>
      </c>
      <c r="I94" s="48" t="e">
        <f t="shared" si="7"/>
        <v>#N/A</v>
      </c>
      <c r="J94" s="53"/>
    </row>
    <row r="95" customHeight="1" outlineLevel="1" spans="1:10">
      <c r="A95" s="15"/>
      <c r="B95" s="16" t="s">
        <v>82</v>
      </c>
      <c r="C95" s="16"/>
      <c r="D95" s="16"/>
      <c r="E95" s="16"/>
      <c r="F95" s="16"/>
      <c r="G95" s="16"/>
      <c r="H95" s="16"/>
      <c r="I95" s="46" t="e">
        <f>SUM(I90:I94)</f>
        <v>#N/A</v>
      </c>
      <c r="J95" s="53"/>
    </row>
    <row r="96" customHeight="1" outlineLevel="1" spans="1:10">
      <c r="A96" s="15">
        <v>2</v>
      </c>
      <c r="B96" s="16" t="s">
        <v>83</v>
      </c>
      <c r="C96" s="16"/>
      <c r="D96" s="16"/>
      <c r="E96" s="16"/>
      <c r="F96" s="16"/>
      <c r="G96" s="16"/>
      <c r="H96" s="16"/>
      <c r="I96" s="46"/>
      <c r="J96" s="54"/>
    </row>
    <row r="97" customHeight="1" outlineLevel="1" spans="1:10">
      <c r="A97" s="17">
        <v>2.1</v>
      </c>
      <c r="B97" s="18" t="s">
        <v>22</v>
      </c>
      <c r="C97" s="19" t="s">
        <v>23</v>
      </c>
      <c r="D97" s="20"/>
      <c r="E97" s="21"/>
      <c r="F97" s="21" t="s">
        <v>24</v>
      </c>
      <c r="G97" s="21">
        <v>2</v>
      </c>
      <c r="H97" s="21">
        <f>VLOOKUP(C97,'单价表-木门'!$C:$F,4,FALSE)</f>
        <v>86</v>
      </c>
      <c r="I97" s="48">
        <f t="shared" ref="I97:I100" si="8">G97*H97</f>
        <v>172</v>
      </c>
      <c r="J97" s="53"/>
    </row>
    <row r="98" customHeight="1" outlineLevel="1" spans="1:10">
      <c r="A98" s="17">
        <v>2.2</v>
      </c>
      <c r="B98" s="18" t="s">
        <v>25</v>
      </c>
      <c r="C98" s="19" t="s">
        <v>26</v>
      </c>
      <c r="D98" s="20"/>
      <c r="E98" s="21"/>
      <c r="F98" s="21" t="s">
        <v>24</v>
      </c>
      <c r="G98" s="21">
        <v>8</v>
      </c>
      <c r="H98" s="21">
        <f>VLOOKUP(C98,'单价表-木门'!$C:$F,4,FALSE)</f>
        <v>14</v>
      </c>
      <c r="I98" s="48">
        <f t="shared" si="8"/>
        <v>112</v>
      </c>
      <c r="J98" s="53"/>
    </row>
    <row r="99" customHeight="1" outlineLevel="1" spans="1:10">
      <c r="A99" s="17">
        <v>2.3</v>
      </c>
      <c r="B99" s="18" t="s">
        <v>28</v>
      </c>
      <c r="C99" s="19" t="s">
        <v>29</v>
      </c>
      <c r="D99" s="20"/>
      <c r="E99" s="21"/>
      <c r="F99" s="21" t="s">
        <v>24</v>
      </c>
      <c r="G99" s="21">
        <v>2</v>
      </c>
      <c r="H99" s="21">
        <f>VLOOKUP(C99,'单价表-木门'!$C:$F,4,FALSE)</f>
        <v>12</v>
      </c>
      <c r="I99" s="48">
        <f t="shared" si="8"/>
        <v>24</v>
      </c>
      <c r="J99" s="53"/>
    </row>
    <row r="100" customHeight="1" outlineLevel="1" spans="1:10">
      <c r="A100" s="17">
        <v>2.4</v>
      </c>
      <c r="B100" s="18" t="s">
        <v>30</v>
      </c>
      <c r="C100" s="19" t="s">
        <v>31</v>
      </c>
      <c r="D100" s="20"/>
      <c r="E100" s="21"/>
      <c r="F100" s="21" t="s">
        <v>24</v>
      </c>
      <c r="G100" s="21">
        <v>1</v>
      </c>
      <c r="H100" s="21">
        <f>VLOOKUP(C100,'单价表-木门'!$C:$F,4,FALSE)</f>
        <v>12.4</v>
      </c>
      <c r="I100" s="48">
        <f t="shared" si="8"/>
        <v>12.4</v>
      </c>
      <c r="J100" s="53"/>
    </row>
    <row r="101" customHeight="1" outlineLevel="1" spans="1:10">
      <c r="A101" s="15"/>
      <c r="B101" s="16" t="s">
        <v>84</v>
      </c>
      <c r="C101" s="16"/>
      <c r="D101" s="16"/>
      <c r="E101" s="16"/>
      <c r="F101" s="16"/>
      <c r="G101" s="16"/>
      <c r="H101" s="16"/>
      <c r="I101" s="46">
        <f>SUM(I97:I100)</f>
        <v>320.4</v>
      </c>
      <c r="J101" s="53"/>
    </row>
    <row r="102" customHeight="1" outlineLevel="1" spans="1:10">
      <c r="A102" s="25">
        <v>3</v>
      </c>
      <c r="B102" s="16" t="s">
        <v>85</v>
      </c>
      <c r="C102" s="16"/>
      <c r="D102" s="16"/>
      <c r="E102" s="16"/>
      <c r="F102" s="16"/>
      <c r="G102" s="16"/>
      <c r="H102" s="16"/>
      <c r="I102" s="46"/>
      <c r="J102" s="54"/>
    </row>
    <row r="103" customHeight="1" outlineLevel="1" spans="1:10">
      <c r="A103" s="21">
        <v>3.1</v>
      </c>
      <c r="B103" s="18" t="s">
        <v>33</v>
      </c>
      <c r="C103" s="21" t="s">
        <v>34</v>
      </c>
      <c r="D103" s="21"/>
      <c r="E103" s="18"/>
      <c r="F103" s="21" t="s">
        <v>11</v>
      </c>
      <c r="G103" s="21">
        <v>1</v>
      </c>
      <c r="H103" s="21">
        <f>VLOOKUP(C103,'单价表-木门'!$C:$F,4,FALSE)</f>
        <v>9.7</v>
      </c>
      <c r="I103" s="48">
        <f t="shared" ref="I103:I105" si="9">G103*H103</f>
        <v>9.7</v>
      </c>
      <c r="J103" s="53"/>
    </row>
    <row r="104" customHeight="1" outlineLevel="1" spans="1:10">
      <c r="A104" s="21">
        <v>3.2</v>
      </c>
      <c r="B104" s="18" t="s">
        <v>35</v>
      </c>
      <c r="C104" s="21" t="s">
        <v>36</v>
      </c>
      <c r="D104" s="21"/>
      <c r="E104" s="21"/>
      <c r="F104" s="21" t="s">
        <v>15</v>
      </c>
      <c r="G104" s="21">
        <f>G92</f>
        <v>6.48</v>
      </c>
      <c r="H104" s="21">
        <f>VLOOKUP(C104,'单价表-木门'!$C:$F,4,FALSE)</f>
        <v>4.8</v>
      </c>
      <c r="I104" s="48">
        <f t="shared" si="9"/>
        <v>31.104</v>
      </c>
      <c r="J104" s="53"/>
    </row>
    <row r="105" customHeight="1" outlineLevel="1" spans="1:10">
      <c r="A105" s="21">
        <v>3.3</v>
      </c>
      <c r="B105" s="18" t="s">
        <v>30</v>
      </c>
      <c r="C105" s="19" t="s">
        <v>38</v>
      </c>
      <c r="D105" s="20"/>
      <c r="E105" s="21"/>
      <c r="F105" s="21" t="s">
        <v>24</v>
      </c>
      <c r="G105" s="21">
        <v>1</v>
      </c>
      <c r="H105" s="21">
        <f>VLOOKUP(C105,'单价表-木门'!$C:$F,4,FALSE)</f>
        <v>14.5</v>
      </c>
      <c r="I105" s="48">
        <f t="shared" si="9"/>
        <v>14.5</v>
      </c>
      <c r="J105" s="53"/>
    </row>
    <row r="106" customHeight="1" outlineLevel="1" spans="1:10">
      <c r="A106" s="15"/>
      <c r="B106" s="16" t="s">
        <v>86</v>
      </c>
      <c r="C106" s="16"/>
      <c r="D106" s="16"/>
      <c r="E106" s="16"/>
      <c r="F106" s="16"/>
      <c r="G106" s="16"/>
      <c r="H106" s="16"/>
      <c r="I106" s="46">
        <f>SUM(I103:I105)</f>
        <v>55.304</v>
      </c>
      <c r="J106" s="53"/>
    </row>
    <row r="107" customHeight="1" outlineLevel="1" spans="1:10">
      <c r="A107" s="15">
        <v>4</v>
      </c>
      <c r="B107" s="18" t="s">
        <v>87</v>
      </c>
      <c r="C107" s="18"/>
      <c r="D107" s="18"/>
      <c r="E107" s="18"/>
      <c r="F107" s="18"/>
      <c r="G107" s="18"/>
      <c r="H107" s="18"/>
      <c r="I107" s="21">
        <f>'单价表-木门'!F14+350</f>
        <v>577</v>
      </c>
      <c r="J107" s="53"/>
    </row>
    <row r="108" customHeight="1" outlineLevel="1" spans="1:10">
      <c r="A108" s="15">
        <v>5</v>
      </c>
      <c r="B108" s="18" t="s">
        <v>42</v>
      </c>
      <c r="C108" s="18"/>
      <c r="D108" s="18"/>
      <c r="E108" s="18"/>
      <c r="F108" s="18"/>
      <c r="G108" s="18"/>
      <c r="H108" s="18"/>
      <c r="I108" s="21">
        <f>VLOOKUP(B108,'单价表-木门'!$B:$F,5,FALSE)*2</f>
        <v>29</v>
      </c>
      <c r="J108" s="53"/>
    </row>
    <row r="109" customHeight="1" outlineLevel="1" spans="1:10">
      <c r="A109" s="15">
        <v>6</v>
      </c>
      <c r="B109" s="23" t="s">
        <v>88</v>
      </c>
      <c r="C109" s="26"/>
      <c r="D109" s="26"/>
      <c r="E109" s="26"/>
      <c r="F109" s="26"/>
      <c r="G109" s="24"/>
      <c r="H109" s="27"/>
      <c r="I109" s="46" t="e">
        <f>I95+I101+I106+I107+I108</f>
        <v>#N/A</v>
      </c>
      <c r="J109" s="54"/>
    </row>
    <row r="110" customHeight="1" outlineLevel="1" spans="1:10">
      <c r="A110" s="15">
        <v>7</v>
      </c>
      <c r="B110" s="23" t="s">
        <v>61</v>
      </c>
      <c r="C110" s="26"/>
      <c r="D110" s="26"/>
      <c r="E110" s="26"/>
      <c r="F110" s="26"/>
      <c r="G110" s="24"/>
      <c r="H110" s="28">
        <v>0.03</v>
      </c>
      <c r="I110" s="48" t="e">
        <f>I109*H110</f>
        <v>#N/A</v>
      </c>
      <c r="J110" s="53"/>
    </row>
    <row r="111" customHeight="1" outlineLevel="1" spans="1:10">
      <c r="A111" s="15">
        <v>8</v>
      </c>
      <c r="B111" s="23" t="s">
        <v>63</v>
      </c>
      <c r="C111" s="26"/>
      <c r="D111" s="26"/>
      <c r="E111" s="26"/>
      <c r="F111" s="26"/>
      <c r="G111" s="24"/>
      <c r="H111" s="28">
        <v>0.13</v>
      </c>
      <c r="I111" s="48" t="e">
        <f>+(I109+I110)*H111</f>
        <v>#N/A</v>
      </c>
      <c r="J111" s="53"/>
    </row>
    <row r="112" customHeight="1" spans="1:10">
      <c r="A112" s="15">
        <v>9</v>
      </c>
      <c r="B112" s="29" t="s">
        <v>76</v>
      </c>
      <c r="C112" s="30"/>
      <c r="D112" s="30"/>
      <c r="E112" s="30"/>
      <c r="F112" s="30"/>
      <c r="G112" s="31"/>
      <c r="H112" s="32"/>
      <c r="I112" s="55" t="e">
        <f>+I111+I110+I109</f>
        <v>#N/A</v>
      </c>
      <c r="J112" s="16"/>
    </row>
    <row r="113" customHeight="1" spans="1:10">
      <c r="A113" s="15">
        <v>10</v>
      </c>
      <c r="B113" s="33" t="s">
        <v>89</v>
      </c>
      <c r="C113" s="34"/>
      <c r="D113" s="34"/>
      <c r="E113" s="34"/>
      <c r="F113" s="34"/>
      <c r="G113" s="35"/>
      <c r="H113" s="36"/>
      <c r="I113" s="55" t="e">
        <f>+I112/I87</f>
        <v>#N/A</v>
      </c>
      <c r="J113" s="57"/>
    </row>
    <row r="114" customHeight="1" spans="1:10">
      <c r="A114" s="7" t="s">
        <v>99</v>
      </c>
      <c r="B114" s="7"/>
      <c r="C114" s="7"/>
      <c r="D114" s="7"/>
      <c r="E114" s="7"/>
      <c r="F114" s="7"/>
      <c r="G114" s="7"/>
      <c r="H114" s="7"/>
      <c r="I114" s="38"/>
      <c r="J114" s="7"/>
    </row>
    <row r="115" customHeight="1" spans="1:12">
      <c r="A115" s="8" t="s">
        <v>66</v>
      </c>
      <c r="B115" s="8"/>
      <c r="C115" s="9" t="s">
        <v>100</v>
      </c>
      <c r="D115" s="10"/>
      <c r="E115" s="8" t="s">
        <v>68</v>
      </c>
      <c r="F115" s="8" t="s">
        <v>101</v>
      </c>
      <c r="G115" s="8"/>
      <c r="H115" s="8" t="s">
        <v>70</v>
      </c>
      <c r="I115" s="39">
        <f>0.85*2.68</f>
        <v>2.278</v>
      </c>
      <c r="J115" s="8"/>
      <c r="K115" s="40" t="str">
        <f>_xlfn.DISPIMG("ID_54C2313BE64D4C78B9540179E215914B",1)</f>
        <v>=DISPIMG("ID_54C2313BE64D4C78B9540179E215914B",1)</v>
      </c>
      <c r="L115" s="41"/>
    </row>
    <row r="116" customHeight="1" outlineLevel="1" spans="1:12">
      <c r="A116" s="11" t="s">
        <v>0</v>
      </c>
      <c r="B116" s="12" t="s">
        <v>71</v>
      </c>
      <c r="C116" s="13" t="s">
        <v>72</v>
      </c>
      <c r="D116" s="14"/>
      <c r="E116" s="12" t="s">
        <v>73</v>
      </c>
      <c r="F116" s="12" t="s">
        <v>74</v>
      </c>
      <c r="G116" s="12" t="s">
        <v>75</v>
      </c>
      <c r="H116" s="12" t="s">
        <v>4</v>
      </c>
      <c r="I116" s="42" t="s">
        <v>76</v>
      </c>
      <c r="J116" s="43" t="s">
        <v>3</v>
      </c>
      <c r="K116" s="44"/>
      <c r="L116" s="45"/>
    </row>
    <row r="117" customHeight="1" outlineLevel="1" spans="1:12">
      <c r="A117" s="15">
        <v>1</v>
      </c>
      <c r="B117" s="16" t="s">
        <v>77</v>
      </c>
      <c r="C117" s="16"/>
      <c r="D117" s="16"/>
      <c r="E117" s="16"/>
      <c r="F117" s="16"/>
      <c r="G117" s="16"/>
      <c r="H117" s="16"/>
      <c r="I117" s="46"/>
      <c r="J117" s="47"/>
      <c r="K117" s="44"/>
      <c r="L117" s="45"/>
    </row>
    <row r="118" customHeight="1" outlineLevel="1" spans="1:12">
      <c r="A118" s="17">
        <v>1.1</v>
      </c>
      <c r="B118" s="18" t="s">
        <v>5</v>
      </c>
      <c r="C118" s="19" t="s">
        <v>6</v>
      </c>
      <c r="D118" s="20"/>
      <c r="E118" s="21"/>
      <c r="F118" s="21" t="s">
        <v>7</v>
      </c>
      <c r="G118" s="21">
        <v>1.37</v>
      </c>
      <c r="H118" s="21">
        <f>VLOOKUP(C118,'单价表-木门'!$C:$F,4,FALSE)</f>
        <v>114</v>
      </c>
      <c r="I118" s="48">
        <f t="shared" ref="I118:I122" si="10">G118*H118</f>
        <v>156.18</v>
      </c>
      <c r="J118" s="49"/>
      <c r="K118" s="44"/>
      <c r="L118" s="45"/>
    </row>
    <row r="119" ht="77" customHeight="1" outlineLevel="1" spans="1:12">
      <c r="A119" s="17">
        <v>2.1</v>
      </c>
      <c r="B119" s="22" t="s">
        <v>9</v>
      </c>
      <c r="C119" s="23" t="s">
        <v>78</v>
      </c>
      <c r="D119" s="24"/>
      <c r="E119" s="21"/>
      <c r="F119" s="21" t="s">
        <v>11</v>
      </c>
      <c r="G119" s="21">
        <v>2.28</v>
      </c>
      <c r="H119" s="21" t="e">
        <f>VLOOKUP(C119,'单价表-木门'!$C:$F,4,FALSE)</f>
        <v>#N/A</v>
      </c>
      <c r="I119" s="48" t="e">
        <f t="shared" si="10"/>
        <v>#N/A</v>
      </c>
      <c r="J119" s="50" t="s">
        <v>79</v>
      </c>
      <c r="K119" s="51"/>
      <c r="L119" s="52"/>
    </row>
    <row r="120" customHeight="1" outlineLevel="1" spans="1:10">
      <c r="A120" s="17">
        <v>3.1</v>
      </c>
      <c r="B120" s="18" t="s">
        <v>13</v>
      </c>
      <c r="C120" s="19" t="s">
        <v>14</v>
      </c>
      <c r="D120" s="20"/>
      <c r="E120" s="21"/>
      <c r="F120" s="21" t="s">
        <v>15</v>
      </c>
      <c r="G120" s="21">
        <v>6.21</v>
      </c>
      <c r="H120" s="21">
        <f>VLOOKUP(C120,'单价表-木门'!$C:$F,4,FALSE)</f>
        <v>4.85</v>
      </c>
      <c r="I120" s="48">
        <f t="shared" si="10"/>
        <v>30.1185</v>
      </c>
      <c r="J120" s="18"/>
    </row>
    <row r="121" customHeight="1" outlineLevel="1" spans="1:10">
      <c r="A121" s="17">
        <v>4.1</v>
      </c>
      <c r="B121" s="18" t="s">
        <v>17</v>
      </c>
      <c r="C121" s="19" t="s">
        <v>18</v>
      </c>
      <c r="D121" s="20"/>
      <c r="E121" s="21"/>
      <c r="F121" s="21" t="s">
        <v>15</v>
      </c>
      <c r="G121" s="21">
        <v>12.42</v>
      </c>
      <c r="H121" s="21">
        <f>VLOOKUP(C121,'单价表-木门'!$C:$F,4,FALSE)</f>
        <v>7.25</v>
      </c>
      <c r="I121" s="48">
        <f t="shared" si="10"/>
        <v>90.045</v>
      </c>
      <c r="J121" s="53"/>
    </row>
    <row r="122" customHeight="1" outlineLevel="1" spans="1:10">
      <c r="A122" s="17">
        <v>5.1</v>
      </c>
      <c r="B122" s="18" t="s">
        <v>80</v>
      </c>
      <c r="C122" s="19" t="s">
        <v>81</v>
      </c>
      <c r="D122" s="20"/>
      <c r="E122" s="21"/>
      <c r="F122" s="21" t="s">
        <v>7</v>
      </c>
      <c r="G122" s="21">
        <f>4.87+G118*2</f>
        <v>7.61</v>
      </c>
      <c r="H122" s="21" t="e">
        <f>VLOOKUP(C122,'单价表-木门'!$C:$F,4,FALSE)</f>
        <v>#N/A</v>
      </c>
      <c r="I122" s="48" t="e">
        <f t="shared" si="10"/>
        <v>#N/A</v>
      </c>
      <c r="J122" s="53"/>
    </row>
    <row r="123" customHeight="1" outlineLevel="1" spans="1:10">
      <c r="A123" s="15"/>
      <c r="B123" s="16" t="s">
        <v>82</v>
      </c>
      <c r="C123" s="16"/>
      <c r="D123" s="16"/>
      <c r="E123" s="16"/>
      <c r="F123" s="16"/>
      <c r="G123" s="16"/>
      <c r="H123" s="16"/>
      <c r="I123" s="46" t="e">
        <f>SUM(I118:I122)</f>
        <v>#N/A</v>
      </c>
      <c r="J123" s="53"/>
    </row>
    <row r="124" customHeight="1" outlineLevel="1" spans="1:10">
      <c r="A124" s="15">
        <v>2</v>
      </c>
      <c r="B124" s="16" t="s">
        <v>83</v>
      </c>
      <c r="C124" s="16"/>
      <c r="D124" s="16"/>
      <c r="E124" s="16"/>
      <c r="F124" s="16"/>
      <c r="G124" s="16"/>
      <c r="H124" s="16"/>
      <c r="I124" s="46"/>
      <c r="J124" s="54"/>
    </row>
    <row r="125" customHeight="1" outlineLevel="1" spans="1:10">
      <c r="A125" s="17">
        <v>2.1</v>
      </c>
      <c r="B125" s="18" t="s">
        <v>22</v>
      </c>
      <c r="C125" s="19" t="s">
        <v>23</v>
      </c>
      <c r="D125" s="20"/>
      <c r="E125" s="21"/>
      <c r="F125" s="21" t="s">
        <v>24</v>
      </c>
      <c r="G125" s="21">
        <v>1</v>
      </c>
      <c r="H125" s="21">
        <f>VLOOKUP(C125,'单价表-木门'!$C:$F,4,FALSE)</f>
        <v>86</v>
      </c>
      <c r="I125" s="48">
        <f t="shared" ref="I125:I128" si="11">G125*H125</f>
        <v>86</v>
      </c>
      <c r="J125" s="53"/>
    </row>
    <row r="126" customHeight="1" outlineLevel="1" spans="1:10">
      <c r="A126" s="17">
        <v>2.2</v>
      </c>
      <c r="B126" s="18" t="s">
        <v>25</v>
      </c>
      <c r="C126" s="19" t="s">
        <v>26</v>
      </c>
      <c r="D126" s="20"/>
      <c r="E126" s="21"/>
      <c r="F126" s="21" t="s">
        <v>24</v>
      </c>
      <c r="G126" s="21">
        <v>4</v>
      </c>
      <c r="H126" s="21">
        <f>VLOOKUP(C126,'单价表-木门'!$C:$F,4,FALSE)</f>
        <v>14</v>
      </c>
      <c r="I126" s="48">
        <f t="shared" si="11"/>
        <v>56</v>
      </c>
      <c r="J126" s="53"/>
    </row>
    <row r="127" customHeight="1" outlineLevel="1" spans="1:10">
      <c r="A127" s="17">
        <v>2.3</v>
      </c>
      <c r="B127" s="18" t="s">
        <v>28</v>
      </c>
      <c r="C127" s="19" t="s">
        <v>29</v>
      </c>
      <c r="D127" s="20"/>
      <c r="E127" s="21"/>
      <c r="F127" s="21" t="s">
        <v>24</v>
      </c>
      <c r="G127" s="21">
        <v>1</v>
      </c>
      <c r="H127" s="21">
        <f>VLOOKUP(C127,'单价表-木门'!$C:$F,4,FALSE)</f>
        <v>12</v>
      </c>
      <c r="I127" s="48">
        <f t="shared" si="11"/>
        <v>12</v>
      </c>
      <c r="J127" s="53"/>
    </row>
    <row r="128" customHeight="1" outlineLevel="1" spans="1:10">
      <c r="A128" s="17">
        <v>2.4</v>
      </c>
      <c r="B128" s="18" t="s">
        <v>30</v>
      </c>
      <c r="C128" s="19" t="s">
        <v>31</v>
      </c>
      <c r="D128" s="20"/>
      <c r="E128" s="21"/>
      <c r="F128" s="21" t="s">
        <v>24</v>
      </c>
      <c r="G128" s="21">
        <v>1</v>
      </c>
      <c r="H128" s="21">
        <f>VLOOKUP(C128,'单价表-木门'!$C:$F,4,FALSE)</f>
        <v>12.4</v>
      </c>
      <c r="I128" s="48">
        <f t="shared" si="11"/>
        <v>12.4</v>
      </c>
      <c r="J128" s="53"/>
    </row>
    <row r="129" customHeight="1" outlineLevel="1" spans="1:10">
      <c r="A129" s="15"/>
      <c r="B129" s="16" t="s">
        <v>84</v>
      </c>
      <c r="C129" s="16"/>
      <c r="D129" s="16"/>
      <c r="E129" s="16"/>
      <c r="F129" s="16"/>
      <c r="G129" s="16"/>
      <c r="H129" s="16"/>
      <c r="I129" s="46">
        <f>SUM(I125:I128)</f>
        <v>166.4</v>
      </c>
      <c r="J129" s="53"/>
    </row>
    <row r="130" customHeight="1" outlineLevel="1" spans="1:10">
      <c r="A130" s="25">
        <v>3</v>
      </c>
      <c r="B130" s="16" t="s">
        <v>85</v>
      </c>
      <c r="C130" s="16"/>
      <c r="D130" s="16"/>
      <c r="E130" s="16"/>
      <c r="F130" s="16"/>
      <c r="G130" s="16"/>
      <c r="H130" s="16"/>
      <c r="I130" s="46"/>
      <c r="J130" s="54"/>
    </row>
    <row r="131" customHeight="1" outlineLevel="1" spans="1:10">
      <c r="A131" s="21">
        <v>3.1</v>
      </c>
      <c r="B131" s="18" t="s">
        <v>33</v>
      </c>
      <c r="C131" s="21" t="s">
        <v>34</v>
      </c>
      <c r="D131" s="21"/>
      <c r="E131" s="18"/>
      <c r="F131" s="21" t="s">
        <v>11</v>
      </c>
      <c r="G131" s="21">
        <v>1</v>
      </c>
      <c r="H131" s="21">
        <f>VLOOKUP(C131,'单价表-木门'!$C:$F,4,FALSE)</f>
        <v>9.7</v>
      </c>
      <c r="I131" s="48">
        <f t="shared" ref="I131:I133" si="12">G131*H131</f>
        <v>9.7</v>
      </c>
      <c r="J131" s="53"/>
    </row>
    <row r="132" customHeight="1" outlineLevel="1" spans="1:10">
      <c r="A132" s="21">
        <v>3.2</v>
      </c>
      <c r="B132" s="18" t="s">
        <v>35</v>
      </c>
      <c r="C132" s="21" t="s">
        <v>36</v>
      </c>
      <c r="D132" s="21"/>
      <c r="E132" s="21"/>
      <c r="F132" s="21" t="s">
        <v>15</v>
      </c>
      <c r="G132" s="21">
        <f>G120</f>
        <v>6.21</v>
      </c>
      <c r="H132" s="21">
        <f>VLOOKUP(C132,'单价表-木门'!$C:$F,4,FALSE)</f>
        <v>4.8</v>
      </c>
      <c r="I132" s="48">
        <f t="shared" si="12"/>
        <v>29.808</v>
      </c>
      <c r="J132" s="53"/>
    </row>
    <row r="133" customHeight="1" outlineLevel="1" spans="1:10">
      <c r="A133" s="21">
        <v>3.3</v>
      </c>
      <c r="B133" s="18" t="s">
        <v>30</v>
      </c>
      <c r="C133" s="19" t="s">
        <v>38</v>
      </c>
      <c r="D133" s="20"/>
      <c r="E133" s="21"/>
      <c r="F133" s="21" t="s">
        <v>24</v>
      </c>
      <c r="G133" s="21">
        <v>1</v>
      </c>
      <c r="H133" s="21">
        <f>VLOOKUP(C133,'单价表-木门'!$C:$F,4,FALSE)</f>
        <v>14.5</v>
      </c>
      <c r="I133" s="48">
        <f t="shared" si="12"/>
        <v>14.5</v>
      </c>
      <c r="J133" s="53"/>
    </row>
    <row r="134" customHeight="1" outlineLevel="1" spans="1:10">
      <c r="A134" s="15"/>
      <c r="B134" s="16" t="s">
        <v>86</v>
      </c>
      <c r="C134" s="16"/>
      <c r="D134" s="16"/>
      <c r="E134" s="16"/>
      <c r="F134" s="16"/>
      <c r="G134" s="16"/>
      <c r="H134" s="16"/>
      <c r="I134" s="46">
        <f>SUM(I131:I133)</f>
        <v>54.008</v>
      </c>
      <c r="J134" s="53"/>
    </row>
    <row r="135" customHeight="1" outlineLevel="1" spans="1:10">
      <c r="A135" s="15">
        <v>4</v>
      </c>
      <c r="B135" s="18" t="s">
        <v>87</v>
      </c>
      <c r="C135" s="18"/>
      <c r="D135" s="18"/>
      <c r="E135" s="18"/>
      <c r="F135" s="18"/>
      <c r="G135" s="18"/>
      <c r="H135" s="18"/>
      <c r="I135" s="21">
        <f>'单价表-木门'!F14</f>
        <v>227</v>
      </c>
      <c r="J135" s="53"/>
    </row>
    <row r="136" customHeight="1" outlineLevel="1" spans="1:10">
      <c r="A136" s="15">
        <v>5</v>
      </c>
      <c r="B136" s="18" t="s">
        <v>42</v>
      </c>
      <c r="C136" s="18"/>
      <c r="D136" s="18"/>
      <c r="E136" s="18"/>
      <c r="F136" s="18"/>
      <c r="G136" s="18"/>
      <c r="H136" s="18"/>
      <c r="I136" s="21">
        <f>VLOOKUP(B136,'单价表-木门'!$B:$F,5,FALSE)</f>
        <v>14.5</v>
      </c>
      <c r="J136" s="53"/>
    </row>
    <row r="137" customHeight="1" outlineLevel="1" spans="1:10">
      <c r="A137" s="15">
        <v>6</v>
      </c>
      <c r="B137" s="23" t="s">
        <v>88</v>
      </c>
      <c r="C137" s="26"/>
      <c r="D137" s="26"/>
      <c r="E137" s="26"/>
      <c r="F137" s="26"/>
      <c r="G137" s="24"/>
      <c r="H137" s="27"/>
      <c r="I137" s="46" t="e">
        <f>I123+I129+I134+I135+I136</f>
        <v>#N/A</v>
      </c>
      <c r="J137" s="54"/>
    </row>
    <row r="138" customHeight="1" outlineLevel="1" spans="1:10">
      <c r="A138" s="15">
        <v>7</v>
      </c>
      <c r="B138" s="23" t="s">
        <v>61</v>
      </c>
      <c r="C138" s="26"/>
      <c r="D138" s="26"/>
      <c r="E138" s="26"/>
      <c r="F138" s="26"/>
      <c r="G138" s="24"/>
      <c r="H138" s="28">
        <v>0.03</v>
      </c>
      <c r="I138" s="48" t="e">
        <f>I137*H138</f>
        <v>#N/A</v>
      </c>
      <c r="J138" s="53"/>
    </row>
    <row r="139" customHeight="1" outlineLevel="1" spans="1:10">
      <c r="A139" s="15">
        <v>8</v>
      </c>
      <c r="B139" s="23" t="s">
        <v>63</v>
      </c>
      <c r="C139" s="26"/>
      <c r="D139" s="26"/>
      <c r="E139" s="26"/>
      <c r="F139" s="26"/>
      <c r="G139" s="24"/>
      <c r="H139" s="28">
        <v>0.13</v>
      </c>
      <c r="I139" s="48" t="e">
        <f>+(I137+I138)*H139</f>
        <v>#N/A</v>
      </c>
      <c r="J139" s="53"/>
    </row>
    <row r="140" customHeight="1" spans="1:10">
      <c r="A140" s="15">
        <v>9</v>
      </c>
      <c r="B140" s="29" t="s">
        <v>76</v>
      </c>
      <c r="C140" s="30"/>
      <c r="D140" s="30"/>
      <c r="E140" s="30"/>
      <c r="F140" s="30"/>
      <c r="G140" s="31"/>
      <c r="H140" s="32"/>
      <c r="I140" s="55" t="e">
        <f>+I139+I138+I137</f>
        <v>#N/A</v>
      </c>
      <c r="J140" s="16"/>
    </row>
    <row r="141" customHeight="1" spans="1:10">
      <c r="A141" s="15">
        <v>10</v>
      </c>
      <c r="B141" s="33" t="s">
        <v>89</v>
      </c>
      <c r="C141" s="34"/>
      <c r="D141" s="34"/>
      <c r="E141" s="34"/>
      <c r="F141" s="34"/>
      <c r="G141" s="35"/>
      <c r="H141" s="36"/>
      <c r="I141" s="55" t="e">
        <f>+I140/I115</f>
        <v>#N/A</v>
      </c>
      <c r="J141" s="57"/>
    </row>
    <row r="142" customHeight="1" spans="1:10">
      <c r="A142" s="7" t="s">
        <v>102</v>
      </c>
      <c r="B142" s="7"/>
      <c r="C142" s="7"/>
      <c r="D142" s="7"/>
      <c r="E142" s="7"/>
      <c r="F142" s="7"/>
      <c r="G142" s="7"/>
      <c r="H142" s="7"/>
      <c r="I142" s="38"/>
      <c r="J142" s="7"/>
    </row>
    <row r="143" customHeight="1" spans="1:12">
      <c r="A143" s="8" t="s">
        <v>66</v>
      </c>
      <c r="B143" s="8"/>
      <c r="C143" s="9"/>
      <c r="D143" s="10"/>
      <c r="E143" s="8" t="s">
        <v>68</v>
      </c>
      <c r="F143" s="8" t="s">
        <v>103</v>
      </c>
      <c r="G143" s="8"/>
      <c r="H143" s="8" t="s">
        <v>70</v>
      </c>
      <c r="I143" s="108">
        <f>1*2.68</f>
        <v>2.68</v>
      </c>
      <c r="J143" s="109"/>
      <c r="K143" s="40" t="str">
        <f>_xlfn.DISPIMG("ID_614D6CDE4F8A47629D0B7D34A272F8D8",1)</f>
        <v>=DISPIMG("ID_614D6CDE4F8A47629D0B7D34A272F8D8",1)</v>
      </c>
      <c r="L143" s="41"/>
    </row>
    <row r="144" customHeight="1" outlineLevel="1" spans="1:12">
      <c r="A144" s="11" t="s">
        <v>0</v>
      </c>
      <c r="B144" s="12" t="s">
        <v>71</v>
      </c>
      <c r="C144" s="13" t="s">
        <v>72</v>
      </c>
      <c r="D144" s="14"/>
      <c r="E144" s="12" t="s">
        <v>73</v>
      </c>
      <c r="F144" s="12" t="s">
        <v>74</v>
      </c>
      <c r="G144" s="12" t="s">
        <v>75</v>
      </c>
      <c r="H144" s="12" t="s">
        <v>4</v>
      </c>
      <c r="I144" s="42" t="s">
        <v>76</v>
      </c>
      <c r="J144" s="43" t="s">
        <v>3</v>
      </c>
      <c r="K144" s="44"/>
      <c r="L144" s="45"/>
    </row>
    <row r="145" customHeight="1" outlineLevel="1" spans="1:12">
      <c r="A145" s="15">
        <v>1</v>
      </c>
      <c r="B145" s="16" t="s">
        <v>77</v>
      </c>
      <c r="C145" s="16"/>
      <c r="D145" s="16"/>
      <c r="E145" s="16"/>
      <c r="F145" s="16"/>
      <c r="G145" s="16"/>
      <c r="H145" s="16"/>
      <c r="I145" s="46"/>
      <c r="J145" s="47"/>
      <c r="K145" s="44"/>
      <c r="L145" s="45"/>
    </row>
    <row r="146" customHeight="1" outlineLevel="1" spans="1:12">
      <c r="A146" s="17">
        <v>1.1</v>
      </c>
      <c r="B146" s="18" t="s">
        <v>43</v>
      </c>
      <c r="C146" s="19" t="s">
        <v>44</v>
      </c>
      <c r="D146" s="20"/>
      <c r="E146" s="21"/>
      <c r="F146" s="21" t="s">
        <v>7</v>
      </c>
      <c r="G146" s="21">
        <v>2.65</v>
      </c>
      <c r="H146" s="21">
        <f>VLOOKUP(C146,'单价表-木门'!$C:$F,4,FALSE)</f>
        <v>232</v>
      </c>
      <c r="I146" s="48">
        <f>G146*H146</f>
        <v>614.8</v>
      </c>
      <c r="J146" s="49"/>
      <c r="K146" s="44"/>
      <c r="L146" s="45"/>
    </row>
    <row r="147" customHeight="1" outlineLevel="1" spans="1:12">
      <c r="A147" s="17">
        <v>2.1</v>
      </c>
      <c r="B147" s="22" t="s">
        <v>46</v>
      </c>
      <c r="C147" s="58" t="s">
        <v>47</v>
      </c>
      <c r="D147" s="59"/>
      <c r="E147" s="21"/>
      <c r="F147" s="21" t="s">
        <v>11</v>
      </c>
      <c r="G147" s="21">
        <f>G146</f>
        <v>2.65</v>
      </c>
      <c r="H147" s="21">
        <f>VLOOKUP(C147,'单价表-木门'!$C:$F,4,FALSE)</f>
        <v>290</v>
      </c>
      <c r="I147" s="48">
        <f>G147*H147</f>
        <v>768.5</v>
      </c>
      <c r="J147" s="50" t="s">
        <v>79</v>
      </c>
      <c r="K147" s="51"/>
      <c r="L147" s="52"/>
    </row>
    <row r="148" customHeight="1" outlineLevel="1" spans="1:12">
      <c r="A148" s="17">
        <v>3.1</v>
      </c>
      <c r="B148" s="18" t="s">
        <v>48</v>
      </c>
      <c r="C148" s="19" t="s">
        <v>49</v>
      </c>
      <c r="D148" s="20"/>
      <c r="E148" s="21"/>
      <c r="F148" s="21" t="s">
        <v>15</v>
      </c>
      <c r="G148" s="21">
        <v>2</v>
      </c>
      <c r="H148" s="21">
        <f>VLOOKUP(C148,'单价表-木门'!$C:$F,4,FALSE)</f>
        <v>33</v>
      </c>
      <c r="I148" s="48">
        <f>G148*H148</f>
        <v>66</v>
      </c>
      <c r="J148" s="18"/>
      <c r="K148" s="1">
        <f>200*2680/1000000+200*990/1000000</f>
        <v>0.734</v>
      </c>
      <c r="L148" s="1">
        <f>466*1.05/0.8/1.13</f>
        <v>541.261061946903</v>
      </c>
    </row>
    <row r="149" customHeight="1" outlineLevel="1" spans="1:10">
      <c r="A149" s="15"/>
      <c r="B149" s="16" t="s">
        <v>82</v>
      </c>
      <c r="C149" s="16"/>
      <c r="D149" s="16"/>
      <c r="E149" s="16"/>
      <c r="F149" s="16"/>
      <c r="G149" s="16"/>
      <c r="H149" s="16"/>
      <c r="I149" s="46">
        <f>SUM(I146:I148)</f>
        <v>1449.3</v>
      </c>
      <c r="J149" s="53"/>
    </row>
    <row r="150" customHeight="1" outlineLevel="1" spans="1:10">
      <c r="A150" s="15">
        <v>2</v>
      </c>
      <c r="B150" s="16" t="s">
        <v>83</v>
      </c>
      <c r="C150" s="16"/>
      <c r="D150" s="16"/>
      <c r="E150" s="16"/>
      <c r="F150" s="16"/>
      <c r="G150" s="16"/>
      <c r="H150" s="16"/>
      <c r="I150" s="46"/>
      <c r="J150" s="54"/>
    </row>
    <row r="151" customHeight="1" outlineLevel="1" spans="1:10">
      <c r="A151" s="17">
        <v>2.1</v>
      </c>
      <c r="B151" s="18" t="s">
        <v>104</v>
      </c>
      <c r="C151" s="19" t="s">
        <v>51</v>
      </c>
      <c r="D151" s="20"/>
      <c r="E151" s="21"/>
      <c r="F151" s="21" t="s">
        <v>24</v>
      </c>
      <c r="G151" s="21">
        <v>1</v>
      </c>
      <c r="H151" s="21">
        <f>VLOOKUP(C151,'单价表-木门'!$C:$F,4,FALSE)</f>
        <v>82</v>
      </c>
      <c r="I151" s="48">
        <f>G151*H151</f>
        <v>82</v>
      </c>
      <c r="J151" s="53"/>
    </row>
    <row r="152" customHeight="1" outlineLevel="1" spans="1:10">
      <c r="A152" s="15"/>
      <c r="B152" s="16" t="s">
        <v>84</v>
      </c>
      <c r="C152" s="16"/>
      <c r="D152" s="16"/>
      <c r="E152" s="16"/>
      <c r="F152" s="16"/>
      <c r="G152" s="16"/>
      <c r="H152" s="16"/>
      <c r="I152" s="46">
        <f>SUM(I151:I151)</f>
        <v>82</v>
      </c>
      <c r="J152" s="53"/>
    </row>
    <row r="153" customHeight="1" outlineLevel="1" spans="1:10">
      <c r="A153" s="25">
        <v>3</v>
      </c>
      <c r="B153" s="16" t="s">
        <v>85</v>
      </c>
      <c r="C153" s="16"/>
      <c r="D153" s="16"/>
      <c r="E153" s="16"/>
      <c r="F153" s="16"/>
      <c r="G153" s="16"/>
      <c r="H153" s="16"/>
      <c r="I153" s="46"/>
      <c r="J153" s="54"/>
    </row>
    <row r="154" customHeight="1" outlineLevel="1" spans="1:10">
      <c r="A154" s="21">
        <v>3.1</v>
      </c>
      <c r="B154" s="61" t="s">
        <v>55</v>
      </c>
      <c r="C154" s="58" t="s">
        <v>56</v>
      </c>
      <c r="D154" s="59"/>
      <c r="E154" s="18"/>
      <c r="F154" s="21" t="s">
        <v>11</v>
      </c>
      <c r="G154" s="21">
        <v>2.47</v>
      </c>
      <c r="H154" s="21">
        <f>VLOOKUP(C154,'单价表-木门'!$C:$F,4,FALSE)</f>
        <v>270</v>
      </c>
      <c r="I154" s="48">
        <f>G154*H154</f>
        <v>666.9</v>
      </c>
      <c r="J154" s="53"/>
    </row>
    <row r="155" customHeight="1" outlineLevel="1" spans="1:10">
      <c r="A155" s="21">
        <v>3.2</v>
      </c>
      <c r="B155" s="18" t="s">
        <v>30</v>
      </c>
      <c r="C155" s="19" t="s">
        <v>38</v>
      </c>
      <c r="D155" s="20"/>
      <c r="E155" s="21"/>
      <c r="F155" s="21" t="s">
        <v>24</v>
      </c>
      <c r="G155" s="21">
        <v>1</v>
      </c>
      <c r="H155" s="21">
        <f>VLOOKUP(C155,'单价表-木门'!$C:$F,4,FALSE)</f>
        <v>14.5</v>
      </c>
      <c r="I155" s="48">
        <f>G155*H155</f>
        <v>14.5</v>
      </c>
      <c r="J155" s="53"/>
    </row>
    <row r="156" customHeight="1" outlineLevel="1" spans="1:10">
      <c r="A156" s="15"/>
      <c r="B156" s="16" t="s">
        <v>86</v>
      </c>
      <c r="C156" s="16"/>
      <c r="D156" s="16"/>
      <c r="E156" s="16"/>
      <c r="F156" s="16"/>
      <c r="G156" s="16"/>
      <c r="H156" s="16"/>
      <c r="I156" s="46">
        <f>SUM(I154:I155)</f>
        <v>681.4</v>
      </c>
      <c r="J156" s="53"/>
    </row>
    <row r="157" customHeight="1" outlineLevel="1" spans="1:10">
      <c r="A157" s="15">
        <v>4</v>
      </c>
      <c r="B157" s="18" t="s">
        <v>58</v>
      </c>
      <c r="C157" s="18"/>
      <c r="D157" s="18"/>
      <c r="E157" s="18"/>
      <c r="F157" s="18"/>
      <c r="G157" s="18"/>
      <c r="H157" s="18"/>
      <c r="I157" s="21">
        <f>VLOOKUP(B157,'单价表-木门'!$B:$F,5,FALSE)</f>
        <v>570</v>
      </c>
      <c r="J157" s="53"/>
    </row>
    <row r="158" customHeight="1" outlineLevel="1" spans="1:10">
      <c r="A158" s="15">
        <v>5</v>
      </c>
      <c r="B158" s="18" t="s">
        <v>60</v>
      </c>
      <c r="C158" s="18"/>
      <c r="D158" s="18"/>
      <c r="E158" s="18"/>
      <c r="F158" s="18"/>
      <c r="G158" s="18"/>
      <c r="H158" s="18"/>
      <c r="I158" s="21">
        <f>VLOOKUP(B158,'单价表-木门'!$B:$F,5,FALSE)</f>
        <v>34</v>
      </c>
      <c r="J158" s="53"/>
    </row>
    <row r="159" customHeight="1" outlineLevel="1" spans="1:10">
      <c r="A159" s="15">
        <v>6</v>
      </c>
      <c r="B159" s="23" t="s">
        <v>88</v>
      </c>
      <c r="C159" s="26"/>
      <c r="D159" s="26"/>
      <c r="E159" s="26"/>
      <c r="F159" s="26"/>
      <c r="G159" s="24"/>
      <c r="H159" s="27"/>
      <c r="I159" s="46">
        <f>I149+I152+I156+I157+I158</f>
        <v>2816.7</v>
      </c>
      <c r="J159" s="54"/>
    </row>
    <row r="160" customHeight="1" outlineLevel="1" spans="1:10">
      <c r="A160" s="15">
        <v>7</v>
      </c>
      <c r="B160" s="23" t="s">
        <v>61</v>
      </c>
      <c r="C160" s="26"/>
      <c r="D160" s="26"/>
      <c r="E160" s="26"/>
      <c r="F160" s="26"/>
      <c r="G160" s="24"/>
      <c r="H160" s="28">
        <v>0.03</v>
      </c>
      <c r="I160" s="48">
        <f>I159*H160</f>
        <v>84.501</v>
      </c>
      <c r="J160" s="53"/>
    </row>
    <row r="161" customHeight="1" outlineLevel="1" spans="1:10">
      <c r="A161" s="15">
        <v>8</v>
      </c>
      <c r="B161" s="23" t="s">
        <v>63</v>
      </c>
      <c r="C161" s="26"/>
      <c r="D161" s="26"/>
      <c r="E161" s="26"/>
      <c r="F161" s="26"/>
      <c r="G161" s="24"/>
      <c r="H161" s="28">
        <v>0.13</v>
      </c>
      <c r="I161" s="48">
        <f>+(I159+I160)*H161</f>
        <v>377.15613</v>
      </c>
      <c r="J161" s="53"/>
    </row>
    <row r="162" customHeight="1" spans="1:10">
      <c r="A162" s="15">
        <v>9</v>
      </c>
      <c r="B162" s="29" t="s">
        <v>76</v>
      </c>
      <c r="C162" s="30"/>
      <c r="D162" s="30"/>
      <c r="E162" s="30"/>
      <c r="F162" s="30"/>
      <c r="G162" s="31"/>
      <c r="H162" s="32"/>
      <c r="I162" s="55">
        <f>+I161+I160+I159</f>
        <v>3278.35713</v>
      </c>
      <c r="J162" s="16"/>
    </row>
    <row r="163" customHeight="1" spans="1:10">
      <c r="A163" s="15">
        <v>10</v>
      </c>
      <c r="B163" s="33" t="s">
        <v>89</v>
      </c>
      <c r="C163" s="34"/>
      <c r="D163" s="34"/>
      <c r="E163" s="34"/>
      <c r="F163" s="34"/>
      <c r="G163" s="35"/>
      <c r="H163" s="36"/>
      <c r="I163" s="55">
        <f>+I162/I143</f>
        <v>1223.2675858209</v>
      </c>
      <c r="J163" s="57"/>
    </row>
    <row r="164" customHeight="1" spans="1:10">
      <c r="A164" s="7" t="s">
        <v>105</v>
      </c>
      <c r="B164" s="7"/>
      <c r="C164" s="7"/>
      <c r="D164" s="7"/>
      <c r="E164" s="7"/>
      <c r="F164" s="7"/>
      <c r="G164" s="7"/>
      <c r="H164" s="7"/>
      <c r="I164" s="38"/>
      <c r="J164" s="7"/>
    </row>
    <row r="165" customHeight="1" spans="1:12">
      <c r="A165" s="8" t="s">
        <v>66</v>
      </c>
      <c r="B165" s="8"/>
      <c r="C165" s="9"/>
      <c r="D165" s="10"/>
      <c r="E165" s="8" t="s">
        <v>68</v>
      </c>
      <c r="F165" s="8" t="s">
        <v>106</v>
      </c>
      <c r="G165" s="8"/>
      <c r="H165" s="8" t="s">
        <v>70</v>
      </c>
      <c r="I165" s="108">
        <f>1.4*2.88</f>
        <v>4.032</v>
      </c>
      <c r="J165" s="109"/>
      <c r="K165" s="40" t="str">
        <f>_xlfn.DISPIMG("ID_FCEC15B1385E4F26870B1A11F9C406B7",1)</f>
        <v>=DISPIMG("ID_FCEC15B1385E4F26870B1A11F9C406B7",1)</v>
      </c>
      <c r="L165" s="41"/>
    </row>
    <row r="166" customHeight="1" outlineLevel="1" spans="1:12">
      <c r="A166" s="11" t="s">
        <v>0</v>
      </c>
      <c r="B166" s="12" t="s">
        <v>71</v>
      </c>
      <c r="C166" s="13" t="s">
        <v>72</v>
      </c>
      <c r="D166" s="14"/>
      <c r="E166" s="12" t="s">
        <v>73</v>
      </c>
      <c r="F166" s="12" t="s">
        <v>74</v>
      </c>
      <c r="G166" s="12" t="s">
        <v>75</v>
      </c>
      <c r="H166" s="12" t="s">
        <v>4</v>
      </c>
      <c r="I166" s="42" t="s">
        <v>76</v>
      </c>
      <c r="J166" s="43" t="s">
        <v>3</v>
      </c>
      <c r="K166" s="44"/>
      <c r="L166" s="45"/>
    </row>
    <row r="167" customHeight="1" outlineLevel="1" spans="1:12">
      <c r="A167" s="15">
        <v>1</v>
      </c>
      <c r="B167" s="16" t="s">
        <v>77</v>
      </c>
      <c r="C167" s="16"/>
      <c r="D167" s="16"/>
      <c r="E167" s="16"/>
      <c r="F167" s="16"/>
      <c r="G167" s="16"/>
      <c r="H167" s="16"/>
      <c r="I167" s="46"/>
      <c r="J167" s="47"/>
      <c r="K167" s="44"/>
      <c r="L167" s="45"/>
    </row>
    <row r="168" customHeight="1" outlineLevel="1" spans="1:12">
      <c r="A168" s="17">
        <v>1.1</v>
      </c>
      <c r="B168" s="18" t="s">
        <v>43</v>
      </c>
      <c r="C168" s="19" t="s">
        <v>44</v>
      </c>
      <c r="D168" s="20"/>
      <c r="E168" s="21"/>
      <c r="F168" s="21" t="s">
        <v>7</v>
      </c>
      <c r="G168" s="21">
        <v>3.75</v>
      </c>
      <c r="H168" s="21">
        <f>VLOOKUP(C168,'单价表-木门'!$C:$F,4,FALSE)</f>
        <v>232</v>
      </c>
      <c r="I168" s="48">
        <f t="shared" ref="I168:I170" si="13">G168*H168</f>
        <v>870</v>
      </c>
      <c r="J168" s="49"/>
      <c r="K168" s="44"/>
      <c r="L168" s="45"/>
    </row>
    <row r="169" customHeight="1" outlineLevel="1" spans="1:12">
      <c r="A169" s="17">
        <v>2.1</v>
      </c>
      <c r="B169" s="22" t="s">
        <v>46</v>
      </c>
      <c r="C169" s="58" t="s">
        <v>47</v>
      </c>
      <c r="D169" s="59"/>
      <c r="E169" s="21"/>
      <c r="F169" s="21" t="s">
        <v>11</v>
      </c>
      <c r="G169" s="21">
        <f>G168</f>
        <v>3.75</v>
      </c>
      <c r="H169" s="21">
        <f>VLOOKUP(C169,'单价表-木门'!$C:$F,4,FALSE)</f>
        <v>290</v>
      </c>
      <c r="I169" s="48">
        <f t="shared" si="13"/>
        <v>1087.5</v>
      </c>
      <c r="J169" s="50" t="s">
        <v>79</v>
      </c>
      <c r="K169" s="51"/>
      <c r="L169" s="52"/>
    </row>
    <row r="170" customHeight="1" outlineLevel="1" spans="1:10">
      <c r="A170" s="17">
        <v>3.1</v>
      </c>
      <c r="B170" s="18" t="s">
        <v>48</v>
      </c>
      <c r="C170" s="19" t="s">
        <v>49</v>
      </c>
      <c r="D170" s="20"/>
      <c r="E170" s="21"/>
      <c r="F170" s="21" t="s">
        <v>15</v>
      </c>
      <c r="G170" s="21">
        <v>2.8</v>
      </c>
      <c r="H170" s="21">
        <f>VLOOKUP(C170,'单价表-木门'!$C:$F,4,FALSE)</f>
        <v>33</v>
      </c>
      <c r="I170" s="48">
        <f t="shared" si="13"/>
        <v>92.4</v>
      </c>
      <c r="J170" s="49"/>
    </row>
    <row r="171" customHeight="1" outlineLevel="1" spans="1:10">
      <c r="A171" s="15"/>
      <c r="B171" s="16" t="s">
        <v>82</v>
      </c>
      <c r="C171" s="16"/>
      <c r="D171" s="16"/>
      <c r="E171" s="16"/>
      <c r="F171" s="16"/>
      <c r="G171" s="16"/>
      <c r="H171" s="16"/>
      <c r="I171" s="46">
        <f>SUM(I168:I170)</f>
        <v>2049.9</v>
      </c>
      <c r="J171" s="53"/>
    </row>
    <row r="172" customHeight="1" outlineLevel="1" spans="1:10">
      <c r="A172" s="15">
        <v>2</v>
      </c>
      <c r="B172" s="16" t="s">
        <v>83</v>
      </c>
      <c r="C172" s="16"/>
      <c r="D172" s="16"/>
      <c r="E172" s="16"/>
      <c r="F172" s="16"/>
      <c r="G172" s="16"/>
      <c r="H172" s="16"/>
      <c r="I172" s="46"/>
      <c r="J172" s="54"/>
    </row>
    <row r="173" customHeight="1" outlineLevel="1" spans="1:10">
      <c r="A173" s="17">
        <v>2.1</v>
      </c>
      <c r="B173" s="18" t="s">
        <v>104</v>
      </c>
      <c r="C173" s="19" t="s">
        <v>107</v>
      </c>
      <c r="D173" s="20"/>
      <c r="E173" s="21"/>
      <c r="F173" s="21" t="s">
        <v>24</v>
      </c>
      <c r="G173" s="21">
        <v>1</v>
      </c>
      <c r="H173" s="21" t="e">
        <f>VLOOKUP(C173,'单价表-木门'!$C:$F,4,FALSE)</f>
        <v>#N/A</v>
      </c>
      <c r="I173" s="48" t="e">
        <f t="shared" ref="I173:I177" si="14">G173*H173</f>
        <v>#N/A</v>
      </c>
      <c r="J173" s="53"/>
    </row>
    <row r="174" customHeight="1" outlineLevel="1" spans="1:10">
      <c r="A174" s="15"/>
      <c r="B174" s="16" t="s">
        <v>84</v>
      </c>
      <c r="C174" s="16"/>
      <c r="D174" s="16"/>
      <c r="E174" s="16"/>
      <c r="F174" s="16"/>
      <c r="G174" s="16"/>
      <c r="H174" s="16"/>
      <c r="I174" s="46" t="e">
        <f>SUM(I173:I173)</f>
        <v>#N/A</v>
      </c>
      <c r="J174" s="53"/>
    </row>
    <row r="175" customHeight="1" outlineLevel="1" spans="1:10">
      <c r="A175" s="25">
        <v>3</v>
      </c>
      <c r="B175" s="16" t="s">
        <v>85</v>
      </c>
      <c r="C175" s="16"/>
      <c r="D175" s="16"/>
      <c r="E175" s="16"/>
      <c r="F175" s="16"/>
      <c r="G175" s="16"/>
      <c r="H175" s="16"/>
      <c r="I175" s="46"/>
      <c r="J175" s="54"/>
    </row>
    <row r="176" customHeight="1" outlineLevel="1" spans="1:10">
      <c r="A176" s="21">
        <v>3.1</v>
      </c>
      <c r="B176" s="61" t="s">
        <v>55</v>
      </c>
      <c r="C176" s="58" t="s">
        <v>56</v>
      </c>
      <c r="D176" s="59"/>
      <c r="E176" s="18"/>
      <c r="F176" s="21" t="s">
        <v>11</v>
      </c>
      <c r="G176" s="21">
        <v>2.81</v>
      </c>
      <c r="H176" s="21">
        <f>VLOOKUP(C176,'单价表-木门'!$C:$F,4,FALSE)</f>
        <v>270</v>
      </c>
      <c r="I176" s="48">
        <f t="shared" si="14"/>
        <v>758.7</v>
      </c>
      <c r="J176" s="53"/>
    </row>
    <row r="177" customHeight="1" outlineLevel="1" spans="1:10">
      <c r="A177" s="21">
        <v>3.2</v>
      </c>
      <c r="B177" s="18" t="s">
        <v>30</v>
      </c>
      <c r="C177" s="19" t="s">
        <v>38</v>
      </c>
      <c r="D177" s="20"/>
      <c r="E177" s="21"/>
      <c r="F177" s="21" t="s">
        <v>24</v>
      </c>
      <c r="G177" s="21">
        <v>1</v>
      </c>
      <c r="H177" s="21">
        <f>VLOOKUP(C177,'单价表-木门'!$C:$F,4,FALSE)</f>
        <v>14.5</v>
      </c>
      <c r="I177" s="48">
        <f t="shared" si="14"/>
        <v>14.5</v>
      </c>
      <c r="J177" s="53"/>
    </row>
    <row r="178" customHeight="1" outlineLevel="1" spans="1:10">
      <c r="A178" s="15"/>
      <c r="B178" s="16" t="s">
        <v>86</v>
      </c>
      <c r="C178" s="16"/>
      <c r="D178" s="16"/>
      <c r="E178" s="16"/>
      <c r="F178" s="16"/>
      <c r="G178" s="16"/>
      <c r="H178" s="16"/>
      <c r="I178" s="46">
        <f>SUM(I176:I177)</f>
        <v>773.2</v>
      </c>
      <c r="J178" s="53"/>
    </row>
    <row r="179" customHeight="1" outlineLevel="1" spans="1:10">
      <c r="A179" s="15">
        <v>4</v>
      </c>
      <c r="B179" s="18" t="s">
        <v>58</v>
      </c>
      <c r="C179" s="18"/>
      <c r="D179" s="18"/>
      <c r="E179" s="18"/>
      <c r="F179" s="18"/>
      <c r="G179" s="18"/>
      <c r="H179" s="18"/>
      <c r="I179" s="21">
        <f>VLOOKUP(B179,'单价表-木门'!$B:$F,5,FALSE)+200</f>
        <v>770</v>
      </c>
      <c r="J179" s="53"/>
    </row>
    <row r="180" customHeight="1" outlineLevel="1" spans="1:10">
      <c r="A180" s="15">
        <v>5</v>
      </c>
      <c r="B180" s="18" t="s">
        <v>60</v>
      </c>
      <c r="C180" s="18"/>
      <c r="D180" s="18"/>
      <c r="E180" s="18"/>
      <c r="F180" s="18"/>
      <c r="G180" s="18"/>
      <c r="H180" s="18"/>
      <c r="I180" s="21">
        <f>VLOOKUP(B180,'单价表-木门'!$B:$F,5,FALSE)</f>
        <v>34</v>
      </c>
      <c r="J180" s="53"/>
    </row>
    <row r="181" customHeight="1" outlineLevel="1" spans="1:10">
      <c r="A181" s="15">
        <v>6</v>
      </c>
      <c r="B181" s="23" t="s">
        <v>88</v>
      </c>
      <c r="C181" s="26"/>
      <c r="D181" s="26"/>
      <c r="E181" s="26"/>
      <c r="F181" s="26"/>
      <c r="G181" s="24"/>
      <c r="H181" s="27"/>
      <c r="I181" s="46" t="e">
        <f>I171+I174+I178+I179+I180</f>
        <v>#N/A</v>
      </c>
      <c r="J181" s="54"/>
    </row>
    <row r="182" customHeight="1" outlineLevel="1" spans="1:10">
      <c r="A182" s="15">
        <v>7</v>
      </c>
      <c r="B182" s="23" t="s">
        <v>61</v>
      </c>
      <c r="C182" s="26"/>
      <c r="D182" s="26"/>
      <c r="E182" s="26"/>
      <c r="F182" s="26"/>
      <c r="G182" s="24"/>
      <c r="H182" s="28">
        <v>0.03</v>
      </c>
      <c r="I182" s="48" t="e">
        <f>I181*H182</f>
        <v>#N/A</v>
      </c>
      <c r="J182" s="53"/>
    </row>
    <row r="183" customHeight="1" outlineLevel="1" spans="1:10">
      <c r="A183" s="15">
        <v>8</v>
      </c>
      <c r="B183" s="23" t="s">
        <v>63</v>
      </c>
      <c r="C183" s="26"/>
      <c r="D183" s="26"/>
      <c r="E183" s="26"/>
      <c r="F183" s="26"/>
      <c r="G183" s="24"/>
      <c r="H183" s="28">
        <v>0.13</v>
      </c>
      <c r="I183" s="48" t="e">
        <f>+(I181+I182)*H183</f>
        <v>#N/A</v>
      </c>
      <c r="J183" s="53"/>
    </row>
    <row r="184" customHeight="1" spans="1:10">
      <c r="A184" s="15">
        <v>9</v>
      </c>
      <c r="B184" s="29" t="s">
        <v>76</v>
      </c>
      <c r="C184" s="30"/>
      <c r="D184" s="30"/>
      <c r="E184" s="30"/>
      <c r="F184" s="30"/>
      <c r="G184" s="31"/>
      <c r="H184" s="32"/>
      <c r="I184" s="55" t="e">
        <f>+I183+I182+I181</f>
        <v>#N/A</v>
      </c>
      <c r="J184" s="16"/>
    </row>
    <row r="185" customHeight="1" spans="1:10">
      <c r="A185" s="15">
        <v>10</v>
      </c>
      <c r="B185" s="33" t="s">
        <v>89</v>
      </c>
      <c r="C185" s="34"/>
      <c r="D185" s="34"/>
      <c r="E185" s="34"/>
      <c r="F185" s="34"/>
      <c r="G185" s="35"/>
      <c r="H185" s="36"/>
      <c r="I185" s="55" t="e">
        <f>+I184/I165</f>
        <v>#N/A</v>
      </c>
      <c r="J185" s="57"/>
    </row>
    <row r="186" customHeight="1" spans="1:10">
      <c r="A186" s="7" t="s">
        <v>108</v>
      </c>
      <c r="B186" s="7"/>
      <c r="C186" s="7"/>
      <c r="D186" s="7"/>
      <c r="E186" s="7"/>
      <c r="F186" s="7"/>
      <c r="G186" s="7"/>
      <c r="H186" s="7"/>
      <c r="I186" s="38"/>
      <c r="J186" s="7"/>
    </row>
    <row r="187" customHeight="1" spans="1:12">
      <c r="A187" s="8" t="s">
        <v>66</v>
      </c>
      <c r="B187" s="8"/>
      <c r="C187" s="9"/>
      <c r="D187" s="10"/>
      <c r="E187" s="8" t="s">
        <v>68</v>
      </c>
      <c r="F187" s="8" t="s">
        <v>109</v>
      </c>
      <c r="G187" s="8"/>
      <c r="H187" s="8" t="s">
        <v>70</v>
      </c>
      <c r="I187" s="108">
        <f>1.2*2.68</f>
        <v>3.216</v>
      </c>
      <c r="J187" s="109"/>
      <c r="K187" s="40" t="str">
        <f>_xlfn.DISPIMG("ID_A40A987D22B24C849D74D5151B96B89E",1)</f>
        <v>=DISPIMG("ID_A40A987D22B24C849D74D5151B96B89E",1)</v>
      </c>
      <c r="L187" s="41"/>
    </row>
    <row r="188" customHeight="1" outlineLevel="1" spans="1:12">
      <c r="A188" s="11" t="s">
        <v>0</v>
      </c>
      <c r="B188" s="12" t="s">
        <v>71</v>
      </c>
      <c r="C188" s="13" t="s">
        <v>72</v>
      </c>
      <c r="D188" s="14"/>
      <c r="E188" s="12" t="s">
        <v>73</v>
      </c>
      <c r="F188" s="12" t="s">
        <v>74</v>
      </c>
      <c r="G188" s="12" t="s">
        <v>75</v>
      </c>
      <c r="H188" s="12" t="s">
        <v>4</v>
      </c>
      <c r="I188" s="42" t="s">
        <v>76</v>
      </c>
      <c r="J188" s="43" t="s">
        <v>3</v>
      </c>
      <c r="K188" s="44"/>
      <c r="L188" s="45"/>
    </row>
    <row r="189" customHeight="1" outlineLevel="1" spans="1:12">
      <c r="A189" s="15">
        <v>1</v>
      </c>
      <c r="B189" s="16" t="s">
        <v>77</v>
      </c>
      <c r="C189" s="16"/>
      <c r="D189" s="16"/>
      <c r="E189" s="16"/>
      <c r="F189" s="16"/>
      <c r="G189" s="16"/>
      <c r="H189" s="16"/>
      <c r="I189" s="46"/>
      <c r="J189" s="47"/>
      <c r="K189" s="44"/>
      <c r="L189" s="45"/>
    </row>
    <row r="190" customHeight="1" outlineLevel="1" spans="1:12">
      <c r="A190" s="17">
        <v>1.1</v>
      </c>
      <c r="B190" s="18" t="s">
        <v>43</v>
      </c>
      <c r="C190" s="19" t="s">
        <v>44</v>
      </c>
      <c r="D190" s="20"/>
      <c r="E190" s="21"/>
      <c r="F190" s="21" t="s">
        <v>7</v>
      </c>
      <c r="G190" s="21">
        <v>3.22</v>
      </c>
      <c r="H190" s="21">
        <f>VLOOKUP(C190,'单价表-木门'!$C:$F,4,FALSE)</f>
        <v>232</v>
      </c>
      <c r="I190" s="48">
        <f t="shared" ref="I190:I192" si="15">G190*H190</f>
        <v>747.04</v>
      </c>
      <c r="J190" s="49"/>
      <c r="K190" s="44"/>
      <c r="L190" s="45"/>
    </row>
    <row r="191" customHeight="1" outlineLevel="1" spans="1:12">
      <c r="A191" s="17">
        <v>2.1</v>
      </c>
      <c r="B191" s="22" t="s">
        <v>46</v>
      </c>
      <c r="C191" s="58" t="s">
        <v>47</v>
      </c>
      <c r="D191" s="59"/>
      <c r="E191" s="21"/>
      <c r="F191" s="21" t="s">
        <v>11</v>
      </c>
      <c r="G191" s="21">
        <f>G190</f>
        <v>3.22</v>
      </c>
      <c r="H191" s="21">
        <f>VLOOKUP(C191,'单价表-木门'!$C:$F,4,FALSE)</f>
        <v>290</v>
      </c>
      <c r="I191" s="48">
        <f t="shared" si="15"/>
        <v>933.8</v>
      </c>
      <c r="J191" s="50" t="s">
        <v>79</v>
      </c>
      <c r="K191" s="51"/>
      <c r="L191" s="52"/>
    </row>
    <row r="192" customHeight="1" outlineLevel="1" spans="1:10">
      <c r="A192" s="17">
        <v>3.1</v>
      </c>
      <c r="B192" s="18" t="s">
        <v>48</v>
      </c>
      <c r="C192" s="19" t="s">
        <v>49</v>
      </c>
      <c r="D192" s="20"/>
      <c r="E192" s="21"/>
      <c r="F192" s="21" t="s">
        <v>15</v>
      </c>
      <c r="G192" s="21">
        <v>2.43</v>
      </c>
      <c r="H192" s="21">
        <f>VLOOKUP(C192,'单价表-木门'!$C:$F,4,FALSE)</f>
        <v>33</v>
      </c>
      <c r="I192" s="48">
        <f t="shared" si="15"/>
        <v>80.19</v>
      </c>
      <c r="J192" s="49"/>
    </row>
    <row r="193" customHeight="1" outlineLevel="1" spans="1:10">
      <c r="A193" s="15"/>
      <c r="B193" s="16" t="s">
        <v>82</v>
      </c>
      <c r="C193" s="16"/>
      <c r="D193" s="16"/>
      <c r="E193" s="16"/>
      <c r="F193" s="16"/>
      <c r="G193" s="16"/>
      <c r="H193" s="16"/>
      <c r="I193" s="46">
        <f>SUM(I190:I192)</f>
        <v>1761.03</v>
      </c>
      <c r="J193" s="53"/>
    </row>
    <row r="194" customHeight="1" outlineLevel="1" spans="1:10">
      <c r="A194" s="15">
        <v>2</v>
      </c>
      <c r="B194" s="16" t="s">
        <v>83</v>
      </c>
      <c r="C194" s="16"/>
      <c r="D194" s="16"/>
      <c r="E194" s="16"/>
      <c r="F194" s="16"/>
      <c r="G194" s="16"/>
      <c r="H194" s="16"/>
      <c r="I194" s="46"/>
      <c r="J194" s="54"/>
    </row>
    <row r="195" customHeight="1" outlineLevel="1" spans="1:10">
      <c r="A195" s="17">
        <v>2.1</v>
      </c>
      <c r="B195" s="18" t="s">
        <v>104</v>
      </c>
      <c r="C195" s="19" t="s">
        <v>107</v>
      </c>
      <c r="D195" s="20"/>
      <c r="E195" s="21"/>
      <c r="F195" s="21" t="s">
        <v>24</v>
      </c>
      <c r="G195" s="21">
        <v>1</v>
      </c>
      <c r="H195" s="21" t="e">
        <f>VLOOKUP(C195,'单价表-木门'!$C:$F,4,FALSE)</f>
        <v>#N/A</v>
      </c>
      <c r="I195" s="48" t="e">
        <f t="shared" ref="I195:I199" si="16">G195*H195</f>
        <v>#N/A</v>
      </c>
      <c r="J195" s="53"/>
    </row>
    <row r="196" customHeight="1" outlineLevel="1" spans="1:10">
      <c r="A196" s="15"/>
      <c r="B196" s="16" t="s">
        <v>84</v>
      </c>
      <c r="C196" s="16"/>
      <c r="D196" s="16"/>
      <c r="E196" s="16"/>
      <c r="F196" s="16"/>
      <c r="G196" s="16"/>
      <c r="H196" s="16"/>
      <c r="I196" s="46" t="e">
        <f>SUM(I195:I195)</f>
        <v>#N/A</v>
      </c>
      <c r="J196" s="53"/>
    </row>
    <row r="197" customHeight="1" outlineLevel="1" spans="1:10">
      <c r="A197" s="25">
        <v>3</v>
      </c>
      <c r="B197" s="16" t="s">
        <v>85</v>
      </c>
      <c r="C197" s="16"/>
      <c r="D197" s="16"/>
      <c r="E197" s="16"/>
      <c r="F197" s="16"/>
      <c r="G197" s="16"/>
      <c r="H197" s="16"/>
      <c r="I197" s="46"/>
      <c r="J197" s="54"/>
    </row>
    <row r="198" customHeight="1" outlineLevel="1" spans="1:10">
      <c r="A198" s="21">
        <v>3.1</v>
      </c>
      <c r="B198" s="61" t="s">
        <v>55</v>
      </c>
      <c r="C198" s="58" t="s">
        <v>56</v>
      </c>
      <c r="D198" s="59"/>
      <c r="E198" s="18"/>
      <c r="F198" s="21" t="s">
        <v>11</v>
      </c>
      <c r="G198" s="21">
        <v>2.34</v>
      </c>
      <c r="H198" s="21">
        <f>VLOOKUP(C198,'单价表-木门'!$C:$F,4,FALSE)</f>
        <v>270</v>
      </c>
      <c r="I198" s="48">
        <f t="shared" si="16"/>
        <v>631.8</v>
      </c>
      <c r="J198" s="53"/>
    </row>
    <row r="199" customHeight="1" outlineLevel="1" spans="1:10">
      <c r="A199" s="21">
        <v>3.2</v>
      </c>
      <c r="B199" s="18" t="s">
        <v>30</v>
      </c>
      <c r="C199" s="19" t="s">
        <v>38</v>
      </c>
      <c r="D199" s="20"/>
      <c r="E199" s="21"/>
      <c r="F199" s="21" t="s">
        <v>24</v>
      </c>
      <c r="G199" s="21">
        <v>1</v>
      </c>
      <c r="H199" s="21">
        <f>VLOOKUP(C199,'单价表-木门'!$C:$F,4,FALSE)</f>
        <v>14.5</v>
      </c>
      <c r="I199" s="48">
        <f t="shared" si="16"/>
        <v>14.5</v>
      </c>
      <c r="J199" s="53"/>
    </row>
    <row r="200" customHeight="1" outlineLevel="1" spans="1:10">
      <c r="A200" s="15"/>
      <c r="B200" s="16" t="s">
        <v>86</v>
      </c>
      <c r="C200" s="16"/>
      <c r="D200" s="16"/>
      <c r="E200" s="16"/>
      <c r="F200" s="16"/>
      <c r="G200" s="16"/>
      <c r="H200" s="16"/>
      <c r="I200" s="46">
        <f>SUM(I198:I199)</f>
        <v>646.3</v>
      </c>
      <c r="J200" s="53"/>
    </row>
    <row r="201" customHeight="1" outlineLevel="1" spans="1:10">
      <c r="A201" s="15">
        <v>4</v>
      </c>
      <c r="B201" s="18" t="s">
        <v>58</v>
      </c>
      <c r="C201" s="18"/>
      <c r="D201" s="18"/>
      <c r="E201" s="18"/>
      <c r="F201" s="18"/>
      <c r="G201" s="18"/>
      <c r="H201" s="18"/>
      <c r="I201" s="21">
        <f>VLOOKUP(B201,'单价表-木门'!$B:$F,5,FALSE)+200</f>
        <v>770</v>
      </c>
      <c r="J201" s="53"/>
    </row>
    <row r="202" customHeight="1" outlineLevel="1" spans="1:10">
      <c r="A202" s="15">
        <v>5</v>
      </c>
      <c r="B202" s="18" t="s">
        <v>60</v>
      </c>
      <c r="C202" s="18"/>
      <c r="D202" s="18"/>
      <c r="E202" s="18"/>
      <c r="F202" s="18"/>
      <c r="G202" s="18"/>
      <c r="H202" s="18"/>
      <c r="I202" s="21">
        <f>VLOOKUP(B202,'单价表-木门'!$B:$F,5,FALSE)</f>
        <v>34</v>
      </c>
      <c r="J202" s="53"/>
    </row>
    <row r="203" customHeight="1" outlineLevel="1" spans="1:10">
      <c r="A203" s="15">
        <v>6</v>
      </c>
      <c r="B203" s="23" t="s">
        <v>88</v>
      </c>
      <c r="C203" s="26"/>
      <c r="D203" s="26"/>
      <c r="E203" s="26"/>
      <c r="F203" s="26"/>
      <c r="G203" s="24"/>
      <c r="H203" s="27"/>
      <c r="I203" s="46" t="e">
        <f>I193+I196+I200+I201+I202</f>
        <v>#N/A</v>
      </c>
      <c r="J203" s="54"/>
    </row>
    <row r="204" customHeight="1" outlineLevel="1" spans="1:10">
      <c r="A204" s="15">
        <v>7</v>
      </c>
      <c r="B204" s="23" t="s">
        <v>61</v>
      </c>
      <c r="C204" s="26"/>
      <c r="D204" s="26"/>
      <c r="E204" s="26"/>
      <c r="F204" s="26"/>
      <c r="G204" s="24"/>
      <c r="H204" s="28">
        <v>0.03</v>
      </c>
      <c r="I204" s="48" t="e">
        <f>I203*H204</f>
        <v>#N/A</v>
      </c>
      <c r="J204" s="53"/>
    </row>
    <row r="205" customHeight="1" outlineLevel="1" spans="1:10">
      <c r="A205" s="15">
        <v>8</v>
      </c>
      <c r="B205" s="23" t="s">
        <v>63</v>
      </c>
      <c r="C205" s="26"/>
      <c r="D205" s="26"/>
      <c r="E205" s="26"/>
      <c r="F205" s="26"/>
      <c r="G205" s="24"/>
      <c r="H205" s="28">
        <v>0.13</v>
      </c>
      <c r="I205" s="48" t="e">
        <f>+(I203+I204)*H205</f>
        <v>#N/A</v>
      </c>
      <c r="J205" s="53"/>
    </row>
    <row r="206" customHeight="1" spans="1:10">
      <c r="A206" s="15">
        <v>9</v>
      </c>
      <c r="B206" s="29" t="s">
        <v>76</v>
      </c>
      <c r="C206" s="30"/>
      <c r="D206" s="30"/>
      <c r="E206" s="30"/>
      <c r="F206" s="30"/>
      <c r="G206" s="31"/>
      <c r="H206" s="32"/>
      <c r="I206" s="55" t="e">
        <f>+I205+I204+I203</f>
        <v>#N/A</v>
      </c>
      <c r="J206" s="16"/>
    </row>
    <row r="207" customHeight="1" spans="1:10">
      <c r="A207" s="15">
        <v>10</v>
      </c>
      <c r="B207" s="33" t="s">
        <v>89</v>
      </c>
      <c r="C207" s="34"/>
      <c r="D207" s="34"/>
      <c r="E207" s="34"/>
      <c r="F207" s="34"/>
      <c r="G207" s="35"/>
      <c r="H207" s="36"/>
      <c r="I207" s="55" t="e">
        <f>+I206/I187</f>
        <v>#N/A</v>
      </c>
      <c r="J207" s="57"/>
    </row>
    <row r="208" customHeight="1" spans="1:10">
      <c r="A208" s="7" t="s">
        <v>110</v>
      </c>
      <c r="B208" s="7"/>
      <c r="C208" s="7"/>
      <c r="D208" s="7"/>
      <c r="E208" s="7"/>
      <c r="F208" s="7"/>
      <c r="G208" s="7"/>
      <c r="H208" s="7"/>
      <c r="I208" s="38"/>
      <c r="J208" s="7"/>
    </row>
    <row r="209" customHeight="1" spans="1:12">
      <c r="A209" s="8" t="s">
        <v>66</v>
      </c>
      <c r="B209" s="8"/>
      <c r="C209" s="9"/>
      <c r="D209" s="10"/>
      <c r="E209" s="8" t="s">
        <v>68</v>
      </c>
      <c r="F209" s="8" t="s">
        <v>111</v>
      </c>
      <c r="G209" s="8"/>
      <c r="H209" s="8" t="s">
        <v>70</v>
      </c>
      <c r="I209" s="108">
        <f>1.1*2.68</f>
        <v>2.948</v>
      </c>
      <c r="J209" s="109"/>
      <c r="K209" s="40" t="str">
        <f>_xlfn.DISPIMG("ID_D7A96D7217E84E449C10C835108A8E3C",1)</f>
        <v>=DISPIMG("ID_D7A96D7217E84E449C10C835108A8E3C",1)</v>
      </c>
      <c r="L209" s="41"/>
    </row>
    <row r="210" customHeight="1" outlineLevel="1" spans="1:12">
      <c r="A210" s="11" t="s">
        <v>0</v>
      </c>
      <c r="B210" s="12" t="s">
        <v>71</v>
      </c>
      <c r="C210" s="13" t="s">
        <v>72</v>
      </c>
      <c r="D210" s="14"/>
      <c r="E210" s="12" t="s">
        <v>73</v>
      </c>
      <c r="F210" s="12" t="s">
        <v>74</v>
      </c>
      <c r="G210" s="12" t="s">
        <v>75</v>
      </c>
      <c r="H210" s="12" t="s">
        <v>4</v>
      </c>
      <c r="I210" s="42" t="s">
        <v>76</v>
      </c>
      <c r="J210" s="43" t="s">
        <v>3</v>
      </c>
      <c r="K210" s="44"/>
      <c r="L210" s="45"/>
    </row>
    <row r="211" customHeight="1" outlineLevel="1" spans="1:12">
      <c r="A211" s="15">
        <v>1</v>
      </c>
      <c r="B211" s="16" t="s">
        <v>77</v>
      </c>
      <c r="C211" s="16"/>
      <c r="D211" s="16"/>
      <c r="E211" s="16"/>
      <c r="F211" s="16"/>
      <c r="G211" s="16"/>
      <c r="H211" s="16"/>
      <c r="I211" s="46"/>
      <c r="J211" s="47"/>
      <c r="K211" s="44"/>
      <c r="L211" s="45"/>
    </row>
    <row r="212" customHeight="1" outlineLevel="1" spans="1:12">
      <c r="A212" s="17">
        <v>1.1</v>
      </c>
      <c r="B212" s="18" t="s">
        <v>43</v>
      </c>
      <c r="C212" s="19" t="s">
        <v>44</v>
      </c>
      <c r="D212" s="20"/>
      <c r="E212" s="21"/>
      <c r="F212" s="21" t="s">
        <v>7</v>
      </c>
      <c r="G212" s="21">
        <v>2.95</v>
      </c>
      <c r="H212" s="21">
        <f>VLOOKUP(C212,'单价表-木门'!$C:$F,4,FALSE)</f>
        <v>232</v>
      </c>
      <c r="I212" s="48">
        <f t="shared" ref="I212:I214" si="17">G212*H212</f>
        <v>684.4</v>
      </c>
      <c r="J212" s="49"/>
      <c r="K212" s="44"/>
      <c r="L212" s="45"/>
    </row>
    <row r="213" customHeight="1" outlineLevel="1" spans="1:12">
      <c r="A213" s="17">
        <v>2.1</v>
      </c>
      <c r="B213" s="22" t="s">
        <v>46</v>
      </c>
      <c r="C213" s="58" t="s">
        <v>47</v>
      </c>
      <c r="D213" s="59"/>
      <c r="E213" s="21"/>
      <c r="F213" s="21" t="s">
        <v>11</v>
      </c>
      <c r="G213" s="21">
        <f>G212</f>
        <v>2.95</v>
      </c>
      <c r="H213" s="21">
        <f>VLOOKUP(C213,'单价表-木门'!$C:$F,4,FALSE)</f>
        <v>290</v>
      </c>
      <c r="I213" s="48">
        <f t="shared" si="17"/>
        <v>855.5</v>
      </c>
      <c r="J213" s="50" t="s">
        <v>79</v>
      </c>
      <c r="K213" s="51"/>
      <c r="L213" s="52"/>
    </row>
    <row r="214" customHeight="1" outlineLevel="1" spans="1:10">
      <c r="A214" s="17">
        <v>3.1</v>
      </c>
      <c r="B214" s="18" t="s">
        <v>48</v>
      </c>
      <c r="C214" s="19" t="s">
        <v>49</v>
      </c>
      <c r="D214" s="20"/>
      <c r="E214" s="21"/>
      <c r="F214" s="21" t="s">
        <v>15</v>
      </c>
      <c r="G214" s="21">
        <v>2.25</v>
      </c>
      <c r="H214" s="21">
        <f>VLOOKUP(C214,'单价表-木门'!$C:$F,4,FALSE)</f>
        <v>33</v>
      </c>
      <c r="I214" s="48">
        <f t="shared" si="17"/>
        <v>74.25</v>
      </c>
      <c r="J214" s="49"/>
    </row>
    <row r="215" customHeight="1" outlineLevel="1" spans="1:10">
      <c r="A215" s="15"/>
      <c r="B215" s="16" t="s">
        <v>82</v>
      </c>
      <c r="C215" s="16"/>
      <c r="D215" s="16"/>
      <c r="E215" s="16"/>
      <c r="F215" s="16"/>
      <c r="G215" s="16"/>
      <c r="H215" s="16"/>
      <c r="I215" s="46">
        <f>SUM(I212:I214)</f>
        <v>1614.15</v>
      </c>
      <c r="J215" s="53"/>
    </row>
    <row r="216" customHeight="1" outlineLevel="1" spans="1:10">
      <c r="A216" s="15">
        <v>2</v>
      </c>
      <c r="B216" s="16" t="s">
        <v>83</v>
      </c>
      <c r="C216" s="16"/>
      <c r="D216" s="16"/>
      <c r="E216" s="16"/>
      <c r="F216" s="16"/>
      <c r="G216" s="16"/>
      <c r="H216" s="16"/>
      <c r="I216" s="46"/>
      <c r="J216" s="54"/>
    </row>
    <row r="217" customHeight="1" outlineLevel="1" spans="1:10">
      <c r="A217" s="17">
        <v>2.1</v>
      </c>
      <c r="B217" s="18" t="s">
        <v>104</v>
      </c>
      <c r="C217" s="19" t="s">
        <v>51</v>
      </c>
      <c r="D217" s="20"/>
      <c r="E217" s="21"/>
      <c r="F217" s="21" t="s">
        <v>24</v>
      </c>
      <c r="G217" s="21">
        <v>1</v>
      </c>
      <c r="H217" s="21">
        <f>VLOOKUP(C217,'单价表-木门'!$C:$F,4,FALSE)</f>
        <v>82</v>
      </c>
      <c r="I217" s="48">
        <f t="shared" ref="I217:I221" si="18">G217*H217</f>
        <v>82</v>
      </c>
      <c r="J217" s="53"/>
    </row>
    <row r="218" customHeight="1" outlineLevel="1" spans="1:10">
      <c r="A218" s="15"/>
      <c r="B218" s="16" t="s">
        <v>84</v>
      </c>
      <c r="C218" s="16"/>
      <c r="D218" s="16"/>
      <c r="E218" s="16"/>
      <c r="F218" s="16"/>
      <c r="G218" s="16"/>
      <c r="H218" s="16"/>
      <c r="I218" s="46">
        <f>SUM(I217:I217)</f>
        <v>82</v>
      </c>
      <c r="J218" s="53"/>
    </row>
    <row r="219" customHeight="1" outlineLevel="1" spans="1:10">
      <c r="A219" s="25">
        <v>3</v>
      </c>
      <c r="B219" s="16" t="s">
        <v>85</v>
      </c>
      <c r="C219" s="16"/>
      <c r="D219" s="16"/>
      <c r="E219" s="16"/>
      <c r="F219" s="16"/>
      <c r="G219" s="16"/>
      <c r="H219" s="16"/>
      <c r="I219" s="46"/>
      <c r="J219" s="54"/>
    </row>
    <row r="220" customHeight="1" outlineLevel="1" spans="1:10">
      <c r="A220" s="21">
        <v>3.1</v>
      </c>
      <c r="B220" s="61" t="s">
        <v>55</v>
      </c>
      <c r="C220" s="58" t="s">
        <v>56</v>
      </c>
      <c r="D220" s="59"/>
      <c r="E220" s="18"/>
      <c r="F220" s="21" t="s">
        <v>11</v>
      </c>
      <c r="G220" s="110">
        <v>2.28</v>
      </c>
      <c r="H220" s="21">
        <f>VLOOKUP(C220,'单价表-木门'!$C:$F,4,FALSE)</f>
        <v>270</v>
      </c>
      <c r="I220" s="48">
        <f t="shared" si="18"/>
        <v>615.6</v>
      </c>
      <c r="J220" s="53"/>
    </row>
    <row r="221" customHeight="1" outlineLevel="1" spans="1:10">
      <c r="A221" s="21">
        <v>3.2</v>
      </c>
      <c r="B221" s="18" t="s">
        <v>30</v>
      </c>
      <c r="C221" s="19" t="s">
        <v>38</v>
      </c>
      <c r="D221" s="20"/>
      <c r="E221" s="21"/>
      <c r="F221" s="21" t="s">
        <v>24</v>
      </c>
      <c r="G221" s="21">
        <v>1</v>
      </c>
      <c r="H221" s="21">
        <f>VLOOKUP(C221,'单价表-木门'!$C:$F,4,FALSE)</f>
        <v>14.5</v>
      </c>
      <c r="I221" s="48">
        <f t="shared" si="18"/>
        <v>14.5</v>
      </c>
      <c r="J221" s="53"/>
    </row>
    <row r="222" customHeight="1" outlineLevel="1" spans="1:10">
      <c r="A222" s="15"/>
      <c r="B222" s="16" t="s">
        <v>86</v>
      </c>
      <c r="C222" s="16"/>
      <c r="D222" s="16"/>
      <c r="E222" s="16"/>
      <c r="F222" s="16"/>
      <c r="G222" s="16"/>
      <c r="H222" s="16"/>
      <c r="I222" s="46">
        <f>SUM(I220:I221)</f>
        <v>630.1</v>
      </c>
      <c r="J222" s="53"/>
    </row>
    <row r="223" customHeight="1" outlineLevel="1" spans="1:10">
      <c r="A223" s="15">
        <v>4</v>
      </c>
      <c r="B223" s="18" t="s">
        <v>58</v>
      </c>
      <c r="C223" s="18"/>
      <c r="D223" s="18"/>
      <c r="E223" s="18"/>
      <c r="F223" s="18"/>
      <c r="G223" s="18"/>
      <c r="H223" s="18"/>
      <c r="I223" s="21">
        <f>VLOOKUP(B223,'单价表-木门'!$B:$F,5,FALSE)</f>
        <v>570</v>
      </c>
      <c r="J223" s="53"/>
    </row>
    <row r="224" customHeight="1" outlineLevel="1" spans="1:10">
      <c r="A224" s="15">
        <v>5</v>
      </c>
      <c r="B224" s="18" t="s">
        <v>60</v>
      </c>
      <c r="C224" s="18"/>
      <c r="D224" s="18"/>
      <c r="E224" s="18"/>
      <c r="F224" s="18"/>
      <c r="G224" s="18"/>
      <c r="H224" s="18"/>
      <c r="I224" s="21">
        <f>VLOOKUP(B224,'单价表-木门'!$B:$F,5,FALSE)</f>
        <v>34</v>
      </c>
      <c r="J224" s="53"/>
    </row>
    <row r="225" customHeight="1" outlineLevel="1" spans="1:10">
      <c r="A225" s="15">
        <v>6</v>
      </c>
      <c r="B225" s="23" t="s">
        <v>88</v>
      </c>
      <c r="C225" s="26"/>
      <c r="D225" s="26"/>
      <c r="E225" s="26"/>
      <c r="F225" s="26"/>
      <c r="G225" s="24"/>
      <c r="H225" s="27"/>
      <c r="I225" s="46">
        <f>I215+I218+I222+I223+I224</f>
        <v>2930.25</v>
      </c>
      <c r="J225" s="54"/>
    </row>
    <row r="226" customHeight="1" outlineLevel="1" spans="1:10">
      <c r="A226" s="15">
        <v>7</v>
      </c>
      <c r="B226" s="23" t="s">
        <v>61</v>
      </c>
      <c r="C226" s="26"/>
      <c r="D226" s="26"/>
      <c r="E226" s="26"/>
      <c r="F226" s="26"/>
      <c r="G226" s="24"/>
      <c r="H226" s="28">
        <v>0.03</v>
      </c>
      <c r="I226" s="48">
        <f>I225*H226</f>
        <v>87.9075</v>
      </c>
      <c r="J226" s="53"/>
    </row>
    <row r="227" customHeight="1" outlineLevel="1" spans="1:10">
      <c r="A227" s="15">
        <v>8</v>
      </c>
      <c r="B227" s="23" t="s">
        <v>63</v>
      </c>
      <c r="C227" s="26"/>
      <c r="D227" s="26"/>
      <c r="E227" s="26"/>
      <c r="F227" s="26"/>
      <c r="G227" s="24"/>
      <c r="H227" s="28">
        <v>0.13</v>
      </c>
      <c r="I227" s="48">
        <f>+(I225+I226)*H227</f>
        <v>392.360475</v>
      </c>
      <c r="J227" s="53"/>
    </row>
    <row r="228" customHeight="1" spans="1:10">
      <c r="A228" s="15">
        <v>9</v>
      </c>
      <c r="B228" s="29" t="s">
        <v>76</v>
      </c>
      <c r="C228" s="30"/>
      <c r="D228" s="30"/>
      <c r="E228" s="30"/>
      <c r="F228" s="30"/>
      <c r="G228" s="31"/>
      <c r="H228" s="32"/>
      <c r="I228" s="55">
        <f>+I227+I226+I225</f>
        <v>3410.517975</v>
      </c>
      <c r="J228" s="16"/>
    </row>
    <row r="229" customHeight="1" spans="1:10">
      <c r="A229" s="15">
        <v>10</v>
      </c>
      <c r="B229" s="33" t="s">
        <v>89</v>
      </c>
      <c r="C229" s="34"/>
      <c r="D229" s="34"/>
      <c r="E229" s="34"/>
      <c r="F229" s="34"/>
      <c r="G229" s="35"/>
      <c r="H229" s="36"/>
      <c r="I229" s="55">
        <f>+I228/I209</f>
        <v>1156.89212177748</v>
      </c>
      <c r="J229" s="57"/>
    </row>
    <row r="230" customHeight="1" spans="1:10">
      <c r="A230" s="7" t="s">
        <v>112</v>
      </c>
      <c r="B230" s="7"/>
      <c r="C230" s="7"/>
      <c r="D230" s="7"/>
      <c r="E230" s="7"/>
      <c r="F230" s="7"/>
      <c r="G230" s="7"/>
      <c r="H230" s="7"/>
      <c r="I230" s="38"/>
      <c r="J230" s="7"/>
    </row>
    <row r="231" customHeight="1" spans="1:12">
      <c r="A231" s="8" t="s">
        <v>66</v>
      </c>
      <c r="B231" s="8"/>
      <c r="C231" s="9"/>
      <c r="D231" s="10"/>
      <c r="E231" s="8" t="s">
        <v>68</v>
      </c>
      <c r="F231" s="8" t="s">
        <v>113</v>
      </c>
      <c r="G231" s="8"/>
      <c r="H231" s="8" t="s">
        <v>70</v>
      </c>
      <c r="I231" s="108">
        <f>1.3*2.68</f>
        <v>3.484</v>
      </c>
      <c r="J231" s="109"/>
      <c r="K231" s="40" t="str">
        <f>_xlfn.DISPIMG("ID_3E12B6997F084F988A551E1801D4081D",1)</f>
        <v>=DISPIMG("ID_3E12B6997F084F988A551E1801D4081D",1)</v>
      </c>
      <c r="L231" s="41"/>
    </row>
    <row r="232" customHeight="1" outlineLevel="1" spans="1:12">
      <c r="A232" s="11" t="s">
        <v>0</v>
      </c>
      <c r="B232" s="12" t="s">
        <v>71</v>
      </c>
      <c r="C232" s="13" t="s">
        <v>72</v>
      </c>
      <c r="D232" s="14"/>
      <c r="E232" s="12" t="s">
        <v>73</v>
      </c>
      <c r="F232" s="12" t="s">
        <v>74</v>
      </c>
      <c r="G232" s="12" t="s">
        <v>75</v>
      </c>
      <c r="H232" s="12" t="s">
        <v>4</v>
      </c>
      <c r="I232" s="42" t="s">
        <v>76</v>
      </c>
      <c r="J232" s="43" t="s">
        <v>3</v>
      </c>
      <c r="K232" s="44"/>
      <c r="L232" s="45"/>
    </row>
    <row r="233" customHeight="1" outlineLevel="1" spans="1:12">
      <c r="A233" s="15">
        <v>1</v>
      </c>
      <c r="B233" s="16" t="s">
        <v>77</v>
      </c>
      <c r="C233" s="16"/>
      <c r="D233" s="16"/>
      <c r="E233" s="16"/>
      <c r="F233" s="16"/>
      <c r="G233" s="16"/>
      <c r="H233" s="16"/>
      <c r="I233" s="46"/>
      <c r="J233" s="47"/>
      <c r="K233" s="44"/>
      <c r="L233" s="45"/>
    </row>
    <row r="234" customHeight="1" outlineLevel="1" spans="1:12">
      <c r="A234" s="17">
        <v>1.1</v>
      </c>
      <c r="B234" s="18" t="s">
        <v>43</v>
      </c>
      <c r="C234" s="19" t="s">
        <v>44</v>
      </c>
      <c r="D234" s="20"/>
      <c r="E234" s="21"/>
      <c r="F234" s="21" t="s">
        <v>7</v>
      </c>
      <c r="G234" s="21">
        <v>3.48</v>
      </c>
      <c r="H234" s="21">
        <f>VLOOKUP(C234,'单价表-木门'!$C:$F,4,FALSE)</f>
        <v>232</v>
      </c>
      <c r="I234" s="48">
        <f t="shared" ref="I234:I236" si="19">G234*H234</f>
        <v>807.36</v>
      </c>
      <c r="J234" s="49"/>
      <c r="K234" s="44"/>
      <c r="L234" s="45"/>
    </row>
    <row r="235" customHeight="1" outlineLevel="1" spans="1:12">
      <c r="A235" s="17">
        <v>2.1</v>
      </c>
      <c r="B235" s="22" t="s">
        <v>46</v>
      </c>
      <c r="C235" s="58" t="s">
        <v>47</v>
      </c>
      <c r="D235" s="59"/>
      <c r="E235" s="21"/>
      <c r="F235" s="21" t="s">
        <v>11</v>
      </c>
      <c r="G235" s="21">
        <f>G234</f>
        <v>3.48</v>
      </c>
      <c r="H235" s="21">
        <f>VLOOKUP(C235,'单价表-木门'!$C:$F,4,FALSE)</f>
        <v>290</v>
      </c>
      <c r="I235" s="48">
        <f t="shared" si="19"/>
        <v>1009.2</v>
      </c>
      <c r="J235" s="50" t="s">
        <v>79</v>
      </c>
      <c r="K235" s="51"/>
      <c r="L235" s="52"/>
    </row>
    <row r="236" customHeight="1" outlineLevel="1" spans="1:10">
      <c r="A236" s="17">
        <v>3.1</v>
      </c>
      <c r="B236" s="18" t="s">
        <v>48</v>
      </c>
      <c r="C236" s="19" t="s">
        <v>49</v>
      </c>
      <c r="D236" s="20"/>
      <c r="E236" s="21"/>
      <c r="F236" s="21" t="s">
        <v>15</v>
      </c>
      <c r="G236" s="21">
        <v>2.58</v>
      </c>
      <c r="H236" s="21">
        <f>VLOOKUP(C236,'单价表-木门'!$C:$F,4,FALSE)</f>
        <v>33</v>
      </c>
      <c r="I236" s="48">
        <f t="shared" si="19"/>
        <v>85.14</v>
      </c>
      <c r="J236" s="49"/>
    </row>
    <row r="237" customHeight="1" outlineLevel="1" spans="1:10">
      <c r="A237" s="15"/>
      <c r="B237" s="16" t="s">
        <v>82</v>
      </c>
      <c r="C237" s="16"/>
      <c r="D237" s="16"/>
      <c r="E237" s="16"/>
      <c r="F237" s="16"/>
      <c r="G237" s="16"/>
      <c r="H237" s="16"/>
      <c r="I237" s="46">
        <f>SUM(I234:I236)</f>
        <v>1901.7</v>
      </c>
      <c r="J237" s="53"/>
    </row>
    <row r="238" customHeight="1" outlineLevel="1" spans="1:10">
      <c r="A238" s="15">
        <v>2</v>
      </c>
      <c r="B238" s="16" t="s">
        <v>83</v>
      </c>
      <c r="C238" s="16"/>
      <c r="D238" s="16"/>
      <c r="E238" s="16"/>
      <c r="F238" s="16"/>
      <c r="G238" s="16"/>
      <c r="H238" s="16"/>
      <c r="I238" s="46"/>
      <c r="J238" s="54"/>
    </row>
    <row r="239" customHeight="1" outlineLevel="1" spans="1:10">
      <c r="A239" s="17">
        <v>2.1</v>
      </c>
      <c r="B239" s="18" t="s">
        <v>104</v>
      </c>
      <c r="C239" s="19" t="s">
        <v>107</v>
      </c>
      <c r="D239" s="20"/>
      <c r="E239" s="21"/>
      <c r="F239" s="21" t="s">
        <v>24</v>
      </c>
      <c r="G239" s="21">
        <v>1</v>
      </c>
      <c r="H239" s="21" t="e">
        <f>VLOOKUP(C239,'单价表-木门'!$C:$F,4,FALSE)</f>
        <v>#N/A</v>
      </c>
      <c r="I239" s="48" t="e">
        <f t="shared" ref="I239:I243" si="20">G239*H239</f>
        <v>#N/A</v>
      </c>
      <c r="J239" s="53"/>
    </row>
    <row r="240" customHeight="1" outlineLevel="1" spans="1:10">
      <c r="A240" s="15"/>
      <c r="B240" s="16" t="s">
        <v>84</v>
      </c>
      <c r="C240" s="16"/>
      <c r="D240" s="16"/>
      <c r="E240" s="16"/>
      <c r="F240" s="16"/>
      <c r="G240" s="16"/>
      <c r="H240" s="16"/>
      <c r="I240" s="46" t="e">
        <f>SUM(I239:I239)</f>
        <v>#N/A</v>
      </c>
      <c r="J240" s="53"/>
    </row>
    <row r="241" customHeight="1" outlineLevel="1" spans="1:10">
      <c r="A241" s="25">
        <v>3</v>
      </c>
      <c r="B241" s="16" t="s">
        <v>85</v>
      </c>
      <c r="C241" s="16"/>
      <c r="D241" s="16"/>
      <c r="E241" s="16"/>
      <c r="F241" s="16"/>
      <c r="G241" s="16"/>
      <c r="H241" s="16"/>
      <c r="I241" s="46"/>
      <c r="J241" s="54"/>
    </row>
    <row r="242" customHeight="1" outlineLevel="1" spans="1:10">
      <c r="A242" s="21">
        <v>3.1</v>
      </c>
      <c r="B242" s="61" t="s">
        <v>55</v>
      </c>
      <c r="C242" s="58" t="s">
        <v>56</v>
      </c>
      <c r="D242" s="59"/>
      <c r="E242" s="18"/>
      <c r="F242" s="21" t="s">
        <v>11</v>
      </c>
      <c r="G242" s="21">
        <v>3.05</v>
      </c>
      <c r="H242" s="21">
        <f>VLOOKUP(C242,'单价表-木门'!$C:$F,4,FALSE)</f>
        <v>270</v>
      </c>
      <c r="I242" s="48">
        <f t="shared" si="20"/>
        <v>823.5</v>
      </c>
      <c r="J242" s="53"/>
    </row>
    <row r="243" customHeight="1" outlineLevel="1" spans="1:10">
      <c r="A243" s="21">
        <v>3.2</v>
      </c>
      <c r="B243" s="18" t="s">
        <v>30</v>
      </c>
      <c r="C243" s="19" t="s">
        <v>38</v>
      </c>
      <c r="D243" s="20"/>
      <c r="E243" s="21"/>
      <c r="F243" s="21" t="s">
        <v>24</v>
      </c>
      <c r="G243" s="21">
        <v>1</v>
      </c>
      <c r="H243" s="21">
        <f>VLOOKUP(C243,'单价表-木门'!$C:$F,4,FALSE)</f>
        <v>14.5</v>
      </c>
      <c r="I243" s="48">
        <f t="shared" si="20"/>
        <v>14.5</v>
      </c>
      <c r="J243" s="53"/>
    </row>
    <row r="244" customHeight="1" outlineLevel="1" spans="1:10">
      <c r="A244" s="15"/>
      <c r="B244" s="16" t="s">
        <v>86</v>
      </c>
      <c r="C244" s="16"/>
      <c r="D244" s="16"/>
      <c r="E244" s="16"/>
      <c r="F244" s="16"/>
      <c r="G244" s="16"/>
      <c r="H244" s="16"/>
      <c r="I244" s="46">
        <f>SUM(I242:I243)</f>
        <v>838</v>
      </c>
      <c r="J244" s="53"/>
    </row>
    <row r="245" customHeight="1" outlineLevel="1" spans="1:10">
      <c r="A245" s="15">
        <v>4</v>
      </c>
      <c r="B245" s="18" t="s">
        <v>58</v>
      </c>
      <c r="C245" s="18"/>
      <c r="D245" s="18"/>
      <c r="E245" s="18"/>
      <c r="F245" s="18"/>
      <c r="G245" s="18"/>
      <c r="H245" s="18"/>
      <c r="I245" s="21">
        <f>VLOOKUP(B245,'单价表-木门'!$B:$F,5,FALSE)+200</f>
        <v>770</v>
      </c>
      <c r="J245" s="53"/>
    </row>
    <row r="246" customHeight="1" outlineLevel="1" spans="1:10">
      <c r="A246" s="15">
        <v>5</v>
      </c>
      <c r="B246" s="18" t="s">
        <v>60</v>
      </c>
      <c r="C246" s="18"/>
      <c r="D246" s="18"/>
      <c r="E246" s="18"/>
      <c r="F246" s="18"/>
      <c r="G246" s="18"/>
      <c r="H246" s="18"/>
      <c r="I246" s="21">
        <f>VLOOKUP(B246,'单价表-木门'!$B:$F,5,FALSE)</f>
        <v>34</v>
      </c>
      <c r="J246" s="53"/>
    </row>
    <row r="247" customHeight="1" outlineLevel="1" spans="1:10">
      <c r="A247" s="15">
        <v>6</v>
      </c>
      <c r="B247" s="23" t="s">
        <v>88</v>
      </c>
      <c r="C247" s="26"/>
      <c r="D247" s="26"/>
      <c r="E247" s="26"/>
      <c r="F247" s="26"/>
      <c r="G247" s="24"/>
      <c r="H247" s="27"/>
      <c r="I247" s="46" t="e">
        <f>I237+I240+I244+I245+I246</f>
        <v>#N/A</v>
      </c>
      <c r="J247" s="54"/>
    </row>
    <row r="248" customHeight="1" outlineLevel="1" spans="1:10">
      <c r="A248" s="15">
        <v>7</v>
      </c>
      <c r="B248" s="23" t="s">
        <v>61</v>
      </c>
      <c r="C248" s="26"/>
      <c r="D248" s="26"/>
      <c r="E248" s="26"/>
      <c r="F248" s="26"/>
      <c r="G248" s="24"/>
      <c r="H248" s="28">
        <v>0.03</v>
      </c>
      <c r="I248" s="48" t="e">
        <f>I247*H248</f>
        <v>#N/A</v>
      </c>
      <c r="J248" s="53"/>
    </row>
    <row r="249" customHeight="1" outlineLevel="1" spans="1:10">
      <c r="A249" s="15">
        <v>8</v>
      </c>
      <c r="B249" s="23" t="s">
        <v>63</v>
      </c>
      <c r="C249" s="26"/>
      <c r="D249" s="26"/>
      <c r="E249" s="26"/>
      <c r="F249" s="26"/>
      <c r="G249" s="24"/>
      <c r="H249" s="28">
        <v>0.13</v>
      </c>
      <c r="I249" s="48" t="e">
        <f>+(I247+I248)*H249</f>
        <v>#N/A</v>
      </c>
      <c r="J249" s="53"/>
    </row>
    <row r="250" customHeight="1" spans="1:10">
      <c r="A250" s="15">
        <v>9</v>
      </c>
      <c r="B250" s="29" t="s">
        <v>76</v>
      </c>
      <c r="C250" s="30"/>
      <c r="D250" s="30"/>
      <c r="E250" s="30"/>
      <c r="F250" s="30"/>
      <c r="G250" s="31"/>
      <c r="H250" s="32"/>
      <c r="I250" s="55" t="e">
        <f>+I249+I248+I247</f>
        <v>#N/A</v>
      </c>
      <c r="J250" s="16"/>
    </row>
    <row r="251" customHeight="1" spans="1:10">
      <c r="A251" s="15">
        <v>10</v>
      </c>
      <c r="B251" s="33" t="s">
        <v>89</v>
      </c>
      <c r="C251" s="34"/>
      <c r="D251" s="34"/>
      <c r="E251" s="34"/>
      <c r="F251" s="34"/>
      <c r="G251" s="35"/>
      <c r="H251" s="36"/>
      <c r="I251" s="55" t="e">
        <f>+I250/I231</f>
        <v>#N/A</v>
      </c>
      <c r="J251" s="57"/>
    </row>
    <row r="252" customHeight="1" spans="1:10">
      <c r="A252" s="7" t="s">
        <v>114</v>
      </c>
      <c r="B252" s="7"/>
      <c r="C252" s="7"/>
      <c r="D252" s="7"/>
      <c r="E252" s="7"/>
      <c r="F252" s="7"/>
      <c r="G252" s="7"/>
      <c r="H252" s="7"/>
      <c r="I252" s="38"/>
      <c r="J252" s="7"/>
    </row>
    <row r="253" customHeight="1" spans="1:12">
      <c r="A253" s="8" t="s">
        <v>66</v>
      </c>
      <c r="B253" s="8"/>
      <c r="C253" s="9"/>
      <c r="D253" s="10"/>
      <c r="E253" s="8" t="s">
        <v>68</v>
      </c>
      <c r="F253" s="8" t="s">
        <v>115</v>
      </c>
      <c r="G253" s="8"/>
      <c r="H253" s="8" t="s">
        <v>70</v>
      </c>
      <c r="I253" s="108">
        <f>1*2.88</f>
        <v>2.88</v>
      </c>
      <c r="J253" s="109"/>
      <c r="K253" s="40"/>
      <c r="L253" s="41"/>
    </row>
    <row r="254" customHeight="1" outlineLevel="1" spans="1:12">
      <c r="A254" s="11" t="s">
        <v>0</v>
      </c>
      <c r="B254" s="12" t="s">
        <v>71</v>
      </c>
      <c r="C254" s="13" t="s">
        <v>72</v>
      </c>
      <c r="D254" s="14"/>
      <c r="E254" s="12" t="s">
        <v>73</v>
      </c>
      <c r="F254" s="12" t="s">
        <v>74</v>
      </c>
      <c r="G254" s="12" t="s">
        <v>75</v>
      </c>
      <c r="H254" s="12" t="s">
        <v>4</v>
      </c>
      <c r="I254" s="42" t="s">
        <v>76</v>
      </c>
      <c r="J254" s="43" t="s">
        <v>3</v>
      </c>
      <c r="K254" s="44"/>
      <c r="L254" s="45"/>
    </row>
    <row r="255" customHeight="1" outlineLevel="1" spans="1:12">
      <c r="A255" s="15">
        <v>1</v>
      </c>
      <c r="B255" s="16" t="s">
        <v>77</v>
      </c>
      <c r="C255" s="16"/>
      <c r="D255" s="16"/>
      <c r="E255" s="16"/>
      <c r="F255" s="16"/>
      <c r="G255" s="16"/>
      <c r="H255" s="16"/>
      <c r="I255" s="46"/>
      <c r="J255" s="47"/>
      <c r="K255" s="44"/>
      <c r="L255" s="45"/>
    </row>
    <row r="256" customHeight="1" outlineLevel="1" spans="1:12">
      <c r="A256" s="17">
        <v>1.1</v>
      </c>
      <c r="B256" s="18" t="s">
        <v>43</v>
      </c>
      <c r="C256" s="19" t="s">
        <v>44</v>
      </c>
      <c r="D256" s="20"/>
      <c r="E256" s="21"/>
      <c r="F256" s="21" t="s">
        <v>7</v>
      </c>
      <c r="G256" s="21">
        <v>2.88</v>
      </c>
      <c r="H256" s="21">
        <f>VLOOKUP(C256,'单价表-木门'!$C:$F,4,FALSE)</f>
        <v>232</v>
      </c>
      <c r="I256" s="48">
        <f t="shared" ref="I256:I258" si="21">G256*H256</f>
        <v>668.16</v>
      </c>
      <c r="J256" s="49"/>
      <c r="K256" s="44"/>
      <c r="L256" s="45"/>
    </row>
    <row r="257" customHeight="1" outlineLevel="1" spans="1:12">
      <c r="A257" s="17">
        <v>2.1</v>
      </c>
      <c r="B257" s="22" t="s">
        <v>46</v>
      </c>
      <c r="C257" s="58" t="s">
        <v>47</v>
      </c>
      <c r="D257" s="59"/>
      <c r="E257" s="21"/>
      <c r="F257" s="21" t="s">
        <v>11</v>
      </c>
      <c r="G257" s="21">
        <f>G256</f>
        <v>2.88</v>
      </c>
      <c r="H257" s="21">
        <f>VLOOKUP(C257,'单价表-木门'!$C:$F,4,FALSE)</f>
        <v>290</v>
      </c>
      <c r="I257" s="48">
        <f t="shared" si="21"/>
        <v>835.2</v>
      </c>
      <c r="J257" s="50" t="s">
        <v>79</v>
      </c>
      <c r="K257" s="51"/>
      <c r="L257" s="52"/>
    </row>
    <row r="258" customHeight="1" outlineLevel="1" spans="1:10">
      <c r="A258" s="17">
        <v>3.1</v>
      </c>
      <c r="B258" s="18" t="s">
        <v>48</v>
      </c>
      <c r="C258" s="19" t="s">
        <v>49</v>
      </c>
      <c r="D258" s="20"/>
      <c r="E258" s="21"/>
      <c r="F258" s="21" t="s">
        <v>15</v>
      </c>
      <c r="G258" s="21">
        <v>2.2</v>
      </c>
      <c r="H258" s="21">
        <f>VLOOKUP(C258,'单价表-木门'!$C:$F,4,FALSE)</f>
        <v>33</v>
      </c>
      <c r="I258" s="48">
        <f t="shared" si="21"/>
        <v>72.6</v>
      </c>
      <c r="J258" s="49"/>
    </row>
    <row r="259" customHeight="1" outlineLevel="1" spans="1:10">
      <c r="A259" s="15"/>
      <c r="B259" s="16" t="s">
        <v>82</v>
      </c>
      <c r="C259" s="16"/>
      <c r="D259" s="16"/>
      <c r="E259" s="16"/>
      <c r="F259" s="16"/>
      <c r="G259" s="16"/>
      <c r="H259" s="16"/>
      <c r="I259" s="46">
        <f>SUM(I256:I258)</f>
        <v>1575.96</v>
      </c>
      <c r="J259" s="53"/>
    </row>
    <row r="260" customHeight="1" outlineLevel="1" spans="1:10">
      <c r="A260" s="15">
        <v>2</v>
      </c>
      <c r="B260" s="16" t="s">
        <v>83</v>
      </c>
      <c r="C260" s="16"/>
      <c r="D260" s="16"/>
      <c r="E260" s="16"/>
      <c r="F260" s="16"/>
      <c r="G260" s="16"/>
      <c r="H260" s="16"/>
      <c r="I260" s="46"/>
      <c r="J260" s="54"/>
    </row>
    <row r="261" customHeight="1" outlineLevel="1" spans="1:10">
      <c r="A261" s="17">
        <v>2.1</v>
      </c>
      <c r="B261" s="18" t="s">
        <v>104</v>
      </c>
      <c r="C261" s="19" t="s">
        <v>51</v>
      </c>
      <c r="D261" s="20"/>
      <c r="E261" s="21"/>
      <c r="F261" s="21" t="s">
        <v>24</v>
      </c>
      <c r="G261" s="21">
        <v>1</v>
      </c>
      <c r="H261" s="21">
        <f>VLOOKUP(C261,'单价表-木门'!$C:$F,4,FALSE)</f>
        <v>82</v>
      </c>
      <c r="I261" s="48">
        <f t="shared" ref="I261:I265" si="22">G261*H261</f>
        <v>82</v>
      </c>
      <c r="J261" s="53"/>
    </row>
    <row r="262" customHeight="1" outlineLevel="1" spans="1:10">
      <c r="A262" s="15"/>
      <c r="B262" s="16" t="s">
        <v>84</v>
      </c>
      <c r="C262" s="16"/>
      <c r="D262" s="16"/>
      <c r="E262" s="16"/>
      <c r="F262" s="16"/>
      <c r="G262" s="16"/>
      <c r="H262" s="16"/>
      <c r="I262" s="46">
        <f>SUM(I261:I261)</f>
        <v>82</v>
      </c>
      <c r="J262" s="53"/>
    </row>
    <row r="263" customHeight="1" outlineLevel="1" spans="1:10">
      <c r="A263" s="25">
        <v>3</v>
      </c>
      <c r="B263" s="16" t="s">
        <v>85</v>
      </c>
      <c r="C263" s="16"/>
      <c r="D263" s="16"/>
      <c r="E263" s="16"/>
      <c r="F263" s="16"/>
      <c r="G263" s="16"/>
      <c r="H263" s="16"/>
      <c r="I263" s="46"/>
      <c r="J263" s="54"/>
    </row>
    <row r="264" customHeight="1" outlineLevel="1" spans="1:10">
      <c r="A264" s="21">
        <v>3.1</v>
      </c>
      <c r="B264" s="61" t="s">
        <v>55</v>
      </c>
      <c r="C264" s="58" t="s">
        <v>56</v>
      </c>
      <c r="D264" s="59"/>
      <c r="E264" s="18"/>
      <c r="F264" s="21" t="s">
        <v>11</v>
      </c>
      <c r="G264" s="21">
        <v>2.27</v>
      </c>
      <c r="H264" s="21">
        <f>VLOOKUP(C264,'单价表-木门'!$C:$F,4,FALSE)</f>
        <v>270</v>
      </c>
      <c r="I264" s="48">
        <f t="shared" si="22"/>
        <v>612.9</v>
      </c>
      <c r="J264" s="53"/>
    </row>
    <row r="265" customHeight="1" outlineLevel="1" spans="1:10">
      <c r="A265" s="21">
        <v>3.2</v>
      </c>
      <c r="B265" s="18" t="s">
        <v>30</v>
      </c>
      <c r="C265" s="19" t="s">
        <v>38</v>
      </c>
      <c r="D265" s="20"/>
      <c r="E265" s="21"/>
      <c r="F265" s="21" t="s">
        <v>24</v>
      </c>
      <c r="G265" s="21">
        <v>1</v>
      </c>
      <c r="H265" s="21">
        <f>VLOOKUP(C265,'单价表-木门'!$C:$F,4,FALSE)</f>
        <v>14.5</v>
      </c>
      <c r="I265" s="48">
        <f t="shared" si="22"/>
        <v>14.5</v>
      </c>
      <c r="J265" s="53"/>
    </row>
    <row r="266" customHeight="1" outlineLevel="1" spans="1:10">
      <c r="A266" s="15"/>
      <c r="B266" s="16" t="s">
        <v>86</v>
      </c>
      <c r="C266" s="16"/>
      <c r="D266" s="16"/>
      <c r="E266" s="16"/>
      <c r="F266" s="16"/>
      <c r="G266" s="16"/>
      <c r="H266" s="16"/>
      <c r="I266" s="46">
        <f>SUM(I264:I265)</f>
        <v>627.4</v>
      </c>
      <c r="J266" s="53"/>
    </row>
    <row r="267" customHeight="1" outlineLevel="1" spans="1:10">
      <c r="A267" s="15">
        <v>4</v>
      </c>
      <c r="B267" s="18" t="s">
        <v>58</v>
      </c>
      <c r="C267" s="18"/>
      <c r="D267" s="18"/>
      <c r="E267" s="18"/>
      <c r="F267" s="18"/>
      <c r="G267" s="18"/>
      <c r="H267" s="18"/>
      <c r="I267" s="21">
        <f>VLOOKUP(B267,'单价表-木门'!$B:$F,5,FALSE)</f>
        <v>570</v>
      </c>
      <c r="J267" s="53"/>
    </row>
    <row r="268" customHeight="1" outlineLevel="1" spans="1:10">
      <c r="A268" s="15">
        <v>5</v>
      </c>
      <c r="B268" s="18" t="s">
        <v>60</v>
      </c>
      <c r="C268" s="18"/>
      <c r="D268" s="18"/>
      <c r="E268" s="18"/>
      <c r="F268" s="18"/>
      <c r="G268" s="18"/>
      <c r="H268" s="18"/>
      <c r="I268" s="21">
        <f>VLOOKUP(B268,'单价表-木门'!$B:$F,5,FALSE)</f>
        <v>34</v>
      </c>
      <c r="J268" s="53"/>
    </row>
    <row r="269" customHeight="1" outlineLevel="1" spans="1:10">
      <c r="A269" s="15">
        <v>6</v>
      </c>
      <c r="B269" s="23" t="s">
        <v>88</v>
      </c>
      <c r="C269" s="26"/>
      <c r="D269" s="26"/>
      <c r="E269" s="26"/>
      <c r="F269" s="26"/>
      <c r="G269" s="24"/>
      <c r="H269" s="27"/>
      <c r="I269" s="46">
        <f>I259+I262+I266+I267+I268</f>
        <v>2889.36</v>
      </c>
      <c r="J269" s="54"/>
    </row>
    <row r="270" customHeight="1" outlineLevel="1" spans="1:10">
      <c r="A270" s="15">
        <v>7</v>
      </c>
      <c r="B270" s="23" t="s">
        <v>61</v>
      </c>
      <c r="C270" s="26"/>
      <c r="D270" s="26"/>
      <c r="E270" s="26"/>
      <c r="F270" s="26"/>
      <c r="G270" s="24"/>
      <c r="H270" s="28">
        <v>0.03</v>
      </c>
      <c r="I270" s="48">
        <f>I269*H270</f>
        <v>86.6808</v>
      </c>
      <c r="J270" s="53"/>
    </row>
    <row r="271" customHeight="1" outlineLevel="1" spans="1:10">
      <c r="A271" s="15">
        <v>8</v>
      </c>
      <c r="B271" s="23" t="s">
        <v>63</v>
      </c>
      <c r="C271" s="26"/>
      <c r="D271" s="26"/>
      <c r="E271" s="26"/>
      <c r="F271" s="26"/>
      <c r="G271" s="24"/>
      <c r="H271" s="28">
        <v>0.13</v>
      </c>
      <c r="I271" s="48">
        <f>+(I269+I270)*H271</f>
        <v>386.885304</v>
      </c>
      <c r="J271" s="53"/>
    </row>
    <row r="272" customHeight="1" spans="1:10">
      <c r="A272" s="15">
        <v>9</v>
      </c>
      <c r="B272" s="29" t="s">
        <v>76</v>
      </c>
      <c r="C272" s="30"/>
      <c r="D272" s="30"/>
      <c r="E272" s="30"/>
      <c r="F272" s="30"/>
      <c r="G272" s="31"/>
      <c r="H272" s="32"/>
      <c r="I272" s="55">
        <f>+I271+I270+I269</f>
        <v>3362.926104</v>
      </c>
      <c r="J272" s="16"/>
    </row>
    <row r="273" customHeight="1" spans="1:10">
      <c r="A273" s="15">
        <v>10</v>
      </c>
      <c r="B273" s="33" t="s">
        <v>89</v>
      </c>
      <c r="C273" s="34"/>
      <c r="D273" s="34"/>
      <c r="E273" s="34"/>
      <c r="F273" s="34"/>
      <c r="G273" s="35"/>
      <c r="H273" s="36"/>
      <c r="I273" s="55">
        <f>+I272/I253</f>
        <v>1167.682675</v>
      </c>
      <c r="J273" s="5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XFC273" etc:filterBottomFollowUsedRange="0">
    <extLst/>
  </autoFilter>
  <mergeCells count="317">
    <mergeCell ref="A1:J1"/>
    <mergeCell ref="A2:J2"/>
    <mergeCell ref="A3:B3"/>
    <mergeCell ref="C3:D3"/>
    <mergeCell ref="F3:G3"/>
    <mergeCell ref="I3:J3"/>
    <mergeCell ref="C4:D4"/>
    <mergeCell ref="B5:J5"/>
    <mergeCell ref="C6:D6"/>
    <mergeCell ref="C7:D7"/>
    <mergeCell ref="C8:D8"/>
    <mergeCell ref="C9:D9"/>
    <mergeCell ref="C10:D10"/>
    <mergeCell ref="B11:H11"/>
    <mergeCell ref="B12:J12"/>
    <mergeCell ref="C13:D13"/>
    <mergeCell ref="C14:D14"/>
    <mergeCell ref="C15:D15"/>
    <mergeCell ref="C16:D16"/>
    <mergeCell ref="B17:H17"/>
    <mergeCell ref="B18:J18"/>
    <mergeCell ref="C19:D19"/>
    <mergeCell ref="C20:D20"/>
    <mergeCell ref="C21:D21"/>
    <mergeCell ref="B22:H22"/>
    <mergeCell ref="B23:H23"/>
    <mergeCell ref="B24:H24"/>
    <mergeCell ref="B25:G25"/>
    <mergeCell ref="B26:G26"/>
    <mergeCell ref="B27:G27"/>
    <mergeCell ref="B28:G28"/>
    <mergeCell ref="B29:G29"/>
    <mergeCell ref="A30:J30"/>
    <mergeCell ref="A31:B31"/>
    <mergeCell ref="C31:D31"/>
    <mergeCell ref="F31:G31"/>
    <mergeCell ref="I31:J31"/>
    <mergeCell ref="C32:D32"/>
    <mergeCell ref="B33:J33"/>
    <mergeCell ref="C34:D34"/>
    <mergeCell ref="C35:D35"/>
    <mergeCell ref="C36:D36"/>
    <mergeCell ref="C37:D37"/>
    <mergeCell ref="C38:D38"/>
    <mergeCell ref="B39:H39"/>
    <mergeCell ref="B40:J40"/>
    <mergeCell ref="C41:D41"/>
    <mergeCell ref="C42:D42"/>
    <mergeCell ref="C43:D43"/>
    <mergeCell ref="C44:D44"/>
    <mergeCell ref="B45:H45"/>
    <mergeCell ref="B46:J46"/>
    <mergeCell ref="C47:D47"/>
    <mergeCell ref="C48:D48"/>
    <mergeCell ref="C49:D49"/>
    <mergeCell ref="B50:H50"/>
    <mergeCell ref="B51:H51"/>
    <mergeCell ref="B52:H52"/>
    <mergeCell ref="B53:G53"/>
    <mergeCell ref="B54:G54"/>
    <mergeCell ref="B55:G55"/>
    <mergeCell ref="B56:G56"/>
    <mergeCell ref="B57:G57"/>
    <mergeCell ref="A58:J58"/>
    <mergeCell ref="A59:B59"/>
    <mergeCell ref="C59:D59"/>
    <mergeCell ref="F59:G59"/>
    <mergeCell ref="I59:J59"/>
    <mergeCell ref="C60:D60"/>
    <mergeCell ref="B61:J61"/>
    <mergeCell ref="C62:D62"/>
    <mergeCell ref="C63:D63"/>
    <mergeCell ref="C64:D64"/>
    <mergeCell ref="C65:D65"/>
    <mergeCell ref="C66:D66"/>
    <mergeCell ref="B67:H67"/>
    <mergeCell ref="B68:J68"/>
    <mergeCell ref="C69:D69"/>
    <mergeCell ref="C70:D70"/>
    <mergeCell ref="C71:D71"/>
    <mergeCell ref="C72:D72"/>
    <mergeCell ref="B73:H73"/>
    <mergeCell ref="B74:J74"/>
    <mergeCell ref="C75:D75"/>
    <mergeCell ref="C76:D76"/>
    <mergeCell ref="C77:D77"/>
    <mergeCell ref="B78:H78"/>
    <mergeCell ref="B79:H79"/>
    <mergeCell ref="B80:H80"/>
    <mergeCell ref="B81:G81"/>
    <mergeCell ref="B82:G82"/>
    <mergeCell ref="B83:G83"/>
    <mergeCell ref="B84:G84"/>
    <mergeCell ref="B85:G85"/>
    <mergeCell ref="A86:J86"/>
    <mergeCell ref="A87:B87"/>
    <mergeCell ref="C87:D87"/>
    <mergeCell ref="F87:G87"/>
    <mergeCell ref="I87:J87"/>
    <mergeCell ref="C88:D88"/>
    <mergeCell ref="B89:J89"/>
    <mergeCell ref="C90:D90"/>
    <mergeCell ref="C91:D91"/>
    <mergeCell ref="C92:D92"/>
    <mergeCell ref="C93:D93"/>
    <mergeCell ref="C94:D94"/>
    <mergeCell ref="B95:H95"/>
    <mergeCell ref="B96:J96"/>
    <mergeCell ref="C97:D97"/>
    <mergeCell ref="C98:D98"/>
    <mergeCell ref="C99:D99"/>
    <mergeCell ref="C100:D100"/>
    <mergeCell ref="B101:H101"/>
    <mergeCell ref="B102:J102"/>
    <mergeCell ref="C103:D103"/>
    <mergeCell ref="C104:D104"/>
    <mergeCell ref="C105:D105"/>
    <mergeCell ref="B106:H106"/>
    <mergeCell ref="B107:H107"/>
    <mergeCell ref="B108:H108"/>
    <mergeCell ref="B109:G109"/>
    <mergeCell ref="B110:G110"/>
    <mergeCell ref="B111:G111"/>
    <mergeCell ref="B112:G112"/>
    <mergeCell ref="B113:G113"/>
    <mergeCell ref="A114:J114"/>
    <mergeCell ref="A115:B115"/>
    <mergeCell ref="C115:D115"/>
    <mergeCell ref="F115:G115"/>
    <mergeCell ref="I115:J115"/>
    <mergeCell ref="C116:D116"/>
    <mergeCell ref="B117:J117"/>
    <mergeCell ref="C118:D118"/>
    <mergeCell ref="C119:D119"/>
    <mergeCell ref="C120:D120"/>
    <mergeCell ref="C121:D121"/>
    <mergeCell ref="C122:D122"/>
    <mergeCell ref="B123:H123"/>
    <mergeCell ref="B124:J124"/>
    <mergeCell ref="C125:D125"/>
    <mergeCell ref="C126:D126"/>
    <mergeCell ref="C127:D127"/>
    <mergeCell ref="C128:D128"/>
    <mergeCell ref="B129:H129"/>
    <mergeCell ref="B130:J130"/>
    <mergeCell ref="C131:D131"/>
    <mergeCell ref="C132:D132"/>
    <mergeCell ref="C133:D133"/>
    <mergeCell ref="B134:H134"/>
    <mergeCell ref="B135:H135"/>
    <mergeCell ref="B136:H136"/>
    <mergeCell ref="B137:G137"/>
    <mergeCell ref="B138:G138"/>
    <mergeCell ref="B139:G139"/>
    <mergeCell ref="B140:G140"/>
    <mergeCell ref="B141:G141"/>
    <mergeCell ref="A142:J142"/>
    <mergeCell ref="A143:B143"/>
    <mergeCell ref="C143:D143"/>
    <mergeCell ref="F143:G143"/>
    <mergeCell ref="I143:J143"/>
    <mergeCell ref="C144:D144"/>
    <mergeCell ref="B145:J145"/>
    <mergeCell ref="C146:D146"/>
    <mergeCell ref="C147:D147"/>
    <mergeCell ref="C148:D148"/>
    <mergeCell ref="B149:H149"/>
    <mergeCell ref="B150:J150"/>
    <mergeCell ref="C151:D151"/>
    <mergeCell ref="B152:H152"/>
    <mergeCell ref="B153:J153"/>
    <mergeCell ref="C154:D154"/>
    <mergeCell ref="C155:D155"/>
    <mergeCell ref="B156:H156"/>
    <mergeCell ref="B157:H157"/>
    <mergeCell ref="B158:H158"/>
    <mergeCell ref="B159:G159"/>
    <mergeCell ref="B160:G160"/>
    <mergeCell ref="B161:G161"/>
    <mergeCell ref="B162:G162"/>
    <mergeCell ref="B163:G163"/>
    <mergeCell ref="A164:J164"/>
    <mergeCell ref="A165:B165"/>
    <mergeCell ref="C165:D165"/>
    <mergeCell ref="F165:G165"/>
    <mergeCell ref="I165:J165"/>
    <mergeCell ref="C166:D166"/>
    <mergeCell ref="B167:J167"/>
    <mergeCell ref="C168:D168"/>
    <mergeCell ref="C169:D169"/>
    <mergeCell ref="C170:D170"/>
    <mergeCell ref="B171:H171"/>
    <mergeCell ref="B172:J172"/>
    <mergeCell ref="C173:D173"/>
    <mergeCell ref="B174:H174"/>
    <mergeCell ref="B175:J175"/>
    <mergeCell ref="C176:D176"/>
    <mergeCell ref="C177:D177"/>
    <mergeCell ref="B178:H178"/>
    <mergeCell ref="B179:H179"/>
    <mergeCell ref="B180:H180"/>
    <mergeCell ref="B181:G181"/>
    <mergeCell ref="B182:G182"/>
    <mergeCell ref="B183:G183"/>
    <mergeCell ref="B184:G184"/>
    <mergeCell ref="B185:G185"/>
    <mergeCell ref="A186:J186"/>
    <mergeCell ref="A187:B187"/>
    <mergeCell ref="C187:D187"/>
    <mergeCell ref="F187:G187"/>
    <mergeCell ref="I187:J187"/>
    <mergeCell ref="C188:D188"/>
    <mergeCell ref="B189:J189"/>
    <mergeCell ref="C190:D190"/>
    <mergeCell ref="C191:D191"/>
    <mergeCell ref="C192:D192"/>
    <mergeCell ref="B193:H193"/>
    <mergeCell ref="B194:J194"/>
    <mergeCell ref="C195:D195"/>
    <mergeCell ref="B196:H196"/>
    <mergeCell ref="B197:J197"/>
    <mergeCell ref="C198:D198"/>
    <mergeCell ref="C199:D199"/>
    <mergeCell ref="B200:H200"/>
    <mergeCell ref="B201:H201"/>
    <mergeCell ref="B202:H202"/>
    <mergeCell ref="B203:G203"/>
    <mergeCell ref="B204:G204"/>
    <mergeCell ref="B205:G205"/>
    <mergeCell ref="B206:G206"/>
    <mergeCell ref="B207:G207"/>
    <mergeCell ref="A208:J208"/>
    <mergeCell ref="A209:B209"/>
    <mergeCell ref="C209:D209"/>
    <mergeCell ref="F209:G209"/>
    <mergeCell ref="I209:J209"/>
    <mergeCell ref="C210:D210"/>
    <mergeCell ref="B211:J211"/>
    <mergeCell ref="C212:D212"/>
    <mergeCell ref="C213:D213"/>
    <mergeCell ref="C214:D214"/>
    <mergeCell ref="B215:H215"/>
    <mergeCell ref="B216:J216"/>
    <mergeCell ref="C217:D217"/>
    <mergeCell ref="B218:H218"/>
    <mergeCell ref="B219:J219"/>
    <mergeCell ref="C220:D220"/>
    <mergeCell ref="C221:D221"/>
    <mergeCell ref="B222:H222"/>
    <mergeCell ref="B223:H223"/>
    <mergeCell ref="B224:H224"/>
    <mergeCell ref="B225:G225"/>
    <mergeCell ref="B226:G226"/>
    <mergeCell ref="B227:G227"/>
    <mergeCell ref="B228:G228"/>
    <mergeCell ref="B229:G229"/>
    <mergeCell ref="A230:J230"/>
    <mergeCell ref="A231:B231"/>
    <mergeCell ref="C231:D231"/>
    <mergeCell ref="F231:G231"/>
    <mergeCell ref="I231:J231"/>
    <mergeCell ref="C232:D232"/>
    <mergeCell ref="B233:J233"/>
    <mergeCell ref="C234:D234"/>
    <mergeCell ref="C235:D235"/>
    <mergeCell ref="C236:D236"/>
    <mergeCell ref="B237:H237"/>
    <mergeCell ref="B238:J238"/>
    <mergeCell ref="C239:D239"/>
    <mergeCell ref="B240:H240"/>
    <mergeCell ref="B241:J241"/>
    <mergeCell ref="C242:D242"/>
    <mergeCell ref="C243:D243"/>
    <mergeCell ref="B244:H244"/>
    <mergeCell ref="B245:H245"/>
    <mergeCell ref="B246:H246"/>
    <mergeCell ref="B247:G247"/>
    <mergeCell ref="B248:G248"/>
    <mergeCell ref="B249:G249"/>
    <mergeCell ref="B250:G250"/>
    <mergeCell ref="B251:G251"/>
    <mergeCell ref="A252:J252"/>
    <mergeCell ref="A253:B253"/>
    <mergeCell ref="C253:D253"/>
    <mergeCell ref="F253:G253"/>
    <mergeCell ref="I253:J253"/>
    <mergeCell ref="C254:D254"/>
    <mergeCell ref="B255:J255"/>
    <mergeCell ref="C256:D256"/>
    <mergeCell ref="C257:D257"/>
    <mergeCell ref="C258:D258"/>
    <mergeCell ref="B259:H259"/>
    <mergeCell ref="B260:J260"/>
    <mergeCell ref="C261:D261"/>
    <mergeCell ref="B262:H262"/>
    <mergeCell ref="B263:J263"/>
    <mergeCell ref="C264:D264"/>
    <mergeCell ref="C265:D265"/>
    <mergeCell ref="B266:H266"/>
    <mergeCell ref="B267:H267"/>
    <mergeCell ref="B268:H268"/>
    <mergeCell ref="B269:G269"/>
    <mergeCell ref="B270:G270"/>
    <mergeCell ref="B271:G271"/>
    <mergeCell ref="B272:G272"/>
    <mergeCell ref="B273:G273"/>
    <mergeCell ref="K3:L8"/>
    <mergeCell ref="K31:L35"/>
    <mergeCell ref="K59:L63"/>
    <mergeCell ref="K87:L91"/>
    <mergeCell ref="K115:L119"/>
    <mergeCell ref="K143:L147"/>
    <mergeCell ref="K165:L169"/>
    <mergeCell ref="K187:L191"/>
    <mergeCell ref="K209:L213"/>
    <mergeCell ref="K231:L235"/>
    <mergeCell ref="K253:L257"/>
  </mergeCells>
  <pageMargins left="0.25" right="0.25" top="0.75" bottom="0.75" header="0.298611111111111" footer="0.298611111111111"/>
  <pageSetup paperSize="9" scale="8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view="pageBreakPreview" zoomScale="115" zoomScaleNormal="100" workbookViewId="0">
      <selection activeCell="J15" sqref="J15"/>
    </sheetView>
  </sheetViews>
  <sheetFormatPr defaultColWidth="16.7142857142857" defaultRowHeight="40" customHeight="1" outlineLevelCol="7"/>
  <cols>
    <col min="1" max="4" width="10.7142857142857" customWidth="1"/>
    <col min="5" max="7" width="15.7142857142857" style="87" customWidth="1"/>
    <col min="8" max="9" width="15.7142857142857" customWidth="1"/>
    <col min="10" max="16377" width="16.7142857142857" customWidth="1"/>
  </cols>
  <sheetData>
    <row r="1" customHeight="1" spans="1:8">
      <c r="A1" s="88" t="s">
        <v>116</v>
      </c>
      <c r="B1" s="88"/>
      <c r="C1" s="89" t="s">
        <v>117</v>
      </c>
      <c r="D1" s="90"/>
      <c r="E1" s="90"/>
      <c r="F1" s="90"/>
      <c r="G1" s="90"/>
      <c r="H1" s="91"/>
    </row>
    <row r="2" ht="45" customHeight="1" spans="1:8">
      <c r="A2" s="92" t="s">
        <v>118</v>
      </c>
      <c r="B2" s="92"/>
      <c r="C2" s="92"/>
      <c r="D2" s="92"/>
      <c r="E2" s="93"/>
      <c r="F2" s="93"/>
      <c r="G2" s="93"/>
      <c r="H2" s="92"/>
    </row>
    <row r="3" ht="62" customHeight="1" spans="1:8">
      <c r="A3" s="94" t="s">
        <v>0</v>
      </c>
      <c r="B3" s="95" t="s">
        <v>119</v>
      </c>
      <c r="C3" s="96" t="s">
        <v>120</v>
      </c>
      <c r="D3" s="96" t="s">
        <v>121</v>
      </c>
      <c r="E3" s="97" t="s">
        <v>122</v>
      </c>
      <c r="F3" s="97" t="s">
        <v>123</v>
      </c>
      <c r="G3" s="97" t="s">
        <v>124</v>
      </c>
      <c r="H3" s="98" t="s">
        <v>125</v>
      </c>
    </row>
    <row r="4" customHeight="1" spans="1:8">
      <c r="A4" s="99">
        <v>1</v>
      </c>
      <c r="B4" s="99" t="s">
        <v>126</v>
      </c>
      <c r="C4" s="99">
        <v>4</v>
      </c>
      <c r="D4" s="99">
        <v>4</v>
      </c>
      <c r="E4" s="100">
        <f>+'02（方案2）、《价格清单-门》'!I15</f>
        <v>16139.6243872</v>
      </c>
      <c r="F4" s="100">
        <f t="shared" ref="F4:F13" si="0">+C4*E4</f>
        <v>64558.4975488</v>
      </c>
      <c r="G4" s="100">
        <f t="shared" ref="G4:G13" si="1">+D4*E4</f>
        <v>64558.4975488</v>
      </c>
      <c r="H4" s="101"/>
    </row>
    <row r="5" customHeight="1" spans="1:8">
      <c r="A5" s="99">
        <v>2</v>
      </c>
      <c r="B5" s="99" t="s">
        <v>127</v>
      </c>
      <c r="C5" s="99">
        <v>4</v>
      </c>
      <c r="D5" s="99">
        <v>4</v>
      </c>
      <c r="E5" s="100">
        <f>+'02（方案2）、《价格清单-门》'!K15</f>
        <v>16139.6243872</v>
      </c>
      <c r="F5" s="100">
        <f t="shared" si="0"/>
        <v>64558.4975488</v>
      </c>
      <c r="G5" s="100">
        <f t="shared" si="1"/>
        <v>64558.4975488</v>
      </c>
      <c r="H5" s="101"/>
    </row>
    <row r="6" customHeight="1" spans="1:8">
      <c r="A6" s="99">
        <v>3</v>
      </c>
      <c r="B6" s="99" t="s">
        <v>128</v>
      </c>
      <c r="C6" s="99">
        <v>4</v>
      </c>
      <c r="D6" s="99">
        <v>4</v>
      </c>
      <c r="E6" s="100">
        <f>+'02（方案2）、《价格清单-门》'!M15</f>
        <v>10813.9924295265</v>
      </c>
      <c r="F6" s="100">
        <f t="shared" si="0"/>
        <v>43255.9697181061</v>
      </c>
      <c r="G6" s="100">
        <f t="shared" si="1"/>
        <v>43255.9697181061</v>
      </c>
      <c r="H6" s="99"/>
    </row>
    <row r="7" customHeight="1" spans="1:8">
      <c r="A7" s="99">
        <v>4</v>
      </c>
      <c r="B7" s="99" t="s">
        <v>129</v>
      </c>
      <c r="C7" s="99">
        <v>4</v>
      </c>
      <c r="D7" s="99">
        <v>2</v>
      </c>
      <c r="E7" s="100">
        <f>+'02（方案2）、《价格清单-门》'!O15</f>
        <v>16139.6243872</v>
      </c>
      <c r="F7" s="100">
        <f t="shared" si="0"/>
        <v>64558.4975488</v>
      </c>
      <c r="G7" s="100">
        <f t="shared" si="1"/>
        <v>32279.2487744</v>
      </c>
      <c r="H7" s="99"/>
    </row>
    <row r="8" customHeight="1" spans="1:8">
      <c r="A8" s="99">
        <v>5</v>
      </c>
      <c r="B8" s="99" t="s">
        <v>130</v>
      </c>
      <c r="C8" s="99">
        <v>4</v>
      </c>
      <c r="D8" s="99">
        <v>2</v>
      </c>
      <c r="E8" s="100">
        <f>+'02（方案2）、《价格清单-门》'!Q15</f>
        <v>16139.6243872</v>
      </c>
      <c r="F8" s="100">
        <f t="shared" si="0"/>
        <v>64558.4975488</v>
      </c>
      <c r="G8" s="100">
        <f t="shared" si="1"/>
        <v>32279.2487744</v>
      </c>
      <c r="H8" s="99"/>
    </row>
    <row r="9" customHeight="1" spans="1:8">
      <c r="A9" s="99">
        <v>6</v>
      </c>
      <c r="B9" s="99" t="s">
        <v>131</v>
      </c>
      <c r="C9" s="99">
        <v>4</v>
      </c>
      <c r="D9" s="99">
        <v>2</v>
      </c>
      <c r="E9" s="100">
        <f>+'02（方案2）、《价格清单-门》'!S15</f>
        <v>14677.4482425</v>
      </c>
      <c r="F9" s="100">
        <f t="shared" si="0"/>
        <v>58709.79297</v>
      </c>
      <c r="G9" s="100">
        <f t="shared" si="1"/>
        <v>29354.896485</v>
      </c>
      <c r="H9" s="99"/>
    </row>
    <row r="10" customHeight="1" spans="1:8">
      <c r="A10" s="99">
        <v>7</v>
      </c>
      <c r="B10" s="99" t="s">
        <v>132</v>
      </c>
      <c r="C10" s="99">
        <v>2</v>
      </c>
      <c r="D10" s="99">
        <v>2</v>
      </c>
      <c r="E10" s="100">
        <f>+'02（方案2）、《价格清单-门》'!U15</f>
        <v>11295.74552175</v>
      </c>
      <c r="F10" s="100">
        <f t="shared" si="0"/>
        <v>22591.4910435</v>
      </c>
      <c r="G10" s="100">
        <f t="shared" si="1"/>
        <v>22591.4910435</v>
      </c>
      <c r="H10" s="102"/>
    </row>
    <row r="11" customHeight="1" spans="1:8">
      <c r="A11" s="99">
        <v>8</v>
      </c>
      <c r="B11" s="103" t="s">
        <v>133</v>
      </c>
      <c r="C11" s="99">
        <v>4</v>
      </c>
      <c r="D11" s="99">
        <v>4</v>
      </c>
      <c r="E11" s="100">
        <f>+'02（方案2）、《价格清单-门》'!W15</f>
        <v>16236.51615245</v>
      </c>
      <c r="F11" s="100">
        <f t="shared" si="0"/>
        <v>64946.0646098</v>
      </c>
      <c r="G11" s="100">
        <f t="shared" si="1"/>
        <v>64946.0646098</v>
      </c>
      <c r="H11" s="102"/>
    </row>
    <row r="12" customHeight="1" spans="1:8">
      <c r="A12" s="99">
        <v>9</v>
      </c>
      <c r="B12" s="99" t="s">
        <v>134</v>
      </c>
      <c r="C12" s="99">
        <v>4</v>
      </c>
      <c r="D12" s="99">
        <v>4</v>
      </c>
      <c r="E12" s="100">
        <f>+'02（方案2）、《价格清单-门》'!Y15</f>
        <v>17004.6011141</v>
      </c>
      <c r="F12" s="100">
        <f t="shared" si="0"/>
        <v>68018.4044564</v>
      </c>
      <c r="G12" s="100">
        <f t="shared" si="1"/>
        <v>68018.4044564</v>
      </c>
      <c r="H12" s="99"/>
    </row>
    <row r="13" customHeight="1" spans="1:8">
      <c r="A13" s="99">
        <v>10</v>
      </c>
      <c r="B13" s="103" t="s">
        <v>135</v>
      </c>
      <c r="C13" s="99">
        <v>2</v>
      </c>
      <c r="D13" s="99">
        <v>2</v>
      </c>
      <c r="E13" s="100">
        <f>+'02（方案2）、《价格清单-门》'!AA15</f>
        <v>16236.51615245</v>
      </c>
      <c r="F13" s="100">
        <f t="shared" si="0"/>
        <v>32473.0323049</v>
      </c>
      <c r="G13" s="100">
        <f t="shared" si="1"/>
        <v>32473.0323049</v>
      </c>
      <c r="H13" s="99"/>
    </row>
    <row r="14" customHeight="1" spans="1:8">
      <c r="A14" s="104" t="s">
        <v>136</v>
      </c>
      <c r="B14" s="105"/>
      <c r="C14" s="106">
        <f t="shared" ref="C14:G14" si="2">SUM(C4:C13)</f>
        <v>36</v>
      </c>
      <c r="D14" s="106">
        <f t="shared" si="2"/>
        <v>30</v>
      </c>
      <c r="E14" s="100" t="s">
        <v>38</v>
      </c>
      <c r="F14" s="100">
        <f t="shared" si="2"/>
        <v>548228.745297906</v>
      </c>
      <c r="G14" s="100">
        <f t="shared" si="2"/>
        <v>454315.351264106</v>
      </c>
      <c r="H14" s="107">
        <f>G14+F14</f>
        <v>1002544.09656201</v>
      </c>
    </row>
  </sheetData>
  <sheetProtection formatCells="0" formatColumns="0" formatRows="0" insertRows="0" insertColumns="0" insertHyperlinks="0" deleteColumns="0" deleteRows="0" sort="0" autoFilter="0" pivotTables="0"/>
  <mergeCells count="4">
    <mergeCell ref="A1:B1"/>
    <mergeCell ref="C1:H1"/>
    <mergeCell ref="A2:H2"/>
    <mergeCell ref="A14:B14"/>
  </mergeCells>
  <pageMargins left="0.75" right="0.75" top="1" bottom="1" header="0.5" footer="0.5"/>
  <pageSetup paperSize="9" scale="83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27"/>
  <sheetViews>
    <sheetView showGridLines="0" view="pageBreakPreview" zoomScale="85" zoomScaleNormal="85" workbookViewId="0">
      <selection activeCell="AG1" sqref="AG1"/>
    </sheetView>
  </sheetViews>
  <sheetFormatPr defaultColWidth="10.2857142857143" defaultRowHeight="14.25" customHeight="1"/>
  <cols>
    <col min="1" max="1" width="6.42857142857143" style="62" customWidth="1"/>
    <col min="2" max="2" width="19.8571428571429" style="62" customWidth="1"/>
    <col min="3" max="4" width="11.4285714285714" style="62" customWidth="1"/>
    <col min="5" max="5" width="17.8190476190476" style="63" customWidth="1"/>
    <col min="6" max="6" width="14.1142857142857" style="63" customWidth="1"/>
    <col min="7" max="7" width="14.9428571428571" style="63" customWidth="1"/>
    <col min="8" max="27" width="10.7142857142857" style="64" customWidth="1"/>
    <col min="28" max="28" width="18.3142857142857" style="62" customWidth="1"/>
    <col min="29" max="255" width="10.2857142857143" style="62" customWidth="1"/>
    <col min="256" max="16384" width="10.2857142857143" style="62"/>
  </cols>
  <sheetData>
    <row r="1" s="62" customFormat="1" ht="27" customHeight="1" spans="1:32">
      <c r="A1" s="65" t="s">
        <v>137</v>
      </c>
      <c r="B1" s="66"/>
      <c r="C1" s="66"/>
      <c r="D1" s="66"/>
      <c r="E1" s="67"/>
      <c r="F1" s="67"/>
      <c r="G1" s="67"/>
      <c r="H1" s="66"/>
      <c r="I1" s="82"/>
      <c r="J1" s="66"/>
      <c r="K1" s="82"/>
      <c r="L1" s="66"/>
      <c r="M1" s="82"/>
      <c r="N1" s="66"/>
      <c r="O1" s="82"/>
      <c r="P1" s="66"/>
      <c r="Q1" s="82"/>
      <c r="R1" s="66"/>
      <c r="S1" s="82"/>
      <c r="T1" s="66"/>
      <c r="U1" s="82"/>
      <c r="V1" s="66"/>
      <c r="W1" s="82"/>
      <c r="X1" s="66"/>
      <c r="Y1" s="82"/>
      <c r="Z1" s="66"/>
      <c r="AA1" s="82"/>
      <c r="AB1" s="66"/>
      <c r="AC1" s="1"/>
      <c r="AD1" s="1"/>
      <c r="AE1" s="1"/>
      <c r="AF1" s="1"/>
    </row>
    <row r="2" s="62" customFormat="1" ht="36" customHeight="1" spans="1:32">
      <c r="A2" s="68" t="s">
        <v>0</v>
      </c>
      <c r="B2" s="68" t="s">
        <v>66</v>
      </c>
      <c r="C2" s="68" t="s">
        <v>68</v>
      </c>
      <c r="D2" s="69" t="s">
        <v>138</v>
      </c>
      <c r="E2" s="70" t="s">
        <v>139</v>
      </c>
      <c r="F2" s="71" t="s">
        <v>140</v>
      </c>
      <c r="G2" s="70" t="s">
        <v>141</v>
      </c>
      <c r="H2" s="68" t="s">
        <v>126</v>
      </c>
      <c r="I2" s="68"/>
      <c r="J2" s="68" t="s">
        <v>127</v>
      </c>
      <c r="K2" s="68"/>
      <c r="L2" s="68" t="s">
        <v>128</v>
      </c>
      <c r="M2" s="68"/>
      <c r="N2" s="68" t="s">
        <v>142</v>
      </c>
      <c r="O2" s="68"/>
      <c r="P2" s="68" t="s">
        <v>143</v>
      </c>
      <c r="Q2" s="68"/>
      <c r="R2" s="68" t="s">
        <v>144</v>
      </c>
      <c r="S2" s="68"/>
      <c r="T2" s="68" t="s">
        <v>132</v>
      </c>
      <c r="U2" s="68"/>
      <c r="V2" s="68" t="s">
        <v>145</v>
      </c>
      <c r="W2" s="68"/>
      <c r="X2" s="68" t="s">
        <v>134</v>
      </c>
      <c r="Y2" s="68"/>
      <c r="Z2" s="68" t="s">
        <v>146</v>
      </c>
      <c r="AA2" s="68"/>
      <c r="AB2" s="8"/>
      <c r="AC2" s="1"/>
      <c r="AD2" s="1"/>
      <c r="AE2" s="1"/>
      <c r="AF2" s="1"/>
    </row>
    <row r="3" s="62" customFormat="1" ht="47" customHeight="1" spans="1:32">
      <c r="A3" s="68"/>
      <c r="B3" s="68"/>
      <c r="C3" s="68"/>
      <c r="D3" s="68"/>
      <c r="E3" s="70"/>
      <c r="F3" s="72"/>
      <c r="G3" s="70" t="s">
        <v>147</v>
      </c>
      <c r="H3" s="69" t="s">
        <v>148</v>
      </c>
      <c r="I3" s="69" t="s">
        <v>149</v>
      </c>
      <c r="J3" s="69" t="s">
        <v>148</v>
      </c>
      <c r="K3" s="69" t="s">
        <v>149</v>
      </c>
      <c r="L3" s="69" t="s">
        <v>148</v>
      </c>
      <c r="M3" s="69" t="s">
        <v>149</v>
      </c>
      <c r="N3" s="69" t="s">
        <v>148</v>
      </c>
      <c r="O3" s="69" t="s">
        <v>149</v>
      </c>
      <c r="P3" s="69" t="s">
        <v>148</v>
      </c>
      <c r="Q3" s="69" t="s">
        <v>149</v>
      </c>
      <c r="R3" s="69" t="s">
        <v>148</v>
      </c>
      <c r="S3" s="69" t="s">
        <v>149</v>
      </c>
      <c r="T3" s="69" t="s">
        <v>148</v>
      </c>
      <c r="U3" s="69" t="s">
        <v>149</v>
      </c>
      <c r="V3" s="69" t="s">
        <v>148</v>
      </c>
      <c r="W3" s="69" t="s">
        <v>149</v>
      </c>
      <c r="X3" s="69" t="s">
        <v>148</v>
      </c>
      <c r="Y3" s="69" t="s">
        <v>149</v>
      </c>
      <c r="Z3" s="69" t="s">
        <v>148</v>
      </c>
      <c r="AA3" s="69" t="s">
        <v>149</v>
      </c>
      <c r="AB3" s="68" t="s">
        <v>125</v>
      </c>
      <c r="AC3" s="1"/>
      <c r="AD3" s="1"/>
      <c r="AE3" s="1"/>
      <c r="AF3" s="1"/>
    </row>
    <row r="4" s="62" customFormat="1" ht="45" customHeight="1" spans="1:32">
      <c r="A4" s="73">
        <v>1</v>
      </c>
      <c r="B4" s="74" t="s">
        <v>94</v>
      </c>
      <c r="C4" s="74" t="s">
        <v>95</v>
      </c>
      <c r="D4" s="73">
        <v>3.3</v>
      </c>
      <c r="E4" s="75">
        <f>+'03、（方案2）综合单价分析表'!I85</f>
        <v>629.002691810683</v>
      </c>
      <c r="F4" s="75">
        <f>+'03、（方案2）综合单价分析表'!I59</f>
        <v>2.546</v>
      </c>
      <c r="G4" s="75">
        <f>+'03、（方案2）综合单价分析表'!I84</f>
        <v>1601.44085335</v>
      </c>
      <c r="H4" s="73">
        <f>2+3</f>
        <v>5</v>
      </c>
      <c r="I4" s="83">
        <f t="shared" ref="I4:I14" si="0">+G4*H4</f>
        <v>8007.20426675</v>
      </c>
      <c r="J4" s="73">
        <f>3+2</f>
        <v>5</v>
      </c>
      <c r="K4" s="83">
        <f t="shared" ref="K4:K14" si="1">+J4*G4</f>
        <v>8007.20426675</v>
      </c>
      <c r="L4" s="73">
        <v>5</v>
      </c>
      <c r="M4" s="83">
        <f>+L4*G4</f>
        <v>8007.20426675</v>
      </c>
      <c r="N4" s="73">
        <v>5</v>
      </c>
      <c r="O4" s="83">
        <f t="shared" ref="O4:O14" si="2">+N4*G4</f>
        <v>8007.20426675</v>
      </c>
      <c r="P4" s="73">
        <v>5</v>
      </c>
      <c r="Q4" s="83">
        <f t="shared" ref="Q4:Q14" si="3">+P4*G4</f>
        <v>8007.20426675</v>
      </c>
      <c r="R4" s="73">
        <v>5</v>
      </c>
      <c r="S4" s="83">
        <f t="shared" ref="S4:S14" si="4">+R4*G4</f>
        <v>8007.20426675</v>
      </c>
      <c r="T4" s="73">
        <v>0</v>
      </c>
      <c r="U4" s="83">
        <f t="shared" ref="U4:U14" si="5">+T4*G4</f>
        <v>0</v>
      </c>
      <c r="V4" s="73">
        <v>0</v>
      </c>
      <c r="W4" s="83">
        <f t="shared" ref="W4:W14" si="6">+V4*G4</f>
        <v>0</v>
      </c>
      <c r="X4" s="73">
        <v>0</v>
      </c>
      <c r="Y4" s="83">
        <f t="shared" ref="Y4:Y14" si="7">+X4*G4</f>
        <v>0</v>
      </c>
      <c r="Z4" s="73">
        <v>0</v>
      </c>
      <c r="AA4" s="83">
        <f t="shared" ref="AA4:AA14" si="8">+Z4*G4</f>
        <v>0</v>
      </c>
      <c r="AB4" s="85"/>
      <c r="AC4" s="1"/>
      <c r="AD4" s="1"/>
      <c r="AE4" s="1"/>
      <c r="AF4" s="1"/>
    </row>
    <row r="5" s="62" customFormat="1" ht="45" customHeight="1" spans="1:32">
      <c r="A5" s="73">
        <v>2</v>
      </c>
      <c r="B5" s="74" t="s">
        <v>97</v>
      </c>
      <c r="C5" s="74" t="s">
        <v>98</v>
      </c>
      <c r="D5" s="73">
        <v>3.3</v>
      </c>
      <c r="E5" s="75">
        <f>+'03、（方案2）综合单价分析表'!I113</f>
        <v>760.832736423907</v>
      </c>
      <c r="F5" s="75">
        <f>+'03、（方案2）综合单价分析表'!I87</f>
        <v>3.0016</v>
      </c>
      <c r="G5" s="75">
        <f>'03、（方案2）综合单价分析表'!I112</f>
        <v>2283.71554165</v>
      </c>
      <c r="H5" s="73">
        <v>1</v>
      </c>
      <c r="I5" s="83">
        <f t="shared" si="0"/>
        <v>2283.71554165</v>
      </c>
      <c r="J5" s="73">
        <v>1</v>
      </c>
      <c r="K5" s="83">
        <f t="shared" si="1"/>
        <v>2283.71554165</v>
      </c>
      <c r="L5" s="73">
        <v>1</v>
      </c>
      <c r="M5" s="83">
        <f t="shared" ref="M5:M14" si="9">+E5*L5</f>
        <v>760.832736423907</v>
      </c>
      <c r="N5" s="73">
        <v>1</v>
      </c>
      <c r="O5" s="83">
        <f t="shared" si="2"/>
        <v>2283.71554165</v>
      </c>
      <c r="P5" s="73">
        <v>1</v>
      </c>
      <c r="Q5" s="83">
        <f t="shared" si="3"/>
        <v>2283.71554165</v>
      </c>
      <c r="R5" s="73">
        <v>1</v>
      </c>
      <c r="S5" s="83">
        <f t="shared" si="4"/>
        <v>2283.71554165</v>
      </c>
      <c r="T5" s="73">
        <v>1</v>
      </c>
      <c r="U5" s="83">
        <f t="shared" si="5"/>
        <v>2283.71554165</v>
      </c>
      <c r="V5" s="73">
        <v>1</v>
      </c>
      <c r="W5" s="83">
        <f t="shared" si="6"/>
        <v>2283.71554165</v>
      </c>
      <c r="X5" s="73">
        <v>0</v>
      </c>
      <c r="Y5" s="83">
        <f t="shared" si="7"/>
        <v>0</v>
      </c>
      <c r="Z5" s="73">
        <v>1</v>
      </c>
      <c r="AA5" s="83">
        <f t="shared" si="8"/>
        <v>2283.71554165</v>
      </c>
      <c r="AB5" s="85"/>
      <c r="AC5" s="1"/>
      <c r="AD5" s="1"/>
      <c r="AE5" s="1"/>
      <c r="AF5" s="1"/>
    </row>
    <row r="6" s="62" customFormat="1" ht="45" customHeight="1" spans="1:32">
      <c r="A6" s="73">
        <v>3</v>
      </c>
      <c r="B6" s="74" t="s">
        <v>100</v>
      </c>
      <c r="C6" s="74" t="s">
        <v>101</v>
      </c>
      <c r="D6" s="73">
        <v>3.3</v>
      </c>
      <c r="E6" s="75">
        <f>+'03、（方案2）综合单价分析表'!I141</f>
        <v>671.752702238806</v>
      </c>
      <c r="F6" s="75">
        <f>+'03、（方案2）综合单价分析表'!I115</f>
        <v>2.278</v>
      </c>
      <c r="G6" s="75">
        <f>+'03、（方案2）综合单价分析表'!I140</f>
        <v>1530.2526557</v>
      </c>
      <c r="H6" s="73">
        <v>0</v>
      </c>
      <c r="I6" s="83">
        <f t="shared" si="0"/>
        <v>0</v>
      </c>
      <c r="J6" s="73">
        <v>0</v>
      </c>
      <c r="K6" s="83">
        <f t="shared" si="1"/>
        <v>0</v>
      </c>
      <c r="L6" s="73">
        <v>0</v>
      </c>
      <c r="M6" s="83">
        <v>0</v>
      </c>
      <c r="N6" s="73">
        <v>0</v>
      </c>
      <c r="O6" s="83">
        <f t="shared" si="2"/>
        <v>0</v>
      </c>
      <c r="P6" s="73">
        <v>0</v>
      </c>
      <c r="Q6" s="83">
        <f t="shared" si="3"/>
        <v>0</v>
      </c>
      <c r="R6" s="73">
        <v>0</v>
      </c>
      <c r="S6" s="83">
        <f t="shared" si="4"/>
        <v>0</v>
      </c>
      <c r="T6" s="73">
        <v>3</v>
      </c>
      <c r="U6" s="83">
        <f t="shared" si="5"/>
        <v>4590.7579671</v>
      </c>
      <c r="V6" s="73">
        <v>4</v>
      </c>
      <c r="W6" s="83">
        <f t="shared" si="6"/>
        <v>6121.0106228</v>
      </c>
      <c r="X6" s="73">
        <v>3</v>
      </c>
      <c r="Y6" s="83">
        <f t="shared" si="7"/>
        <v>4590.7579671</v>
      </c>
      <c r="Z6" s="73">
        <v>4</v>
      </c>
      <c r="AA6" s="83">
        <f t="shared" si="8"/>
        <v>6121.0106228</v>
      </c>
      <c r="AB6" s="85"/>
      <c r="AC6" s="1"/>
      <c r="AD6" s="1"/>
      <c r="AE6" s="1"/>
      <c r="AF6" s="1"/>
    </row>
    <row r="7" s="62" customFormat="1" ht="45" customHeight="1" spans="1:32">
      <c r="A7" s="73">
        <v>4</v>
      </c>
      <c r="B7" s="74" t="s">
        <v>67</v>
      </c>
      <c r="C7" s="74" t="s">
        <v>69</v>
      </c>
      <c r="D7" s="73">
        <v>3.3</v>
      </c>
      <c r="E7" s="75">
        <f>+'03、（方案2）综合单价分析表'!I29</f>
        <v>681.985142117537</v>
      </c>
      <c r="F7" s="75">
        <f>+'03、（方案2）综合单价分析表'!I3</f>
        <v>2.144</v>
      </c>
      <c r="G7" s="75">
        <f>+'03、（方案2）综合单价分析表'!I28</f>
        <v>1462.1761447</v>
      </c>
      <c r="H7" s="73">
        <v>4</v>
      </c>
      <c r="I7" s="83">
        <f t="shared" si="0"/>
        <v>5848.7045788</v>
      </c>
      <c r="J7" s="73">
        <v>4</v>
      </c>
      <c r="K7" s="83">
        <f t="shared" si="1"/>
        <v>5848.7045788</v>
      </c>
      <c r="L7" s="73">
        <v>3</v>
      </c>
      <c r="M7" s="83">
        <f t="shared" si="9"/>
        <v>2045.95542635261</v>
      </c>
      <c r="N7" s="73">
        <v>4</v>
      </c>
      <c r="O7" s="83">
        <f t="shared" si="2"/>
        <v>5848.7045788</v>
      </c>
      <c r="P7" s="73">
        <v>4</v>
      </c>
      <c r="Q7" s="83">
        <f t="shared" si="3"/>
        <v>5848.7045788</v>
      </c>
      <c r="R7" s="73">
        <v>3</v>
      </c>
      <c r="S7" s="83">
        <f t="shared" si="4"/>
        <v>4386.5284341</v>
      </c>
      <c r="T7" s="73">
        <v>2</v>
      </c>
      <c r="U7" s="83">
        <f t="shared" si="5"/>
        <v>2924.3522894</v>
      </c>
      <c r="V7" s="73">
        <v>2</v>
      </c>
      <c r="W7" s="83">
        <f t="shared" si="6"/>
        <v>2924.3522894</v>
      </c>
      <c r="X7" s="73">
        <v>2</v>
      </c>
      <c r="Y7" s="83">
        <f t="shared" si="7"/>
        <v>2924.3522894</v>
      </c>
      <c r="Z7" s="73">
        <v>2</v>
      </c>
      <c r="AA7" s="83">
        <f t="shared" si="8"/>
        <v>2924.3522894</v>
      </c>
      <c r="AB7" s="85"/>
      <c r="AC7" s="1"/>
      <c r="AD7" s="1"/>
      <c r="AE7" s="1"/>
      <c r="AF7" s="1"/>
    </row>
    <row r="8" s="62" customFormat="1" ht="45" customHeight="1" spans="1:32">
      <c r="A8" s="73">
        <v>5</v>
      </c>
      <c r="B8" s="74" t="s">
        <v>91</v>
      </c>
      <c r="C8" s="74" t="s">
        <v>92</v>
      </c>
      <c r="D8" s="73">
        <v>3.3</v>
      </c>
      <c r="E8" s="75">
        <f>+'03、（方案2）综合单价分析表'!I57</f>
        <v>657.120159613696</v>
      </c>
      <c r="F8" s="75">
        <f>+'03、（方案2）综合单价分析表'!I31</f>
        <v>2.278</v>
      </c>
      <c r="G8" s="75">
        <f>+'03、（方案2）综合单价分析表'!I56</f>
        <v>1496.9197236</v>
      </c>
      <c r="H8" s="73">
        <v>0</v>
      </c>
      <c r="I8" s="83">
        <f t="shared" si="0"/>
        <v>0</v>
      </c>
      <c r="J8" s="73">
        <v>0</v>
      </c>
      <c r="K8" s="83">
        <f t="shared" si="1"/>
        <v>0</v>
      </c>
      <c r="L8" s="73">
        <v>0</v>
      </c>
      <c r="M8" s="83">
        <f t="shared" si="9"/>
        <v>0</v>
      </c>
      <c r="N8" s="73">
        <v>0</v>
      </c>
      <c r="O8" s="83">
        <f t="shared" si="2"/>
        <v>0</v>
      </c>
      <c r="P8" s="73">
        <v>0</v>
      </c>
      <c r="Q8" s="83">
        <f t="shared" si="3"/>
        <v>0</v>
      </c>
      <c r="R8" s="73">
        <v>0</v>
      </c>
      <c r="S8" s="83">
        <f t="shared" si="4"/>
        <v>0</v>
      </c>
      <c r="T8" s="73">
        <v>1</v>
      </c>
      <c r="U8" s="83">
        <f t="shared" si="5"/>
        <v>1496.9197236</v>
      </c>
      <c r="V8" s="73">
        <v>1</v>
      </c>
      <c r="W8" s="83">
        <f t="shared" si="6"/>
        <v>1496.9197236</v>
      </c>
      <c r="X8" s="73">
        <v>1</v>
      </c>
      <c r="Y8" s="83">
        <f t="shared" si="7"/>
        <v>1496.9197236</v>
      </c>
      <c r="Z8" s="73">
        <v>1</v>
      </c>
      <c r="AA8" s="83">
        <f t="shared" si="8"/>
        <v>1496.9197236</v>
      </c>
      <c r="AB8" s="85"/>
      <c r="AC8" s="1"/>
      <c r="AD8" s="1"/>
      <c r="AE8" s="1"/>
      <c r="AF8" s="1"/>
    </row>
    <row r="9" s="62" customFormat="1" ht="45" customHeight="1" spans="1:32">
      <c r="A9" s="73">
        <v>6</v>
      </c>
      <c r="B9" s="74" t="s">
        <v>150</v>
      </c>
      <c r="C9" s="74" t="s">
        <v>103</v>
      </c>
      <c r="D9" s="73">
        <v>3.3</v>
      </c>
      <c r="E9" s="75">
        <f>+'03、（方案2）综合单价分析表'!I163</f>
        <v>1223.2675858209</v>
      </c>
      <c r="F9" s="75">
        <f>+'03、（方案2）综合单价分析表'!I143</f>
        <v>2.68</v>
      </c>
      <c r="G9" s="75">
        <f>'03、（方案2）综合单价分析表'!I162</f>
        <v>3278.35713</v>
      </c>
      <c r="H9" s="76">
        <v>0</v>
      </c>
      <c r="I9" s="83">
        <f t="shared" si="0"/>
        <v>0</v>
      </c>
      <c r="J9" s="76">
        <v>0</v>
      </c>
      <c r="K9" s="83">
        <f t="shared" si="1"/>
        <v>0</v>
      </c>
      <c r="L9" s="76">
        <v>0</v>
      </c>
      <c r="M9" s="83">
        <f t="shared" si="9"/>
        <v>0</v>
      </c>
      <c r="N9" s="76">
        <v>0</v>
      </c>
      <c r="O9" s="83">
        <f t="shared" si="2"/>
        <v>0</v>
      </c>
      <c r="P9" s="76">
        <v>0</v>
      </c>
      <c r="Q9" s="83">
        <f t="shared" si="3"/>
        <v>0</v>
      </c>
      <c r="R9" s="76">
        <v>0</v>
      </c>
      <c r="S9" s="83">
        <f t="shared" si="4"/>
        <v>0</v>
      </c>
      <c r="T9" s="76">
        <v>0</v>
      </c>
      <c r="U9" s="83">
        <f t="shared" si="5"/>
        <v>0</v>
      </c>
      <c r="V9" s="76">
        <v>0</v>
      </c>
      <c r="W9" s="83">
        <f t="shared" si="6"/>
        <v>0</v>
      </c>
      <c r="X9" s="76">
        <v>0</v>
      </c>
      <c r="Y9" s="83">
        <f t="shared" si="7"/>
        <v>0</v>
      </c>
      <c r="Z9" s="76">
        <v>0</v>
      </c>
      <c r="AA9" s="83">
        <f t="shared" si="8"/>
        <v>0</v>
      </c>
      <c r="AB9" s="86"/>
      <c r="AC9" s="1"/>
      <c r="AD9" s="1"/>
      <c r="AE9" s="1"/>
      <c r="AF9" s="1"/>
    </row>
    <row r="10" s="62" customFormat="1" ht="45" customHeight="1" spans="1:32">
      <c r="A10" s="73">
        <v>7</v>
      </c>
      <c r="B10" s="74" t="s">
        <v>151</v>
      </c>
      <c r="C10" s="74" t="s">
        <v>106</v>
      </c>
      <c r="D10" s="73">
        <v>3.3</v>
      </c>
      <c r="E10" s="75">
        <f>+'03、（方案2）综合单价分析表'!I185</f>
        <v>1172.30017113095</v>
      </c>
      <c r="F10" s="75">
        <f>+'03、（方案2）综合单价分析表'!I165</f>
        <v>4.032</v>
      </c>
      <c r="G10" s="75">
        <f>'03、（方案2）综合单价分析表'!I184</f>
        <v>4726.71429</v>
      </c>
      <c r="H10" s="76">
        <v>0</v>
      </c>
      <c r="I10" s="83">
        <f t="shared" si="0"/>
        <v>0</v>
      </c>
      <c r="J10" s="76">
        <v>0</v>
      </c>
      <c r="K10" s="83">
        <f t="shared" si="1"/>
        <v>0</v>
      </c>
      <c r="L10" s="76">
        <v>0</v>
      </c>
      <c r="M10" s="83">
        <f t="shared" si="9"/>
        <v>0</v>
      </c>
      <c r="N10" s="76">
        <v>0</v>
      </c>
      <c r="O10" s="83">
        <f t="shared" si="2"/>
        <v>0</v>
      </c>
      <c r="P10" s="76">
        <v>0</v>
      </c>
      <c r="Q10" s="83">
        <f t="shared" si="3"/>
        <v>0</v>
      </c>
      <c r="R10" s="76">
        <v>0</v>
      </c>
      <c r="S10" s="83">
        <f t="shared" si="4"/>
        <v>0</v>
      </c>
      <c r="T10" s="76">
        <v>0</v>
      </c>
      <c r="U10" s="83">
        <f t="shared" si="5"/>
        <v>0</v>
      </c>
      <c r="V10" s="76">
        <v>0</v>
      </c>
      <c r="W10" s="83">
        <f t="shared" si="6"/>
        <v>0</v>
      </c>
      <c r="X10" s="76">
        <v>0</v>
      </c>
      <c r="Y10" s="83">
        <f t="shared" si="7"/>
        <v>0</v>
      </c>
      <c r="Z10" s="76">
        <v>0</v>
      </c>
      <c r="AA10" s="83">
        <f t="shared" si="8"/>
        <v>0</v>
      </c>
      <c r="AB10" s="86"/>
      <c r="AC10" s="1"/>
      <c r="AD10" s="1"/>
      <c r="AE10" s="1"/>
      <c r="AF10" s="1"/>
    </row>
    <row r="11" s="62" customFormat="1" ht="45" customHeight="1" spans="1:32">
      <c r="A11" s="73">
        <v>8</v>
      </c>
      <c r="B11" s="74" t="s">
        <v>152</v>
      </c>
      <c r="C11" s="74" t="s">
        <v>109</v>
      </c>
      <c r="D11" s="73">
        <v>3.3</v>
      </c>
      <c r="E11" s="75">
        <f>+'03、（方案2）综合单价分析表'!I207</f>
        <v>1246.89663774876</v>
      </c>
      <c r="F11" s="75">
        <f>+'03、（方案2）综合单价分析表'!I187</f>
        <v>3.216</v>
      </c>
      <c r="G11" s="75">
        <f>'03、（方案2）综合单价分析表'!I206</f>
        <v>4010.019587</v>
      </c>
      <c r="H11" s="76">
        <v>0</v>
      </c>
      <c r="I11" s="83">
        <f t="shared" si="0"/>
        <v>0</v>
      </c>
      <c r="J11" s="76">
        <v>0</v>
      </c>
      <c r="K11" s="83">
        <f t="shared" si="1"/>
        <v>0</v>
      </c>
      <c r="L11" s="76">
        <v>0</v>
      </c>
      <c r="M11" s="83">
        <f t="shared" si="9"/>
        <v>0</v>
      </c>
      <c r="N11" s="76">
        <v>0</v>
      </c>
      <c r="O11" s="83">
        <f t="shared" si="2"/>
        <v>0</v>
      </c>
      <c r="P11" s="76">
        <v>0</v>
      </c>
      <c r="Q11" s="83">
        <f t="shared" si="3"/>
        <v>0</v>
      </c>
      <c r="R11" s="76">
        <v>0</v>
      </c>
      <c r="S11" s="83">
        <f t="shared" si="4"/>
        <v>0</v>
      </c>
      <c r="T11" s="76">
        <v>0</v>
      </c>
      <c r="U11" s="83">
        <f t="shared" si="5"/>
        <v>0</v>
      </c>
      <c r="V11" s="76">
        <v>0</v>
      </c>
      <c r="W11" s="83">
        <f t="shared" si="6"/>
        <v>0</v>
      </c>
      <c r="X11" s="76">
        <v>0</v>
      </c>
      <c r="Y11" s="83">
        <f t="shared" si="7"/>
        <v>0</v>
      </c>
      <c r="Z11" s="76">
        <v>0</v>
      </c>
      <c r="AA11" s="83">
        <f t="shared" si="8"/>
        <v>0</v>
      </c>
      <c r="AB11" s="86"/>
      <c r="AC11" s="1"/>
      <c r="AD11" s="1"/>
      <c r="AE11" s="1"/>
      <c r="AF11" s="1"/>
    </row>
    <row r="12" s="62" customFormat="1" ht="45" customHeight="1" spans="1:32">
      <c r="A12" s="73">
        <v>9</v>
      </c>
      <c r="B12" s="74" t="s">
        <v>153</v>
      </c>
      <c r="C12" s="74" t="s">
        <v>111</v>
      </c>
      <c r="D12" s="73">
        <v>3.3</v>
      </c>
      <c r="E12" s="75">
        <f>+'03、（方案2）综合单价分析表'!I229</f>
        <v>1156.89212177748</v>
      </c>
      <c r="F12" s="75">
        <f>+'03、（方案2）综合单价分析表'!I209</f>
        <v>2.948</v>
      </c>
      <c r="G12" s="75">
        <f>'03、（方案2）综合单价分析表'!I228</f>
        <v>3410.517975</v>
      </c>
      <c r="H12" s="73">
        <v>0</v>
      </c>
      <c r="I12" s="83">
        <f t="shared" si="0"/>
        <v>0</v>
      </c>
      <c r="J12" s="73">
        <v>0</v>
      </c>
      <c r="K12" s="83">
        <f t="shared" si="1"/>
        <v>0</v>
      </c>
      <c r="L12" s="73">
        <v>0</v>
      </c>
      <c r="M12" s="83">
        <f t="shared" si="9"/>
        <v>0</v>
      </c>
      <c r="N12" s="73">
        <v>0</v>
      </c>
      <c r="O12" s="83">
        <f t="shared" si="2"/>
        <v>0</v>
      </c>
      <c r="P12" s="73">
        <v>0</v>
      </c>
      <c r="Q12" s="83">
        <f t="shared" si="3"/>
        <v>0</v>
      </c>
      <c r="R12" s="73">
        <v>0</v>
      </c>
      <c r="S12" s="83">
        <f t="shared" si="4"/>
        <v>0</v>
      </c>
      <c r="T12" s="73">
        <v>0</v>
      </c>
      <c r="U12" s="83">
        <f t="shared" si="5"/>
        <v>0</v>
      </c>
      <c r="V12" s="73">
        <v>1</v>
      </c>
      <c r="W12" s="83">
        <f t="shared" si="6"/>
        <v>3410.517975</v>
      </c>
      <c r="X12" s="73">
        <v>0</v>
      </c>
      <c r="Y12" s="83">
        <f t="shared" si="7"/>
        <v>0</v>
      </c>
      <c r="Z12" s="73">
        <v>1</v>
      </c>
      <c r="AA12" s="83">
        <f t="shared" si="8"/>
        <v>3410.517975</v>
      </c>
      <c r="AB12" s="86"/>
      <c r="AC12" s="1"/>
      <c r="AD12" s="1"/>
      <c r="AE12" s="1"/>
      <c r="AF12" s="1"/>
    </row>
    <row r="13" s="62" customFormat="1" ht="45" customHeight="1" spans="1:32">
      <c r="A13" s="73">
        <v>10</v>
      </c>
      <c r="B13" s="74" t="s">
        <v>154</v>
      </c>
      <c r="C13" s="74" t="s">
        <v>113</v>
      </c>
      <c r="D13" s="73">
        <v>3.3</v>
      </c>
      <c r="E13" s="75">
        <f>+'03、（方案2）综合单价分析表'!I251</f>
        <v>1328.83037600459</v>
      </c>
      <c r="F13" s="75">
        <f>+'03、（方案2）综合单价分析表'!I231</f>
        <v>3.484</v>
      </c>
      <c r="G13" s="75">
        <f>'03、（方案2）综合单价分析表'!I250</f>
        <v>4629.64503</v>
      </c>
      <c r="H13" s="73">
        <v>0</v>
      </c>
      <c r="I13" s="83">
        <f t="shared" si="0"/>
        <v>0</v>
      </c>
      <c r="J13" s="73">
        <v>0</v>
      </c>
      <c r="K13" s="83">
        <f t="shared" si="1"/>
        <v>0</v>
      </c>
      <c r="L13" s="73">
        <v>0</v>
      </c>
      <c r="M13" s="83">
        <f t="shared" si="9"/>
        <v>0</v>
      </c>
      <c r="N13" s="73">
        <v>0</v>
      </c>
      <c r="O13" s="83">
        <f t="shared" si="2"/>
        <v>0</v>
      </c>
      <c r="P13" s="73">
        <v>0</v>
      </c>
      <c r="Q13" s="83">
        <f t="shared" si="3"/>
        <v>0</v>
      </c>
      <c r="R13" s="73">
        <v>0</v>
      </c>
      <c r="S13" s="83">
        <f t="shared" si="4"/>
        <v>0</v>
      </c>
      <c r="T13" s="73">
        <v>0</v>
      </c>
      <c r="U13" s="83">
        <f t="shared" si="5"/>
        <v>0</v>
      </c>
      <c r="V13" s="73">
        <v>0</v>
      </c>
      <c r="W13" s="83">
        <f t="shared" si="6"/>
        <v>0</v>
      </c>
      <c r="X13" s="73">
        <v>1</v>
      </c>
      <c r="Y13" s="83">
        <f t="shared" si="7"/>
        <v>4629.64503</v>
      </c>
      <c r="Z13" s="73">
        <v>0</v>
      </c>
      <c r="AA13" s="83">
        <f t="shared" si="8"/>
        <v>0</v>
      </c>
      <c r="AB13" s="86"/>
      <c r="AC13" s="1"/>
      <c r="AD13" s="1"/>
      <c r="AE13" s="1"/>
      <c r="AF13" s="1"/>
    </row>
    <row r="14" s="62" customFormat="1" ht="45" customHeight="1" spans="1:32">
      <c r="A14" s="73">
        <v>11</v>
      </c>
      <c r="B14" s="74" t="s">
        <v>155</v>
      </c>
      <c r="C14" s="74" t="s">
        <v>115</v>
      </c>
      <c r="D14" s="73">
        <v>3.3</v>
      </c>
      <c r="E14" s="75">
        <f>+'03、（方案2）综合单价分析表'!I273</f>
        <v>1167.682675</v>
      </c>
      <c r="F14" s="75">
        <f>+'03、（方案2）综合单价分析表'!I253</f>
        <v>2.88</v>
      </c>
      <c r="G14" s="75">
        <f>'03、（方案2）综合单价分析表'!I272</f>
        <v>3362.926104</v>
      </c>
      <c r="H14" s="73">
        <v>0</v>
      </c>
      <c r="I14" s="83">
        <f t="shared" si="0"/>
        <v>0</v>
      </c>
      <c r="J14" s="73">
        <v>0</v>
      </c>
      <c r="K14" s="83">
        <f t="shared" si="1"/>
        <v>0</v>
      </c>
      <c r="L14" s="73">
        <v>0</v>
      </c>
      <c r="M14" s="83">
        <f t="shared" si="9"/>
        <v>0</v>
      </c>
      <c r="N14" s="73">
        <v>0</v>
      </c>
      <c r="O14" s="83">
        <f t="shared" si="2"/>
        <v>0</v>
      </c>
      <c r="P14" s="73">
        <v>0</v>
      </c>
      <c r="Q14" s="83">
        <f t="shared" si="3"/>
        <v>0</v>
      </c>
      <c r="R14" s="73">
        <v>0</v>
      </c>
      <c r="S14" s="83">
        <f t="shared" si="4"/>
        <v>0</v>
      </c>
      <c r="T14" s="73">
        <v>0</v>
      </c>
      <c r="U14" s="83">
        <f t="shared" si="5"/>
        <v>0</v>
      </c>
      <c r="V14" s="73">
        <v>0</v>
      </c>
      <c r="W14" s="83">
        <f t="shared" si="6"/>
        <v>0</v>
      </c>
      <c r="X14" s="73">
        <v>1</v>
      </c>
      <c r="Y14" s="83">
        <f t="shared" si="7"/>
        <v>3362.926104</v>
      </c>
      <c r="Z14" s="73">
        <v>0</v>
      </c>
      <c r="AA14" s="83">
        <f t="shared" si="8"/>
        <v>0</v>
      </c>
      <c r="AB14" s="86"/>
      <c r="AC14" s="1"/>
      <c r="AD14" s="1"/>
      <c r="AE14" s="1"/>
      <c r="AF14" s="1"/>
    </row>
    <row r="15" s="62" customFormat="1" ht="45" customHeight="1" spans="1:32">
      <c r="A15" s="77"/>
      <c r="B15" s="8" t="s">
        <v>86</v>
      </c>
      <c r="C15" s="77" t="s">
        <v>38</v>
      </c>
      <c r="D15" s="77" t="s">
        <v>38</v>
      </c>
      <c r="E15" s="75" t="s">
        <v>38</v>
      </c>
      <c r="F15" s="75" t="s">
        <v>38</v>
      </c>
      <c r="G15" s="75" t="s">
        <v>38</v>
      </c>
      <c r="H15" s="76" t="s">
        <v>38</v>
      </c>
      <c r="I15" s="84">
        <f t="shared" ref="I15:M15" si="10">SUM(I4:I14)</f>
        <v>16139.6243872</v>
      </c>
      <c r="J15" s="76"/>
      <c r="K15" s="84">
        <f t="shared" si="10"/>
        <v>16139.6243872</v>
      </c>
      <c r="L15" s="76"/>
      <c r="M15" s="84">
        <f t="shared" si="10"/>
        <v>10813.9924295265</v>
      </c>
      <c r="N15" s="76"/>
      <c r="O15" s="84">
        <f t="shared" ref="O15:S15" si="11">SUM(O4:O14)</f>
        <v>16139.6243872</v>
      </c>
      <c r="P15" s="76"/>
      <c r="Q15" s="84">
        <f t="shared" si="11"/>
        <v>16139.6243872</v>
      </c>
      <c r="R15" s="76"/>
      <c r="S15" s="84">
        <f t="shared" si="11"/>
        <v>14677.4482425</v>
      </c>
      <c r="T15" s="76"/>
      <c r="U15" s="84">
        <f t="shared" ref="U15:Y15" si="12">SUM(U4:U14)</f>
        <v>11295.74552175</v>
      </c>
      <c r="V15" s="76"/>
      <c r="W15" s="84">
        <f t="shared" si="12"/>
        <v>16236.51615245</v>
      </c>
      <c r="X15" s="76"/>
      <c r="Y15" s="84">
        <f t="shared" si="12"/>
        <v>17004.6011141</v>
      </c>
      <c r="Z15" s="76">
        <v>0</v>
      </c>
      <c r="AA15" s="84">
        <f>SUM(AA4:AA14)</f>
        <v>16236.51615245</v>
      </c>
      <c r="AB15" s="77"/>
      <c r="AC15" s="1"/>
      <c r="AD15" s="1"/>
      <c r="AE15" s="1"/>
      <c r="AF15" s="1"/>
    </row>
    <row r="16" s="62" customFormat="1" ht="45" customHeight="1" spans="1:32">
      <c r="A16" s="78"/>
      <c r="B16" s="78"/>
      <c r="C16" s="78"/>
      <c r="D16" s="78"/>
      <c r="E16" s="79"/>
      <c r="F16" s="79"/>
      <c r="G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78"/>
      <c r="AC16" s="1"/>
      <c r="AD16" s="1"/>
      <c r="AE16" s="1"/>
      <c r="AF16" s="1"/>
    </row>
    <row r="17" s="62" customFormat="1" customHeight="1" spans="1:32">
      <c r="A17" s="1"/>
      <c r="B17" s="1"/>
      <c r="C17" s="1"/>
      <c r="D17" s="1"/>
      <c r="E17" s="63"/>
      <c r="F17" s="63"/>
      <c r="G17" s="63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1"/>
      <c r="AC17" s="1"/>
      <c r="AD17" s="1"/>
      <c r="AE17" s="1"/>
      <c r="AF17" s="1"/>
    </row>
    <row r="18" s="62" customFormat="1" customHeight="1" spans="1:32">
      <c r="A18" s="1"/>
      <c r="B18" s="1"/>
      <c r="C18" s="1"/>
      <c r="D18" s="1"/>
      <c r="E18" s="63"/>
      <c r="F18" s="63"/>
      <c r="G18" s="63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1"/>
      <c r="AC18" s="1"/>
      <c r="AD18" s="1"/>
      <c r="AE18" s="1"/>
      <c r="AF18" s="1"/>
    </row>
    <row r="19" s="62" customFormat="1" customHeight="1" spans="1:32">
      <c r="A19" s="1"/>
      <c r="B19" s="1"/>
      <c r="C19" s="1"/>
      <c r="D19" s="1"/>
      <c r="E19" s="63"/>
      <c r="F19" s="63"/>
      <c r="G19" s="63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1"/>
      <c r="AC19" s="1"/>
      <c r="AD19" s="1"/>
      <c r="AE19" s="1"/>
      <c r="AF19" s="1"/>
    </row>
    <row r="20" s="62" customFormat="1" customHeight="1" spans="1:32">
      <c r="A20" s="1"/>
      <c r="B20" s="1"/>
      <c r="C20" s="1"/>
      <c r="D20" s="1"/>
      <c r="E20" s="63"/>
      <c r="F20" s="63"/>
      <c r="G20" s="63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1"/>
      <c r="AC20" s="1"/>
      <c r="AD20" s="1"/>
      <c r="AE20" s="1"/>
      <c r="AF20" s="1"/>
    </row>
    <row r="21" s="62" customFormat="1" customHeight="1" spans="1:32">
      <c r="A21" s="1"/>
      <c r="B21" s="1"/>
      <c r="C21" s="1"/>
      <c r="D21" s="1"/>
      <c r="E21" s="63"/>
      <c r="F21" s="63"/>
      <c r="G21" s="63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1"/>
      <c r="AC21" s="1"/>
      <c r="AD21" s="1"/>
      <c r="AE21" s="1"/>
      <c r="AF21" s="1"/>
    </row>
    <row r="22" s="62" customFormat="1" customHeight="1" spans="1:32">
      <c r="A22" s="1"/>
      <c r="B22" s="1"/>
      <c r="C22" s="1"/>
      <c r="D22" s="1"/>
      <c r="E22" s="63"/>
      <c r="F22" s="63"/>
      <c r="G22" s="63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1"/>
      <c r="AC22" s="1"/>
      <c r="AD22" s="1"/>
      <c r="AE22" s="1"/>
      <c r="AF22" s="1"/>
    </row>
    <row r="23" s="62" customFormat="1" customHeight="1" spans="1:32">
      <c r="A23" s="1"/>
      <c r="B23" s="1"/>
      <c r="C23" s="1"/>
      <c r="D23" s="1"/>
      <c r="E23" s="63"/>
      <c r="F23" s="63"/>
      <c r="G23" s="63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1"/>
      <c r="AC23" s="1"/>
      <c r="AD23" s="1"/>
      <c r="AE23" s="1"/>
      <c r="AF23" s="1"/>
    </row>
    <row r="24" s="62" customFormat="1" customHeight="1" spans="1:32">
      <c r="A24" s="1"/>
      <c r="B24" s="1"/>
      <c r="C24" s="1"/>
      <c r="D24" s="1"/>
      <c r="E24" s="63"/>
      <c r="F24" s="63"/>
      <c r="G24" s="63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1"/>
      <c r="AC24" s="1"/>
      <c r="AD24" s="1"/>
      <c r="AE24" s="1"/>
      <c r="AF24" s="1"/>
    </row>
    <row r="25" s="62" customFormat="1" customHeight="1" spans="1:32">
      <c r="A25" s="1"/>
      <c r="B25" s="1"/>
      <c r="C25" s="1"/>
      <c r="D25" s="1"/>
      <c r="E25" s="63"/>
      <c r="F25" s="63"/>
      <c r="G25" s="63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"/>
      <c r="AC25" s="1"/>
      <c r="AD25" s="1"/>
      <c r="AE25" s="1"/>
      <c r="AF25" s="1"/>
    </row>
    <row r="26" s="62" customFormat="1" customHeight="1" spans="1:32">
      <c r="A26" s="1"/>
      <c r="B26" s="1"/>
      <c r="C26" s="1"/>
      <c r="D26" s="1"/>
      <c r="E26" s="63"/>
      <c r="F26" s="63"/>
      <c r="G26" s="63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1"/>
      <c r="AC26" s="1"/>
      <c r="AD26" s="1"/>
      <c r="AE26" s="1"/>
      <c r="AF26" s="1"/>
    </row>
    <row r="27" s="62" customFormat="1" customHeight="1" spans="1:32">
      <c r="A27" s="1"/>
      <c r="B27" s="1"/>
      <c r="C27" s="1"/>
      <c r="D27" s="1"/>
      <c r="E27" s="63"/>
      <c r="F27" s="63"/>
      <c r="G27" s="63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1"/>
      <c r="AC27" s="1"/>
      <c r="AD27" s="1"/>
      <c r="AE27" s="1"/>
      <c r="AF27" s="1"/>
    </row>
  </sheetData>
  <sheetProtection formatCells="0" formatColumns="0" formatRows="0" insertRows="0" insertColumns="0" insertHyperlinks="0" deleteColumns="0" deleteRows="0" sort="0" autoFilter="0" pivotTables="0"/>
  <mergeCells count="19">
    <mergeCell ref="A1:AB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2:A3"/>
    <mergeCell ref="B2:B3"/>
    <mergeCell ref="C2:C3"/>
    <mergeCell ref="D2:D3"/>
    <mergeCell ref="E2:E3"/>
    <mergeCell ref="F2:F3"/>
    <mergeCell ref="AB4:AB8"/>
    <mergeCell ref="AB9:AB14"/>
  </mergeCells>
  <conditionalFormatting sqref="K3">
    <cfRule type="cellIs" dxfId="0" priority="25" stopIfTrue="1" operator="lessThan">
      <formula>0</formula>
    </cfRule>
  </conditionalFormatting>
  <conditionalFormatting sqref="M3">
    <cfRule type="cellIs" dxfId="0" priority="24" stopIfTrue="1" operator="lessThan">
      <formula>0</formula>
    </cfRule>
  </conditionalFormatting>
  <conditionalFormatting sqref="O3">
    <cfRule type="cellIs" dxfId="0" priority="23" stopIfTrue="1" operator="lessThan">
      <formula>0</formula>
    </cfRule>
  </conditionalFormatting>
  <conditionalFormatting sqref="Q3">
    <cfRule type="cellIs" dxfId="0" priority="22" stopIfTrue="1" operator="lessThan">
      <formula>0</formula>
    </cfRule>
  </conditionalFormatting>
  <conditionalFormatting sqref="S3">
    <cfRule type="cellIs" dxfId="0" priority="21" stopIfTrue="1" operator="lessThan">
      <formula>0</formula>
    </cfRule>
  </conditionalFormatting>
  <conditionalFormatting sqref="U3">
    <cfRule type="cellIs" dxfId="0" priority="20" stopIfTrue="1" operator="lessThan">
      <formula>0</formula>
    </cfRule>
  </conditionalFormatting>
  <conditionalFormatting sqref="W3">
    <cfRule type="cellIs" dxfId="0" priority="18" stopIfTrue="1" operator="lessThan">
      <formula>0</formula>
    </cfRule>
  </conditionalFormatting>
  <conditionalFormatting sqref="Y3">
    <cfRule type="cellIs" dxfId="0" priority="17" stopIfTrue="1" operator="lessThan">
      <formula>0</formula>
    </cfRule>
  </conditionalFormatting>
  <conditionalFormatting sqref="AA3">
    <cfRule type="cellIs" dxfId="0" priority="19" stopIfTrue="1" operator="lessThan">
      <formula>0</formula>
    </cfRule>
  </conditionalFormatting>
  <conditionalFormatting sqref="E12:F12">
    <cfRule type="cellIs" dxfId="0" priority="15" stopIfTrue="1" operator="lessThan">
      <formula>0</formula>
    </cfRule>
  </conditionalFormatting>
  <conditionalFormatting sqref="M12">
    <cfRule type="cellIs" dxfId="0" priority="5" stopIfTrue="1" operator="lessThan">
      <formula>0</formula>
    </cfRule>
  </conditionalFormatting>
  <conditionalFormatting sqref="E13:F13">
    <cfRule type="cellIs" dxfId="0" priority="4" stopIfTrue="1" operator="lessThan">
      <formula>0</formula>
    </cfRule>
  </conditionalFormatting>
  <conditionalFormatting sqref="M13">
    <cfRule type="cellIs" dxfId="0" priority="3" stopIfTrue="1" operator="lessThan">
      <formula>0</formula>
    </cfRule>
  </conditionalFormatting>
  <conditionalFormatting sqref="E14:F14">
    <cfRule type="cellIs" dxfId="0" priority="2" stopIfTrue="1" operator="lessThan">
      <formula>0</formula>
    </cfRule>
  </conditionalFormatting>
  <conditionalFormatting sqref="M14">
    <cfRule type="cellIs" dxfId="0" priority="1" stopIfTrue="1" operator="lessThan">
      <formula>0</formula>
    </cfRule>
  </conditionalFormatting>
  <conditionalFormatting sqref="I12:I14">
    <cfRule type="cellIs" dxfId="0" priority="14" stopIfTrue="1" operator="lessThan">
      <formula>0</formula>
    </cfRule>
  </conditionalFormatting>
  <conditionalFormatting sqref="K12:K14">
    <cfRule type="cellIs" dxfId="0" priority="12" stopIfTrue="1" operator="lessThan">
      <formula>0</formula>
    </cfRule>
  </conditionalFormatting>
  <conditionalFormatting sqref="M9:M11">
    <cfRule type="cellIs" dxfId="0" priority="16" stopIfTrue="1" operator="lessThan">
      <formula>0</formula>
    </cfRule>
  </conditionalFormatting>
  <conditionalFormatting sqref="O12:O14">
    <cfRule type="cellIs" dxfId="0" priority="11" stopIfTrue="1" operator="lessThan">
      <formula>0</formula>
    </cfRule>
  </conditionalFormatting>
  <conditionalFormatting sqref="Q12:Q14">
    <cfRule type="cellIs" dxfId="0" priority="10" stopIfTrue="1" operator="lessThan">
      <formula>0</formula>
    </cfRule>
  </conditionalFormatting>
  <conditionalFormatting sqref="S12:S14">
    <cfRule type="cellIs" dxfId="0" priority="9" stopIfTrue="1" operator="lessThan">
      <formula>0</formula>
    </cfRule>
  </conditionalFormatting>
  <conditionalFormatting sqref="U12:U14">
    <cfRule type="cellIs" dxfId="0" priority="13" stopIfTrue="1" operator="lessThan">
      <formula>0</formula>
    </cfRule>
  </conditionalFormatting>
  <conditionalFormatting sqref="W12:W14">
    <cfRule type="cellIs" dxfId="0" priority="8" stopIfTrue="1" operator="lessThan">
      <formula>0</formula>
    </cfRule>
  </conditionalFormatting>
  <conditionalFormatting sqref="Y12:Y14">
    <cfRule type="cellIs" dxfId="0" priority="7" stopIfTrue="1" operator="lessThan">
      <formula>0</formula>
    </cfRule>
  </conditionalFormatting>
  <conditionalFormatting sqref="AA12:AA14">
    <cfRule type="cellIs" dxfId="0" priority="6" stopIfTrue="1" operator="lessThan">
      <formula>0</formula>
    </cfRule>
  </conditionalFormatting>
  <conditionalFormatting sqref="AB4:AB8">
    <cfRule type="cellIs" dxfId="0" priority="37" stopIfTrue="1" operator="lessThan">
      <formula>0</formula>
    </cfRule>
  </conditionalFormatting>
  <conditionalFormatting sqref="E1:G2 E4:F8 G4:G14">
    <cfRule type="cellIs" dxfId="0" priority="36" stopIfTrue="1" operator="lessThan">
      <formula>0</formula>
    </cfRule>
  </conditionalFormatting>
  <conditionalFormatting sqref="I3:I11 I1">
    <cfRule type="cellIs" dxfId="0" priority="35" stopIfTrue="1" operator="lessThan">
      <formula>0</formula>
    </cfRule>
  </conditionalFormatting>
  <conditionalFormatting sqref="K4:K11 K1">
    <cfRule type="cellIs" dxfId="0" priority="33" stopIfTrue="1" operator="lessThan">
      <formula>0</formula>
    </cfRule>
  </conditionalFormatting>
  <conditionalFormatting sqref="M4:M8 M1">
    <cfRule type="cellIs" dxfId="0" priority="26" stopIfTrue="1" operator="lessThan">
      <formula>0</formula>
    </cfRule>
  </conditionalFormatting>
  <conditionalFormatting sqref="O4:O11 O1">
    <cfRule type="cellIs" dxfId="0" priority="32" stopIfTrue="1" operator="lessThan">
      <formula>0</formula>
    </cfRule>
  </conditionalFormatting>
  <conditionalFormatting sqref="Q4:Q11 Q1">
    <cfRule type="cellIs" dxfId="0" priority="31" stopIfTrue="1" operator="lessThan">
      <formula>0</formula>
    </cfRule>
  </conditionalFormatting>
  <conditionalFormatting sqref="S4:S11 S1">
    <cfRule type="cellIs" dxfId="0" priority="30" stopIfTrue="1" operator="lessThan">
      <formula>0</formula>
    </cfRule>
  </conditionalFormatting>
  <conditionalFormatting sqref="U4:U11 U1">
    <cfRule type="cellIs" dxfId="0" priority="34" stopIfTrue="1" operator="lessThan">
      <formula>0</formula>
    </cfRule>
  </conditionalFormatting>
  <conditionalFormatting sqref="W4:W11 W1">
    <cfRule type="cellIs" dxfId="0" priority="29" stopIfTrue="1" operator="lessThan">
      <formula>0</formula>
    </cfRule>
  </conditionalFormatting>
  <conditionalFormatting sqref="Y4:Y11 Y1">
    <cfRule type="cellIs" dxfId="0" priority="28" stopIfTrue="1" operator="lessThan">
      <formula>0</formula>
    </cfRule>
  </conditionalFormatting>
  <conditionalFormatting sqref="AA4:AA11 AA1">
    <cfRule type="cellIs" dxfId="0" priority="27" stopIfTrue="1" operator="lessThan">
      <formula>0</formula>
    </cfRule>
  </conditionalFormatting>
  <pageMargins left="0.25" right="0.25" top="0.75" bottom="0.75" header="0.298611111111111" footer="0.298611111111111"/>
  <pageSetup paperSize="9" scale="44" fitToHeight="0" orientation="landscape" useFirstPageNumber="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273"/>
  <sheetViews>
    <sheetView tabSelected="1" view="pageBreakPreview" zoomScaleNormal="115" workbookViewId="0">
      <selection activeCell="M17" sqref="M17"/>
    </sheetView>
  </sheetViews>
  <sheetFormatPr defaultColWidth="10.2857142857143" defaultRowHeight="24" customHeight="1"/>
  <cols>
    <col min="1" max="1" width="4.42857142857143" style="3" customWidth="1"/>
    <col min="2" max="2" width="14" style="4" customWidth="1"/>
    <col min="3" max="3" width="10.6761904761905" style="4" customWidth="1"/>
    <col min="4" max="4" width="10.9238095238095" style="4" customWidth="1"/>
    <col min="5" max="5" width="7.20952380952381" style="4" customWidth="1"/>
    <col min="6" max="6" width="5.7047619047619" style="4" customWidth="1"/>
    <col min="7" max="7" width="8.85714285714286" style="4" customWidth="1"/>
    <col min="8" max="8" width="10.2857142857143" style="4"/>
    <col min="9" max="9" width="10.5714285714286" style="5"/>
    <col min="10" max="10" width="13.7142857142857" style="4" customWidth="1"/>
    <col min="11" max="11" width="14.4761904761905" style="1"/>
    <col min="12" max="12" width="10.2857142857143" style="1"/>
    <col min="13" max="13" width="91.9142857142857" style="1" customWidth="1"/>
    <col min="14" max="16383" width="10.2857142857143" style="1"/>
  </cols>
  <sheetData>
    <row r="1" customHeight="1" spans="1:10">
      <c r="A1" s="6" t="s">
        <v>156</v>
      </c>
      <c r="B1" s="6"/>
      <c r="C1" s="6"/>
      <c r="D1" s="6"/>
      <c r="E1" s="6"/>
      <c r="F1" s="6"/>
      <c r="G1" s="6"/>
      <c r="H1" s="6"/>
      <c r="I1" s="37"/>
      <c r="J1" s="6"/>
    </row>
    <row r="2" s="1" customFormat="1" customHeight="1" spans="1:10">
      <c r="A2" s="7" t="s">
        <v>65</v>
      </c>
      <c r="B2" s="7"/>
      <c r="C2" s="7"/>
      <c r="D2" s="7"/>
      <c r="E2" s="7"/>
      <c r="F2" s="7"/>
      <c r="G2" s="7"/>
      <c r="H2" s="7"/>
      <c r="I2" s="38"/>
      <c r="J2" s="7"/>
    </row>
    <row r="3" s="1" customFormat="1" customHeight="1" spans="1:12">
      <c r="A3" s="8" t="s">
        <v>66</v>
      </c>
      <c r="B3" s="8"/>
      <c r="C3" s="9" t="s">
        <v>67</v>
      </c>
      <c r="D3" s="10"/>
      <c r="E3" s="8" t="s">
        <v>68</v>
      </c>
      <c r="F3" s="8" t="s">
        <v>69</v>
      </c>
      <c r="G3" s="8"/>
      <c r="H3" s="8" t="s">
        <v>70</v>
      </c>
      <c r="I3" s="39">
        <f>'03、（方案1）综合单价分析表'!I3</f>
        <v>2.144</v>
      </c>
      <c r="J3" s="8"/>
      <c r="K3" s="40" t="str">
        <f>_xlfn.DISPIMG("ID_B20F95081DB14FD687CD08812FBA2461",1)</f>
        <v>=DISPIMG("ID_B20F95081DB14FD687CD08812FBA2461",1)</v>
      </c>
      <c r="L3" s="41"/>
    </row>
    <row r="4" s="1" customFormat="1" ht="65" customHeight="1" spans="1:12">
      <c r="A4" s="11" t="s">
        <v>0</v>
      </c>
      <c r="B4" s="12" t="s">
        <v>71</v>
      </c>
      <c r="C4" s="13" t="s">
        <v>72</v>
      </c>
      <c r="D4" s="14"/>
      <c r="E4" s="12" t="s">
        <v>73</v>
      </c>
      <c r="F4" s="12" t="s">
        <v>74</v>
      </c>
      <c r="G4" s="12" t="s">
        <v>75</v>
      </c>
      <c r="H4" s="12" t="s">
        <v>4</v>
      </c>
      <c r="I4" s="42" t="s">
        <v>76</v>
      </c>
      <c r="J4" s="43" t="s">
        <v>3</v>
      </c>
      <c r="K4" s="44"/>
      <c r="L4" s="45"/>
    </row>
    <row r="5" s="1" customFormat="1" customHeight="1" outlineLevel="1" spans="1:12">
      <c r="A5" s="15">
        <v>1</v>
      </c>
      <c r="B5" s="16" t="s">
        <v>77</v>
      </c>
      <c r="C5" s="16"/>
      <c r="D5" s="16"/>
      <c r="E5" s="16"/>
      <c r="F5" s="16"/>
      <c r="G5" s="16"/>
      <c r="H5" s="16"/>
      <c r="I5" s="46"/>
      <c r="J5" s="47"/>
      <c r="K5" s="44"/>
      <c r="L5" s="45"/>
    </row>
    <row r="6" s="1" customFormat="1" customHeight="1" outlineLevel="1" spans="1:12">
      <c r="A6" s="17">
        <v>1.1</v>
      </c>
      <c r="B6" s="18" t="s">
        <v>5</v>
      </c>
      <c r="C6" s="19" t="s">
        <v>6</v>
      </c>
      <c r="D6" s="20"/>
      <c r="E6" s="21"/>
      <c r="F6" s="21" t="s">
        <v>7</v>
      </c>
      <c r="G6" s="21">
        <v>1.23</v>
      </c>
      <c r="H6" s="21">
        <f>VLOOKUP(C6,'单价表-木门'!$C:$F,4,FALSE)</f>
        <v>114</v>
      </c>
      <c r="I6" s="48">
        <f t="shared" ref="I6:I10" si="0">G6*H6</f>
        <v>140.22</v>
      </c>
      <c r="J6" s="49"/>
      <c r="K6" s="44"/>
      <c r="L6" s="45"/>
    </row>
    <row r="7" s="1" customFormat="1" ht="55" customHeight="1" outlineLevel="1" spans="1:12">
      <c r="A7" s="17">
        <v>2.1</v>
      </c>
      <c r="B7" s="22" t="s">
        <v>9</v>
      </c>
      <c r="C7" s="23" t="s">
        <v>10</v>
      </c>
      <c r="D7" s="24"/>
      <c r="E7" s="21"/>
      <c r="F7" s="21" t="s">
        <v>11</v>
      </c>
      <c r="G7" s="21">
        <v>2.15</v>
      </c>
      <c r="H7" s="21">
        <f>VLOOKUP(C7,'单价表-木门'!$C:$F,4,FALSE)</f>
        <v>93</v>
      </c>
      <c r="I7" s="48">
        <f t="shared" si="0"/>
        <v>199.95</v>
      </c>
      <c r="J7" s="50" t="s">
        <v>79</v>
      </c>
      <c r="K7" s="40"/>
      <c r="L7" s="40"/>
    </row>
    <row r="8" s="1" customFormat="1" customHeight="1" outlineLevel="1" spans="1:12">
      <c r="A8" s="17">
        <v>3.1</v>
      </c>
      <c r="B8" s="18" t="s">
        <v>13</v>
      </c>
      <c r="C8" s="19" t="s">
        <v>14</v>
      </c>
      <c r="D8" s="20"/>
      <c r="E8" s="21"/>
      <c r="F8" s="21" t="s">
        <v>15</v>
      </c>
      <c r="G8" s="21">
        <v>6.16</v>
      </c>
      <c r="H8" s="21">
        <f>VLOOKUP(C8,'单价表-木门'!$C:$F,4,FALSE)</f>
        <v>4.85</v>
      </c>
      <c r="I8" s="48">
        <f t="shared" si="0"/>
        <v>29.876</v>
      </c>
      <c r="J8" s="49"/>
      <c r="K8" s="51"/>
      <c r="L8" s="52"/>
    </row>
    <row r="9" s="1" customFormat="1" customHeight="1" outlineLevel="1" spans="1:10">
      <c r="A9" s="17">
        <v>4.1</v>
      </c>
      <c r="B9" s="18" t="s">
        <v>17</v>
      </c>
      <c r="C9" s="19" t="s">
        <v>18</v>
      </c>
      <c r="D9" s="20"/>
      <c r="E9" s="21"/>
      <c r="F9" s="21" t="s">
        <v>15</v>
      </c>
      <c r="G9" s="21">
        <v>12.32</v>
      </c>
      <c r="H9" s="21">
        <f>VLOOKUP(C9,'单价表-木门'!$C:$F,4,FALSE)</f>
        <v>7.25</v>
      </c>
      <c r="I9" s="48">
        <f t="shared" si="0"/>
        <v>89.32</v>
      </c>
      <c r="J9" s="53"/>
    </row>
    <row r="10" s="1" customFormat="1" customHeight="1" outlineLevel="1" spans="1:10">
      <c r="A10" s="17">
        <v>5.1</v>
      </c>
      <c r="B10" s="18" t="s">
        <v>19</v>
      </c>
      <c r="C10" s="19" t="s">
        <v>20</v>
      </c>
      <c r="D10" s="20"/>
      <c r="E10" s="21"/>
      <c r="F10" s="21" t="s">
        <v>7</v>
      </c>
      <c r="G10" s="21">
        <f>4.6+G6*2</f>
        <v>7.06</v>
      </c>
      <c r="H10" s="21">
        <f>VLOOKUP(C10,'单价表-木门'!$C:$F,4,FALSE)</f>
        <v>53.15</v>
      </c>
      <c r="I10" s="48">
        <f t="shared" si="0"/>
        <v>375.239</v>
      </c>
      <c r="J10" s="53"/>
    </row>
    <row r="11" s="1" customFormat="1" customHeight="1" outlineLevel="1" spans="1:10">
      <c r="A11" s="15"/>
      <c r="B11" s="16" t="s">
        <v>82</v>
      </c>
      <c r="C11" s="16"/>
      <c r="D11" s="16"/>
      <c r="E11" s="16"/>
      <c r="F11" s="16"/>
      <c r="G11" s="16"/>
      <c r="H11" s="16"/>
      <c r="I11" s="46">
        <f>SUM(I6:I10)</f>
        <v>834.605</v>
      </c>
      <c r="J11" s="53"/>
    </row>
    <row r="12" s="1" customFormat="1" customHeight="1" outlineLevel="1" spans="1:10">
      <c r="A12" s="15">
        <v>2</v>
      </c>
      <c r="B12" s="16" t="s">
        <v>83</v>
      </c>
      <c r="C12" s="16"/>
      <c r="D12" s="16"/>
      <c r="E12" s="16"/>
      <c r="F12" s="16"/>
      <c r="G12" s="16"/>
      <c r="H12" s="16"/>
      <c r="I12" s="46"/>
      <c r="J12" s="54"/>
    </row>
    <row r="13" s="1" customFormat="1" customHeight="1" outlineLevel="1" spans="1:10">
      <c r="A13" s="17">
        <v>2.1</v>
      </c>
      <c r="B13" s="18" t="s">
        <v>22</v>
      </c>
      <c r="C13" s="19" t="s">
        <v>23</v>
      </c>
      <c r="D13" s="20"/>
      <c r="E13" s="21"/>
      <c r="F13" s="21" t="s">
        <v>24</v>
      </c>
      <c r="G13" s="21">
        <v>1</v>
      </c>
      <c r="H13" s="21">
        <f>VLOOKUP(C13,'单价表-木门'!$C:$F,4,FALSE)</f>
        <v>86</v>
      </c>
      <c r="I13" s="48">
        <f t="shared" ref="I13:I16" si="1">G13*H13</f>
        <v>86</v>
      </c>
      <c r="J13" s="53"/>
    </row>
    <row r="14" s="1" customFormat="1" customHeight="1" outlineLevel="1" spans="1:10">
      <c r="A14" s="17">
        <v>2.2</v>
      </c>
      <c r="B14" s="18" t="s">
        <v>25</v>
      </c>
      <c r="C14" s="19" t="s">
        <v>26</v>
      </c>
      <c r="D14" s="20"/>
      <c r="E14" s="21"/>
      <c r="F14" s="21" t="s">
        <v>24</v>
      </c>
      <c r="G14" s="21">
        <v>4</v>
      </c>
      <c r="H14" s="21">
        <f>VLOOKUP(C14,'单价表-木门'!$C:$F,4,FALSE)</f>
        <v>14</v>
      </c>
      <c r="I14" s="48">
        <f t="shared" si="1"/>
        <v>56</v>
      </c>
      <c r="J14" s="53"/>
    </row>
    <row r="15" s="1" customFormat="1" customHeight="1" outlineLevel="1" spans="1:10">
      <c r="A15" s="17">
        <v>2.3</v>
      </c>
      <c r="B15" s="18" t="s">
        <v>28</v>
      </c>
      <c r="C15" s="19" t="s">
        <v>29</v>
      </c>
      <c r="D15" s="20"/>
      <c r="E15" s="21"/>
      <c r="F15" s="21" t="s">
        <v>24</v>
      </c>
      <c r="G15" s="21">
        <v>1</v>
      </c>
      <c r="H15" s="21">
        <f>VLOOKUP(C15,'单价表-木门'!$C:$F,4,FALSE)</f>
        <v>12</v>
      </c>
      <c r="I15" s="48">
        <f t="shared" si="1"/>
        <v>12</v>
      </c>
      <c r="J15" s="53"/>
    </row>
    <row r="16" s="1" customFormat="1" customHeight="1" outlineLevel="1" spans="1:10">
      <c r="A16" s="17">
        <v>2.4</v>
      </c>
      <c r="B16" s="18" t="s">
        <v>30</v>
      </c>
      <c r="C16" s="19" t="s">
        <v>31</v>
      </c>
      <c r="D16" s="20"/>
      <c r="E16" s="21"/>
      <c r="F16" s="21" t="s">
        <v>24</v>
      </c>
      <c r="G16" s="21">
        <v>1</v>
      </c>
      <c r="H16" s="21">
        <f>VLOOKUP(C16,'单价表-木门'!$C:$F,4,FALSE)</f>
        <v>12.4</v>
      </c>
      <c r="I16" s="48">
        <f t="shared" si="1"/>
        <v>12.4</v>
      </c>
      <c r="J16" s="53"/>
    </row>
    <row r="17" s="1" customFormat="1" customHeight="1" outlineLevel="1" spans="1:10">
      <c r="A17" s="15"/>
      <c r="B17" s="16" t="s">
        <v>84</v>
      </c>
      <c r="C17" s="16"/>
      <c r="D17" s="16"/>
      <c r="E17" s="16"/>
      <c r="F17" s="16"/>
      <c r="G17" s="16"/>
      <c r="H17" s="16"/>
      <c r="I17" s="46">
        <f>SUM(I13:I16)</f>
        <v>166.4</v>
      </c>
      <c r="J17" s="53"/>
    </row>
    <row r="18" s="1" customFormat="1" customHeight="1" outlineLevel="1" spans="1:10">
      <c r="A18" s="25">
        <v>3</v>
      </c>
      <c r="B18" s="16" t="s">
        <v>85</v>
      </c>
      <c r="C18" s="16"/>
      <c r="D18" s="16"/>
      <c r="E18" s="16"/>
      <c r="F18" s="16"/>
      <c r="G18" s="16"/>
      <c r="H18" s="16"/>
      <c r="I18" s="46"/>
      <c r="J18" s="54"/>
    </row>
    <row r="19" s="1" customFormat="1" customHeight="1" outlineLevel="1" spans="1:10">
      <c r="A19" s="21">
        <v>3.1</v>
      </c>
      <c r="B19" s="18" t="s">
        <v>33</v>
      </c>
      <c r="C19" s="21" t="s">
        <v>34</v>
      </c>
      <c r="D19" s="21"/>
      <c r="E19" s="18"/>
      <c r="F19" s="21" t="s">
        <v>11</v>
      </c>
      <c r="G19" s="21">
        <v>1</v>
      </c>
      <c r="H19" s="21">
        <f>VLOOKUP(C19,'单价表-木门'!$C:$F,4,FALSE)</f>
        <v>9.7</v>
      </c>
      <c r="I19" s="48">
        <f t="shared" ref="I19:I21" si="2">G19*H19</f>
        <v>9.7</v>
      </c>
      <c r="J19" s="53"/>
    </row>
    <row r="20" s="1" customFormat="1" customHeight="1" outlineLevel="1" spans="1:10">
      <c r="A20" s="21">
        <v>3.2</v>
      </c>
      <c r="B20" s="18" t="s">
        <v>35</v>
      </c>
      <c r="C20" s="21" t="s">
        <v>36</v>
      </c>
      <c r="D20" s="21"/>
      <c r="E20" s="21"/>
      <c r="F20" s="21" t="s">
        <v>15</v>
      </c>
      <c r="G20" s="21">
        <f>G8</f>
        <v>6.16</v>
      </c>
      <c r="H20" s="21">
        <f>VLOOKUP(C20,'单价表-木门'!$C:$F,4,FALSE)</f>
        <v>4.8</v>
      </c>
      <c r="I20" s="48">
        <f t="shared" si="2"/>
        <v>29.568</v>
      </c>
      <c r="J20" s="53"/>
    </row>
    <row r="21" s="1" customFormat="1" customHeight="1" outlineLevel="1" spans="1:10">
      <c r="A21" s="21">
        <v>3.3</v>
      </c>
      <c r="B21" s="18" t="s">
        <v>30</v>
      </c>
      <c r="C21" s="19" t="s">
        <v>38</v>
      </c>
      <c r="D21" s="20"/>
      <c r="E21" s="21"/>
      <c r="F21" s="21" t="s">
        <v>24</v>
      </c>
      <c r="G21" s="21">
        <v>1</v>
      </c>
      <c r="H21" s="21">
        <f>VLOOKUP(C21,'单价表-木门'!$C:$F,4,FALSE)</f>
        <v>14.5</v>
      </c>
      <c r="I21" s="48">
        <f t="shared" si="2"/>
        <v>14.5</v>
      </c>
      <c r="J21" s="53"/>
    </row>
    <row r="22" s="1" customFormat="1" customHeight="1" outlineLevel="1" spans="1:10">
      <c r="A22" s="15"/>
      <c r="B22" s="16" t="s">
        <v>86</v>
      </c>
      <c r="C22" s="16"/>
      <c r="D22" s="16"/>
      <c r="E22" s="16"/>
      <c r="F22" s="16"/>
      <c r="G22" s="16"/>
      <c r="H22" s="16"/>
      <c r="I22" s="46">
        <f>SUM(I19:I21)</f>
        <v>53.768</v>
      </c>
      <c r="J22" s="53"/>
    </row>
    <row r="23" s="1" customFormat="1" customHeight="1" outlineLevel="1" spans="1:10">
      <c r="A23" s="15">
        <v>4</v>
      </c>
      <c r="B23" s="18" t="s">
        <v>87</v>
      </c>
      <c r="C23" s="18"/>
      <c r="D23" s="18"/>
      <c r="E23" s="18"/>
      <c r="F23" s="18"/>
      <c r="G23" s="18"/>
      <c r="H23" s="18"/>
      <c r="I23" s="48">
        <f>'单价表-木门'!F14-40</f>
        <v>187</v>
      </c>
      <c r="J23" s="53"/>
    </row>
    <row r="24" s="1" customFormat="1" customHeight="1" outlineLevel="1" spans="1:10">
      <c r="A24" s="15">
        <v>5</v>
      </c>
      <c r="B24" s="18" t="s">
        <v>42</v>
      </c>
      <c r="C24" s="18"/>
      <c r="D24" s="18"/>
      <c r="E24" s="18"/>
      <c r="F24" s="18"/>
      <c r="G24" s="18"/>
      <c r="H24" s="18"/>
      <c r="I24" s="48">
        <f>VLOOKUP(B24,'单价表-木门'!$B:$F,5,FALSE)</f>
        <v>14.5</v>
      </c>
      <c r="J24" s="53"/>
    </row>
    <row r="25" s="1" customFormat="1" customHeight="1" outlineLevel="1" spans="1:10">
      <c r="A25" s="15">
        <v>6</v>
      </c>
      <c r="B25" s="23" t="s">
        <v>88</v>
      </c>
      <c r="C25" s="26"/>
      <c r="D25" s="26"/>
      <c r="E25" s="26"/>
      <c r="F25" s="26"/>
      <c r="G25" s="24"/>
      <c r="H25" s="27"/>
      <c r="I25" s="46">
        <f>I11+I17+I22+I23+I24</f>
        <v>1256.273</v>
      </c>
      <c r="J25" s="54"/>
    </row>
    <row r="26" s="1" customFormat="1" customHeight="1" outlineLevel="1" spans="1:10">
      <c r="A26" s="15">
        <v>7</v>
      </c>
      <c r="B26" s="23" t="s">
        <v>61</v>
      </c>
      <c r="C26" s="26"/>
      <c r="D26" s="26"/>
      <c r="E26" s="26"/>
      <c r="F26" s="26"/>
      <c r="G26" s="24"/>
      <c r="H26" s="28">
        <v>0.03</v>
      </c>
      <c r="I26" s="48">
        <f>I25*H26</f>
        <v>37.68819</v>
      </c>
      <c r="J26" s="53"/>
    </row>
    <row r="27" s="1" customFormat="1" customHeight="1" outlineLevel="1" spans="1:10">
      <c r="A27" s="15">
        <v>8</v>
      </c>
      <c r="B27" s="23" t="s">
        <v>63</v>
      </c>
      <c r="C27" s="26"/>
      <c r="D27" s="26"/>
      <c r="E27" s="26"/>
      <c r="F27" s="26"/>
      <c r="G27" s="24"/>
      <c r="H27" s="28">
        <v>0.13</v>
      </c>
      <c r="I27" s="48">
        <f>+(I25+I26)*H27</f>
        <v>168.2149547</v>
      </c>
      <c r="J27" s="53"/>
    </row>
    <row r="28" s="1" customFormat="1" customHeight="1" spans="1:11">
      <c r="A28" s="15">
        <v>9</v>
      </c>
      <c r="B28" s="29" t="s">
        <v>76</v>
      </c>
      <c r="C28" s="30"/>
      <c r="D28" s="30"/>
      <c r="E28" s="30"/>
      <c r="F28" s="30"/>
      <c r="G28" s="31"/>
      <c r="H28" s="32"/>
      <c r="I28" s="55">
        <f>+I27+I26+I25</f>
        <v>1462.1761447</v>
      </c>
      <c r="J28" s="16"/>
      <c r="K28" s="56"/>
    </row>
    <row r="29" s="1" customFormat="1" customHeight="1" spans="1:10">
      <c r="A29" s="15">
        <v>10</v>
      </c>
      <c r="B29" s="33" t="s">
        <v>89</v>
      </c>
      <c r="C29" s="34"/>
      <c r="D29" s="34"/>
      <c r="E29" s="34"/>
      <c r="F29" s="34"/>
      <c r="G29" s="35"/>
      <c r="H29" s="36"/>
      <c r="I29" s="55">
        <f>+I28/I3</f>
        <v>681.985142117537</v>
      </c>
      <c r="J29" s="57"/>
    </row>
    <row r="30" s="1" customFormat="1" customHeight="1" spans="1:10">
      <c r="A30" s="7" t="s">
        <v>90</v>
      </c>
      <c r="B30" s="7"/>
      <c r="C30" s="7"/>
      <c r="D30" s="7"/>
      <c r="E30" s="7"/>
      <c r="F30" s="7"/>
      <c r="G30" s="7"/>
      <c r="H30" s="7"/>
      <c r="I30" s="38"/>
      <c r="J30" s="7"/>
    </row>
    <row r="31" s="2" customFormat="1" customHeight="1" spans="1:12">
      <c r="A31" s="8" t="s">
        <v>66</v>
      </c>
      <c r="B31" s="8"/>
      <c r="C31" s="9" t="s">
        <v>91</v>
      </c>
      <c r="D31" s="10"/>
      <c r="E31" s="8" t="s">
        <v>68</v>
      </c>
      <c r="F31" s="8" t="s">
        <v>92</v>
      </c>
      <c r="G31" s="8"/>
      <c r="H31" s="8" t="s">
        <v>70</v>
      </c>
      <c r="I31" s="39">
        <f>'03、（方案1）综合单价分析表'!I31</f>
        <v>2.278</v>
      </c>
      <c r="J31" s="8"/>
      <c r="K31" s="40" t="str">
        <f>_xlfn.DISPIMG("ID_497B367832CA4177920CE0910EB837FA",1)</f>
        <v>=DISPIMG("ID_497B367832CA4177920CE0910EB837FA",1)</v>
      </c>
      <c r="L31" s="41"/>
    </row>
    <row r="32" s="2" customFormat="1" ht="45" customHeight="1" outlineLevel="1" spans="1:12">
      <c r="A32" s="11" t="s">
        <v>0</v>
      </c>
      <c r="B32" s="12" t="s">
        <v>71</v>
      </c>
      <c r="C32" s="13" t="s">
        <v>72</v>
      </c>
      <c r="D32" s="14"/>
      <c r="E32" s="12" t="s">
        <v>73</v>
      </c>
      <c r="F32" s="12" t="s">
        <v>74</v>
      </c>
      <c r="G32" s="12" t="s">
        <v>75</v>
      </c>
      <c r="H32" s="12" t="s">
        <v>4</v>
      </c>
      <c r="I32" s="42" t="s">
        <v>76</v>
      </c>
      <c r="J32" s="43" t="s">
        <v>3</v>
      </c>
      <c r="K32" s="44"/>
      <c r="L32" s="45"/>
    </row>
    <row r="33" s="2" customFormat="1" customHeight="1" outlineLevel="1" spans="1:12">
      <c r="A33" s="15">
        <v>1</v>
      </c>
      <c r="B33" s="16" t="s">
        <v>77</v>
      </c>
      <c r="C33" s="16"/>
      <c r="D33" s="16"/>
      <c r="E33" s="16"/>
      <c r="F33" s="16"/>
      <c r="G33" s="16"/>
      <c r="H33" s="16"/>
      <c r="I33" s="46"/>
      <c r="J33" s="47"/>
      <c r="K33" s="44"/>
      <c r="L33" s="45"/>
    </row>
    <row r="34" s="2" customFormat="1" customHeight="1" outlineLevel="1" spans="1:12">
      <c r="A34" s="17">
        <v>1.1</v>
      </c>
      <c r="B34" s="18" t="s">
        <v>5</v>
      </c>
      <c r="C34" s="19" t="s">
        <v>6</v>
      </c>
      <c r="D34" s="20"/>
      <c r="E34" s="21"/>
      <c r="F34" s="21" t="s">
        <v>7</v>
      </c>
      <c r="G34" s="21">
        <v>1.24</v>
      </c>
      <c r="H34" s="21">
        <f>VLOOKUP(C34,'单价表-木门'!$C:$F,4,FALSE)</f>
        <v>114</v>
      </c>
      <c r="I34" s="48">
        <f t="shared" ref="I34:I38" si="3">G34*H34</f>
        <v>141.36</v>
      </c>
      <c r="J34" s="49"/>
      <c r="K34" s="44"/>
      <c r="L34" s="45"/>
    </row>
    <row r="35" s="2" customFormat="1" ht="57" customHeight="1" outlineLevel="1" spans="1:12">
      <c r="A35" s="17">
        <v>2.1</v>
      </c>
      <c r="B35" s="22" t="s">
        <v>9</v>
      </c>
      <c r="C35" s="23" t="s">
        <v>10</v>
      </c>
      <c r="D35" s="24"/>
      <c r="E35" s="21"/>
      <c r="F35" s="21" t="s">
        <v>11</v>
      </c>
      <c r="G35" s="21">
        <v>2.28</v>
      </c>
      <c r="H35" s="21">
        <f>VLOOKUP(C35,'单价表-木门'!$C:$F,4,FALSE)</f>
        <v>93</v>
      </c>
      <c r="I35" s="48">
        <f t="shared" si="3"/>
        <v>212.04</v>
      </c>
      <c r="J35" s="50" t="s">
        <v>79</v>
      </c>
      <c r="K35" s="51"/>
      <c r="L35" s="52"/>
    </row>
    <row r="36" s="2" customFormat="1" customHeight="1" outlineLevel="1" spans="1:10">
      <c r="A36" s="17">
        <v>3.1</v>
      </c>
      <c r="B36" s="18" t="s">
        <v>13</v>
      </c>
      <c r="C36" s="19" t="s">
        <v>14</v>
      </c>
      <c r="D36" s="20"/>
      <c r="E36" s="21"/>
      <c r="F36" s="21" t="s">
        <v>15</v>
      </c>
      <c r="G36" s="21">
        <v>6.21</v>
      </c>
      <c r="H36" s="21">
        <f>VLOOKUP(C36,'单价表-木门'!$C:$F,4,FALSE)</f>
        <v>4.85</v>
      </c>
      <c r="I36" s="48">
        <f t="shared" si="3"/>
        <v>30.1185</v>
      </c>
      <c r="J36" s="49"/>
    </row>
    <row r="37" s="2" customFormat="1" customHeight="1" outlineLevel="1" spans="1:10">
      <c r="A37" s="17">
        <v>4.1</v>
      </c>
      <c r="B37" s="18" t="s">
        <v>17</v>
      </c>
      <c r="C37" s="19" t="s">
        <v>18</v>
      </c>
      <c r="D37" s="20"/>
      <c r="E37" s="21"/>
      <c r="F37" s="21" t="s">
        <v>15</v>
      </c>
      <c r="G37" s="21">
        <v>12.42</v>
      </c>
      <c r="H37" s="21">
        <f>VLOOKUP(C37,'单价表-木门'!$C:$F,4,FALSE)</f>
        <v>7.25</v>
      </c>
      <c r="I37" s="48">
        <f t="shared" si="3"/>
        <v>90.045</v>
      </c>
      <c r="J37" s="53"/>
    </row>
    <row r="38" s="2" customFormat="1" customHeight="1" outlineLevel="1" spans="1:10">
      <c r="A38" s="17">
        <v>5.1</v>
      </c>
      <c r="B38" s="18" t="s">
        <v>19</v>
      </c>
      <c r="C38" s="19" t="s">
        <v>20</v>
      </c>
      <c r="D38" s="20"/>
      <c r="E38" s="21"/>
      <c r="F38" s="21" t="s">
        <v>7</v>
      </c>
      <c r="G38" s="21">
        <f>4.87+G34*2</f>
        <v>7.35</v>
      </c>
      <c r="H38" s="21">
        <f>VLOOKUP(C38,'单价表-木门'!$C:$F,4,FALSE)</f>
        <v>53.15</v>
      </c>
      <c r="I38" s="48">
        <f t="shared" si="3"/>
        <v>390.6525</v>
      </c>
      <c r="J38" s="53"/>
    </row>
    <row r="39" s="2" customFormat="1" customHeight="1" outlineLevel="1" spans="1:10">
      <c r="A39" s="15"/>
      <c r="B39" s="16" t="s">
        <v>82</v>
      </c>
      <c r="C39" s="16"/>
      <c r="D39" s="16"/>
      <c r="E39" s="16"/>
      <c r="F39" s="16"/>
      <c r="G39" s="16"/>
      <c r="H39" s="16"/>
      <c r="I39" s="46">
        <f>SUM(I34:I38)</f>
        <v>864.216</v>
      </c>
      <c r="J39" s="53"/>
    </row>
    <row r="40" s="2" customFormat="1" customHeight="1" outlineLevel="1" spans="1:10">
      <c r="A40" s="15">
        <v>2</v>
      </c>
      <c r="B40" s="16" t="s">
        <v>83</v>
      </c>
      <c r="C40" s="16"/>
      <c r="D40" s="16"/>
      <c r="E40" s="16"/>
      <c r="F40" s="16"/>
      <c r="G40" s="16"/>
      <c r="H40" s="16"/>
      <c r="I40" s="46"/>
      <c r="J40" s="54"/>
    </row>
    <row r="41" s="2" customFormat="1" customHeight="1" outlineLevel="1" spans="1:10">
      <c r="A41" s="17">
        <v>2.1</v>
      </c>
      <c r="B41" s="18" t="s">
        <v>22</v>
      </c>
      <c r="C41" s="19" t="s">
        <v>23</v>
      </c>
      <c r="D41" s="20"/>
      <c r="E41" s="21"/>
      <c r="F41" s="21" t="s">
        <v>24</v>
      </c>
      <c r="G41" s="21">
        <v>1</v>
      </c>
      <c r="H41" s="21">
        <f>VLOOKUP(C41,'单价表-木门'!$C:$F,4,FALSE)</f>
        <v>86</v>
      </c>
      <c r="I41" s="48">
        <f t="shared" ref="I41:I44" si="4">G41*H41</f>
        <v>86</v>
      </c>
      <c r="J41" s="53"/>
    </row>
    <row r="42" s="2" customFormat="1" customHeight="1" outlineLevel="1" spans="1:10">
      <c r="A42" s="17">
        <v>2.2</v>
      </c>
      <c r="B42" s="18" t="s">
        <v>25</v>
      </c>
      <c r="C42" s="19" t="s">
        <v>26</v>
      </c>
      <c r="D42" s="20"/>
      <c r="E42" s="21"/>
      <c r="F42" s="21" t="s">
        <v>24</v>
      </c>
      <c r="G42" s="21">
        <v>4</v>
      </c>
      <c r="H42" s="21">
        <f>VLOOKUP(C42,'单价表-木门'!$C:$F,4,FALSE)</f>
        <v>14</v>
      </c>
      <c r="I42" s="48">
        <f t="shared" si="4"/>
        <v>56</v>
      </c>
      <c r="J42" s="53"/>
    </row>
    <row r="43" s="2" customFormat="1" customHeight="1" outlineLevel="1" spans="1:10">
      <c r="A43" s="17">
        <v>2.3</v>
      </c>
      <c r="B43" s="18" t="s">
        <v>28</v>
      </c>
      <c r="C43" s="19" t="s">
        <v>29</v>
      </c>
      <c r="D43" s="20"/>
      <c r="E43" s="21"/>
      <c r="F43" s="21" t="s">
        <v>24</v>
      </c>
      <c r="G43" s="21">
        <v>1</v>
      </c>
      <c r="H43" s="21">
        <f>VLOOKUP(C43,'单价表-木门'!$C:$F,4,FALSE)</f>
        <v>12</v>
      </c>
      <c r="I43" s="48">
        <f t="shared" si="4"/>
        <v>12</v>
      </c>
      <c r="J43" s="53"/>
    </row>
    <row r="44" s="2" customFormat="1" customHeight="1" outlineLevel="1" spans="1:10">
      <c r="A44" s="17">
        <v>2.4</v>
      </c>
      <c r="B44" s="18" t="s">
        <v>30</v>
      </c>
      <c r="C44" s="19" t="s">
        <v>31</v>
      </c>
      <c r="D44" s="20"/>
      <c r="E44" s="21"/>
      <c r="F44" s="21" t="s">
        <v>24</v>
      </c>
      <c r="G44" s="21">
        <v>1</v>
      </c>
      <c r="H44" s="21">
        <f>VLOOKUP(C44,'单价表-木门'!$C:$F,4,FALSE)</f>
        <v>12.4</v>
      </c>
      <c r="I44" s="48">
        <f t="shared" si="4"/>
        <v>12.4</v>
      </c>
      <c r="J44" s="53"/>
    </row>
    <row r="45" s="2" customFormat="1" customHeight="1" outlineLevel="1" spans="1:10">
      <c r="A45" s="15"/>
      <c r="B45" s="16" t="s">
        <v>84</v>
      </c>
      <c r="C45" s="16"/>
      <c r="D45" s="16"/>
      <c r="E45" s="16"/>
      <c r="F45" s="16"/>
      <c r="G45" s="16"/>
      <c r="H45" s="16"/>
      <c r="I45" s="46">
        <f>SUM(I41:I44)</f>
        <v>166.4</v>
      </c>
      <c r="J45" s="53"/>
    </row>
    <row r="46" s="2" customFormat="1" customHeight="1" outlineLevel="1" spans="1:10">
      <c r="A46" s="25">
        <v>3</v>
      </c>
      <c r="B46" s="16" t="s">
        <v>85</v>
      </c>
      <c r="C46" s="16"/>
      <c r="D46" s="16"/>
      <c r="E46" s="16"/>
      <c r="F46" s="16"/>
      <c r="G46" s="16"/>
      <c r="H46" s="16"/>
      <c r="I46" s="46"/>
      <c r="J46" s="54"/>
    </row>
    <row r="47" s="2" customFormat="1" customHeight="1" outlineLevel="1" spans="1:10">
      <c r="A47" s="21">
        <v>3.1</v>
      </c>
      <c r="B47" s="18" t="s">
        <v>33</v>
      </c>
      <c r="C47" s="21" t="s">
        <v>34</v>
      </c>
      <c r="D47" s="21"/>
      <c r="E47" s="18"/>
      <c r="F47" s="21" t="s">
        <v>11</v>
      </c>
      <c r="G47" s="21">
        <v>1</v>
      </c>
      <c r="H47" s="21">
        <f>VLOOKUP(C47,'单价表-木门'!$C:$F,4,FALSE)</f>
        <v>9.7</v>
      </c>
      <c r="I47" s="48">
        <f t="shared" ref="I47:I49" si="5">G47*H47</f>
        <v>9.7</v>
      </c>
      <c r="J47" s="53"/>
    </row>
    <row r="48" s="2" customFormat="1" customHeight="1" outlineLevel="1" spans="1:10">
      <c r="A48" s="21">
        <v>3.2</v>
      </c>
      <c r="B48" s="18" t="s">
        <v>35</v>
      </c>
      <c r="C48" s="21" t="s">
        <v>36</v>
      </c>
      <c r="D48" s="21"/>
      <c r="E48" s="21"/>
      <c r="F48" s="21" t="s">
        <v>15</v>
      </c>
      <c r="G48" s="21">
        <f>G36</f>
        <v>6.21</v>
      </c>
      <c r="H48" s="21">
        <f>VLOOKUP(C48,'单价表-木门'!$C:$F,4,FALSE)</f>
        <v>4.8</v>
      </c>
      <c r="I48" s="48">
        <f t="shared" si="5"/>
        <v>29.808</v>
      </c>
      <c r="J48" s="53"/>
    </row>
    <row r="49" s="2" customFormat="1" customHeight="1" outlineLevel="1" spans="1:10">
      <c r="A49" s="21">
        <v>3.3</v>
      </c>
      <c r="B49" s="18" t="s">
        <v>30</v>
      </c>
      <c r="C49" s="19" t="s">
        <v>38</v>
      </c>
      <c r="D49" s="20"/>
      <c r="E49" s="21"/>
      <c r="F49" s="21" t="s">
        <v>24</v>
      </c>
      <c r="G49" s="21">
        <v>1</v>
      </c>
      <c r="H49" s="21">
        <f>VLOOKUP(C49,'单价表-木门'!$C:$F,4,FALSE)</f>
        <v>14.5</v>
      </c>
      <c r="I49" s="48">
        <f t="shared" si="5"/>
        <v>14.5</v>
      </c>
      <c r="J49" s="53"/>
    </row>
    <row r="50" s="2" customFormat="1" customHeight="1" outlineLevel="1" spans="1:10">
      <c r="A50" s="15"/>
      <c r="B50" s="16" t="s">
        <v>86</v>
      </c>
      <c r="C50" s="16"/>
      <c r="D50" s="16"/>
      <c r="E50" s="16"/>
      <c r="F50" s="16"/>
      <c r="G50" s="16"/>
      <c r="H50" s="16"/>
      <c r="I50" s="46">
        <f>SUM(I47:I49)</f>
        <v>54.008</v>
      </c>
      <c r="J50" s="53"/>
    </row>
    <row r="51" s="2" customFormat="1" customHeight="1" outlineLevel="1" spans="1:10">
      <c r="A51" s="15">
        <v>4</v>
      </c>
      <c r="B51" s="18" t="s">
        <v>87</v>
      </c>
      <c r="C51" s="18"/>
      <c r="D51" s="18"/>
      <c r="E51" s="18"/>
      <c r="F51" s="18"/>
      <c r="G51" s="18"/>
      <c r="H51" s="18"/>
      <c r="I51" s="48">
        <f>'单价表-木门'!F14-40</f>
        <v>187</v>
      </c>
      <c r="J51" s="53"/>
    </row>
    <row r="52" s="2" customFormat="1" customHeight="1" outlineLevel="1" spans="1:10">
      <c r="A52" s="15">
        <v>5</v>
      </c>
      <c r="B52" s="18" t="s">
        <v>42</v>
      </c>
      <c r="C52" s="18"/>
      <c r="D52" s="18"/>
      <c r="E52" s="18"/>
      <c r="F52" s="18"/>
      <c r="G52" s="18"/>
      <c r="H52" s="18"/>
      <c r="I52" s="48">
        <f>VLOOKUP(B52,'单价表-木门'!$B:$F,5,FALSE)</f>
        <v>14.5</v>
      </c>
      <c r="J52" s="53"/>
    </row>
    <row r="53" s="2" customFormat="1" customHeight="1" outlineLevel="1" spans="1:10">
      <c r="A53" s="15">
        <v>6</v>
      </c>
      <c r="B53" s="23" t="s">
        <v>88</v>
      </c>
      <c r="C53" s="26"/>
      <c r="D53" s="26"/>
      <c r="E53" s="26"/>
      <c r="F53" s="26"/>
      <c r="G53" s="24"/>
      <c r="H53" s="27"/>
      <c r="I53" s="46">
        <f>I39+I45+I50+I51+I52</f>
        <v>1286.124</v>
      </c>
      <c r="J53" s="54"/>
    </row>
    <row r="54" s="2" customFormat="1" customHeight="1" outlineLevel="1" spans="1:10">
      <c r="A54" s="15">
        <v>7</v>
      </c>
      <c r="B54" s="23" t="s">
        <v>61</v>
      </c>
      <c r="C54" s="26"/>
      <c r="D54" s="26"/>
      <c r="E54" s="26"/>
      <c r="F54" s="26"/>
      <c r="G54" s="24"/>
      <c r="H54" s="28">
        <v>0.03</v>
      </c>
      <c r="I54" s="48">
        <f>I53*H54</f>
        <v>38.58372</v>
      </c>
      <c r="J54" s="53"/>
    </row>
    <row r="55" s="2" customFormat="1" customHeight="1" outlineLevel="1" spans="1:10">
      <c r="A55" s="15">
        <v>8</v>
      </c>
      <c r="B55" s="23" t="s">
        <v>63</v>
      </c>
      <c r="C55" s="26"/>
      <c r="D55" s="26"/>
      <c r="E55" s="26"/>
      <c r="F55" s="26"/>
      <c r="G55" s="24"/>
      <c r="H55" s="28">
        <v>0.13</v>
      </c>
      <c r="I55" s="48">
        <f>+(I53+I54)*H55</f>
        <v>172.2120036</v>
      </c>
      <c r="J55" s="53"/>
    </row>
    <row r="56" s="2" customFormat="1" customHeight="1" spans="1:10">
      <c r="A56" s="15">
        <v>9</v>
      </c>
      <c r="B56" s="29" t="s">
        <v>76</v>
      </c>
      <c r="C56" s="30"/>
      <c r="D56" s="30"/>
      <c r="E56" s="30"/>
      <c r="F56" s="30"/>
      <c r="G56" s="31"/>
      <c r="H56" s="32"/>
      <c r="I56" s="55">
        <f>+I55+I54+I53</f>
        <v>1496.9197236</v>
      </c>
      <c r="J56" s="16"/>
    </row>
    <row r="57" s="2" customFormat="1" customHeight="1" spans="1:10">
      <c r="A57" s="15">
        <v>10</v>
      </c>
      <c r="B57" s="33" t="s">
        <v>89</v>
      </c>
      <c r="C57" s="34"/>
      <c r="D57" s="34"/>
      <c r="E57" s="34"/>
      <c r="F57" s="34"/>
      <c r="G57" s="35"/>
      <c r="H57" s="36"/>
      <c r="I57" s="55">
        <f>+I56/I31</f>
        <v>657.120159613696</v>
      </c>
      <c r="J57" s="57"/>
    </row>
    <row r="58" customHeight="1" spans="1:10">
      <c r="A58" s="7" t="s">
        <v>93</v>
      </c>
      <c r="B58" s="7"/>
      <c r="C58" s="7"/>
      <c r="D58" s="7"/>
      <c r="E58" s="7"/>
      <c r="F58" s="7"/>
      <c r="G58" s="7"/>
      <c r="H58" s="7"/>
      <c r="I58" s="38"/>
      <c r="J58" s="7"/>
    </row>
    <row r="59" customHeight="1" spans="1:12">
      <c r="A59" s="8" t="s">
        <v>66</v>
      </c>
      <c r="B59" s="8"/>
      <c r="C59" s="9" t="s">
        <v>94</v>
      </c>
      <c r="D59" s="10"/>
      <c r="E59" s="8" t="s">
        <v>68</v>
      </c>
      <c r="F59" s="8" t="s">
        <v>95</v>
      </c>
      <c r="G59" s="8"/>
      <c r="H59" s="8" t="s">
        <v>70</v>
      </c>
      <c r="I59" s="39">
        <f>'03、（方案1）综合单价分析表'!I59</f>
        <v>2.546</v>
      </c>
      <c r="J59" s="8"/>
      <c r="K59" s="40" t="str">
        <f>_xlfn.DISPIMG("ID_564146BB3B9544488FA77E3B38DD873F",1)</f>
        <v>=DISPIMG("ID_564146BB3B9544488FA77E3B38DD873F",1)</v>
      </c>
      <c r="L59" s="41"/>
    </row>
    <row r="60" ht="42" customHeight="1" outlineLevel="1" spans="1:12">
      <c r="A60" s="11" t="s">
        <v>0</v>
      </c>
      <c r="B60" s="12" t="s">
        <v>71</v>
      </c>
      <c r="C60" s="13" t="s">
        <v>72</v>
      </c>
      <c r="D60" s="14"/>
      <c r="E60" s="12" t="s">
        <v>73</v>
      </c>
      <c r="F60" s="12" t="s">
        <v>74</v>
      </c>
      <c r="G60" s="12" t="s">
        <v>75</v>
      </c>
      <c r="H60" s="12" t="s">
        <v>4</v>
      </c>
      <c r="I60" s="42" t="s">
        <v>76</v>
      </c>
      <c r="J60" s="43" t="s">
        <v>3</v>
      </c>
      <c r="K60" s="44"/>
      <c r="L60" s="45"/>
    </row>
    <row r="61" customHeight="1" outlineLevel="1" spans="1:12">
      <c r="A61" s="15">
        <v>1</v>
      </c>
      <c r="B61" s="16" t="s">
        <v>77</v>
      </c>
      <c r="C61" s="16"/>
      <c r="D61" s="16"/>
      <c r="E61" s="16"/>
      <c r="F61" s="16"/>
      <c r="G61" s="16"/>
      <c r="H61" s="16"/>
      <c r="I61" s="46"/>
      <c r="J61" s="47"/>
      <c r="K61" s="44"/>
      <c r="L61" s="45"/>
    </row>
    <row r="62" customHeight="1" outlineLevel="1" spans="1:12">
      <c r="A62" s="17">
        <v>1.1</v>
      </c>
      <c r="B62" s="18" t="s">
        <v>5</v>
      </c>
      <c r="C62" s="19" t="s">
        <v>6</v>
      </c>
      <c r="D62" s="20"/>
      <c r="E62" s="21"/>
      <c r="F62" s="21" t="s">
        <v>7</v>
      </c>
      <c r="G62" s="21">
        <v>1.39</v>
      </c>
      <c r="H62" s="21">
        <f>VLOOKUP(C62,'单价表-木门'!$C:$F,4,FALSE)</f>
        <v>114</v>
      </c>
      <c r="I62" s="48">
        <f t="shared" ref="I62:I66" si="6">G62*H62</f>
        <v>158.46</v>
      </c>
      <c r="J62" s="49"/>
      <c r="K62" s="44"/>
      <c r="L62" s="45"/>
    </row>
    <row r="63" ht="54" customHeight="1" outlineLevel="1" spans="1:12">
      <c r="A63" s="17">
        <v>2.1</v>
      </c>
      <c r="B63" s="22" t="s">
        <v>9</v>
      </c>
      <c r="C63" s="23" t="s">
        <v>10</v>
      </c>
      <c r="D63" s="24"/>
      <c r="E63" s="21"/>
      <c r="F63" s="21" t="s">
        <v>11</v>
      </c>
      <c r="G63" s="21">
        <v>2.55</v>
      </c>
      <c r="H63" s="21">
        <f>VLOOKUP(C63,'单价表-木门'!$C:$F,4,FALSE)</f>
        <v>93</v>
      </c>
      <c r="I63" s="48">
        <f t="shared" si="6"/>
        <v>237.15</v>
      </c>
      <c r="J63" s="50" t="s">
        <v>79</v>
      </c>
      <c r="K63" s="51"/>
      <c r="L63" s="52"/>
    </row>
    <row r="64" customHeight="1" outlineLevel="1" spans="1:10">
      <c r="A64" s="17">
        <v>3.1</v>
      </c>
      <c r="B64" s="18" t="s">
        <v>13</v>
      </c>
      <c r="C64" s="19" t="s">
        <v>14</v>
      </c>
      <c r="D64" s="20"/>
      <c r="E64" s="21"/>
      <c r="F64" s="21" t="s">
        <v>15</v>
      </c>
      <c r="G64" s="21">
        <v>6.31</v>
      </c>
      <c r="H64" s="21">
        <f>VLOOKUP(C64,'单价表-木门'!$C:$F,4,FALSE)</f>
        <v>4.85</v>
      </c>
      <c r="I64" s="48">
        <f t="shared" si="6"/>
        <v>30.6035</v>
      </c>
      <c r="J64" s="49"/>
    </row>
    <row r="65" customHeight="1" outlineLevel="1" spans="1:10">
      <c r="A65" s="17">
        <v>4.1</v>
      </c>
      <c r="B65" s="18" t="s">
        <v>17</v>
      </c>
      <c r="C65" s="19" t="s">
        <v>18</v>
      </c>
      <c r="D65" s="20"/>
      <c r="E65" s="21"/>
      <c r="F65" s="21" t="s">
        <v>15</v>
      </c>
      <c r="G65" s="21">
        <v>12.62</v>
      </c>
      <c r="H65" s="21">
        <f>VLOOKUP(C65,'单价表-木门'!$C:$F,4,FALSE)</f>
        <v>7.25</v>
      </c>
      <c r="I65" s="48">
        <f t="shared" si="6"/>
        <v>91.495</v>
      </c>
      <c r="J65" s="53"/>
    </row>
    <row r="66" customHeight="1" outlineLevel="1" spans="1:10">
      <c r="A66" s="17">
        <v>5.1</v>
      </c>
      <c r="B66" s="18" t="s">
        <v>19</v>
      </c>
      <c r="C66" s="19" t="s">
        <v>20</v>
      </c>
      <c r="D66" s="20"/>
      <c r="E66" s="21"/>
      <c r="F66" s="21" t="s">
        <v>7</v>
      </c>
      <c r="G66" s="21">
        <f>5.42+G62*2</f>
        <v>8.2</v>
      </c>
      <c r="H66" s="21">
        <f>VLOOKUP(C66,'单价表-木门'!$C:$F,4,FALSE)</f>
        <v>53.15</v>
      </c>
      <c r="I66" s="48">
        <f t="shared" si="6"/>
        <v>435.83</v>
      </c>
      <c r="J66" s="53"/>
    </row>
    <row r="67" customHeight="1" outlineLevel="1" spans="1:10">
      <c r="A67" s="15"/>
      <c r="B67" s="16" t="s">
        <v>82</v>
      </c>
      <c r="C67" s="16"/>
      <c r="D67" s="16"/>
      <c r="E67" s="16"/>
      <c r="F67" s="16"/>
      <c r="G67" s="16"/>
      <c r="H67" s="16"/>
      <c r="I67" s="46">
        <f>SUM(I62:I66)</f>
        <v>953.5385</v>
      </c>
      <c r="J67" s="53"/>
    </row>
    <row r="68" customHeight="1" outlineLevel="1" spans="1:10">
      <c r="A68" s="15">
        <v>2</v>
      </c>
      <c r="B68" s="16" t="s">
        <v>83</v>
      </c>
      <c r="C68" s="16"/>
      <c r="D68" s="16"/>
      <c r="E68" s="16"/>
      <c r="F68" s="16"/>
      <c r="G68" s="16"/>
      <c r="H68" s="16"/>
      <c r="I68" s="46"/>
      <c r="J68" s="54"/>
    </row>
    <row r="69" customHeight="1" outlineLevel="1" spans="1:10">
      <c r="A69" s="17">
        <v>2.1</v>
      </c>
      <c r="B69" s="18" t="s">
        <v>22</v>
      </c>
      <c r="C69" s="19" t="s">
        <v>23</v>
      </c>
      <c r="D69" s="20"/>
      <c r="E69" s="21"/>
      <c r="F69" s="21" t="s">
        <v>24</v>
      </c>
      <c r="G69" s="21">
        <v>1</v>
      </c>
      <c r="H69" s="21">
        <f>VLOOKUP(C69,'单价表-木门'!$C:$F,4,FALSE)</f>
        <v>86</v>
      </c>
      <c r="I69" s="48">
        <f t="shared" ref="I69:I72" si="7">G69*H69</f>
        <v>86</v>
      </c>
      <c r="J69" s="53"/>
    </row>
    <row r="70" customHeight="1" outlineLevel="1" spans="1:10">
      <c r="A70" s="17">
        <v>2.2</v>
      </c>
      <c r="B70" s="18" t="s">
        <v>25</v>
      </c>
      <c r="C70" s="19" t="s">
        <v>26</v>
      </c>
      <c r="D70" s="20"/>
      <c r="E70" s="21"/>
      <c r="F70" s="21" t="s">
        <v>24</v>
      </c>
      <c r="G70" s="21">
        <v>4</v>
      </c>
      <c r="H70" s="21">
        <f>VLOOKUP(C70,'单价表-木门'!$C:$F,4,FALSE)</f>
        <v>14</v>
      </c>
      <c r="I70" s="48">
        <f t="shared" si="7"/>
        <v>56</v>
      </c>
      <c r="J70" s="53"/>
    </row>
    <row r="71" customHeight="1" outlineLevel="1" spans="1:10">
      <c r="A71" s="17">
        <v>2.3</v>
      </c>
      <c r="B71" s="18" t="s">
        <v>28</v>
      </c>
      <c r="C71" s="19" t="s">
        <v>29</v>
      </c>
      <c r="D71" s="20"/>
      <c r="E71" s="21"/>
      <c r="F71" s="21" t="s">
        <v>24</v>
      </c>
      <c r="G71" s="21">
        <v>1</v>
      </c>
      <c r="H71" s="21">
        <f>VLOOKUP(C71,'单价表-木门'!$C:$F,4,FALSE)</f>
        <v>12</v>
      </c>
      <c r="I71" s="48">
        <f t="shared" si="7"/>
        <v>12</v>
      </c>
      <c r="J71" s="53"/>
    </row>
    <row r="72" customHeight="1" outlineLevel="1" spans="1:10">
      <c r="A72" s="17">
        <v>2.4</v>
      </c>
      <c r="B72" s="18" t="s">
        <v>30</v>
      </c>
      <c r="C72" s="19" t="s">
        <v>31</v>
      </c>
      <c r="D72" s="20"/>
      <c r="E72" s="21"/>
      <c r="F72" s="21" t="s">
        <v>24</v>
      </c>
      <c r="G72" s="21">
        <v>1</v>
      </c>
      <c r="H72" s="21">
        <f>VLOOKUP(C72,'单价表-木门'!$C:$F,4,FALSE)</f>
        <v>12.4</v>
      </c>
      <c r="I72" s="48">
        <f t="shared" si="7"/>
        <v>12.4</v>
      </c>
      <c r="J72" s="53"/>
    </row>
    <row r="73" customHeight="1" outlineLevel="1" spans="1:10">
      <c r="A73" s="15"/>
      <c r="B73" s="16" t="s">
        <v>84</v>
      </c>
      <c r="C73" s="16"/>
      <c r="D73" s="16"/>
      <c r="E73" s="16"/>
      <c r="F73" s="16"/>
      <c r="G73" s="16"/>
      <c r="H73" s="16"/>
      <c r="I73" s="46">
        <f>SUM(I69:I72)</f>
        <v>166.4</v>
      </c>
      <c r="J73" s="53"/>
    </row>
    <row r="74" customHeight="1" outlineLevel="1" spans="1:10">
      <c r="A74" s="25">
        <v>3</v>
      </c>
      <c r="B74" s="16" t="s">
        <v>85</v>
      </c>
      <c r="C74" s="16"/>
      <c r="D74" s="16"/>
      <c r="E74" s="16"/>
      <c r="F74" s="16"/>
      <c r="G74" s="16"/>
      <c r="H74" s="16"/>
      <c r="I74" s="46"/>
      <c r="J74" s="54"/>
    </row>
    <row r="75" customHeight="1" outlineLevel="1" spans="1:10">
      <c r="A75" s="21">
        <v>3.1</v>
      </c>
      <c r="B75" s="18" t="s">
        <v>33</v>
      </c>
      <c r="C75" s="21" t="s">
        <v>34</v>
      </c>
      <c r="D75" s="21"/>
      <c r="E75" s="18"/>
      <c r="F75" s="21" t="s">
        <v>11</v>
      </c>
      <c r="G75" s="21">
        <v>1</v>
      </c>
      <c r="H75" s="21">
        <f>VLOOKUP(C75,'单价表-木门'!$C:$F,4,FALSE)</f>
        <v>9.7</v>
      </c>
      <c r="I75" s="48">
        <f t="shared" ref="I75:I77" si="8">G75*H75</f>
        <v>9.7</v>
      </c>
      <c r="J75" s="53"/>
    </row>
    <row r="76" customHeight="1" outlineLevel="1" spans="1:10">
      <c r="A76" s="21">
        <v>3.2</v>
      </c>
      <c r="B76" s="18" t="s">
        <v>35</v>
      </c>
      <c r="C76" s="21" t="s">
        <v>36</v>
      </c>
      <c r="D76" s="21"/>
      <c r="E76" s="21"/>
      <c r="F76" s="21" t="s">
        <v>15</v>
      </c>
      <c r="G76" s="21">
        <f>G64</f>
        <v>6.31</v>
      </c>
      <c r="H76" s="21">
        <f>VLOOKUP(C76,'单价表-木门'!$C:$F,4,FALSE)</f>
        <v>4.8</v>
      </c>
      <c r="I76" s="48">
        <f t="shared" si="8"/>
        <v>30.288</v>
      </c>
      <c r="J76" s="53"/>
    </row>
    <row r="77" customHeight="1" outlineLevel="1" spans="1:10">
      <c r="A77" s="21">
        <v>3.3</v>
      </c>
      <c r="B77" s="18" t="s">
        <v>30</v>
      </c>
      <c r="C77" s="19" t="s">
        <v>38</v>
      </c>
      <c r="D77" s="20"/>
      <c r="E77" s="21"/>
      <c r="F77" s="21" t="s">
        <v>24</v>
      </c>
      <c r="G77" s="21">
        <v>1</v>
      </c>
      <c r="H77" s="21">
        <f>VLOOKUP(C77,'单价表-木门'!$C:$F,4,FALSE)</f>
        <v>14.5</v>
      </c>
      <c r="I77" s="48">
        <f t="shared" si="8"/>
        <v>14.5</v>
      </c>
      <c r="J77" s="53"/>
    </row>
    <row r="78" customHeight="1" outlineLevel="1" spans="1:10">
      <c r="A78" s="15"/>
      <c r="B78" s="16" t="s">
        <v>86</v>
      </c>
      <c r="C78" s="16"/>
      <c r="D78" s="16"/>
      <c r="E78" s="16"/>
      <c r="F78" s="16"/>
      <c r="G78" s="16"/>
      <c r="H78" s="16"/>
      <c r="I78" s="46">
        <f>SUM(I75:I77)</f>
        <v>54.488</v>
      </c>
      <c r="J78" s="53"/>
    </row>
    <row r="79" customHeight="1" outlineLevel="1" spans="1:10">
      <c r="A79" s="15">
        <v>4</v>
      </c>
      <c r="B79" s="18" t="s">
        <v>87</v>
      </c>
      <c r="C79" s="18"/>
      <c r="D79" s="18"/>
      <c r="E79" s="18"/>
      <c r="F79" s="18"/>
      <c r="G79" s="18"/>
      <c r="H79" s="18"/>
      <c r="I79" s="48">
        <f>'单价表-木门'!F14-40</f>
        <v>187</v>
      </c>
      <c r="J79" s="53"/>
    </row>
    <row r="80" customHeight="1" outlineLevel="1" spans="1:10">
      <c r="A80" s="15">
        <v>5</v>
      </c>
      <c r="B80" s="18" t="s">
        <v>42</v>
      </c>
      <c r="C80" s="18"/>
      <c r="D80" s="18"/>
      <c r="E80" s="18"/>
      <c r="F80" s="18"/>
      <c r="G80" s="18"/>
      <c r="H80" s="18"/>
      <c r="I80" s="48">
        <f>VLOOKUP(B80,'单价表-木门'!$B:$F,5,FALSE)</f>
        <v>14.5</v>
      </c>
      <c r="J80" s="53"/>
    </row>
    <row r="81" customHeight="1" outlineLevel="1" spans="1:10">
      <c r="A81" s="15">
        <v>6</v>
      </c>
      <c r="B81" s="23" t="s">
        <v>88</v>
      </c>
      <c r="C81" s="26"/>
      <c r="D81" s="26"/>
      <c r="E81" s="26"/>
      <c r="F81" s="26"/>
      <c r="G81" s="24"/>
      <c r="H81" s="27"/>
      <c r="I81" s="46">
        <f>I67+I73+I78+I79+I80</f>
        <v>1375.9265</v>
      </c>
      <c r="J81" s="54"/>
    </row>
    <row r="82" customHeight="1" outlineLevel="1" spans="1:10">
      <c r="A82" s="15">
        <v>7</v>
      </c>
      <c r="B82" s="23" t="s">
        <v>61</v>
      </c>
      <c r="C82" s="26"/>
      <c r="D82" s="26"/>
      <c r="E82" s="26"/>
      <c r="F82" s="26"/>
      <c r="G82" s="24"/>
      <c r="H82" s="28">
        <v>0.03</v>
      </c>
      <c r="I82" s="48">
        <f>I81*H82</f>
        <v>41.277795</v>
      </c>
      <c r="J82" s="53"/>
    </row>
    <row r="83" customHeight="1" outlineLevel="1" spans="1:10">
      <c r="A83" s="15">
        <v>8</v>
      </c>
      <c r="B83" s="23" t="s">
        <v>63</v>
      </c>
      <c r="C83" s="26"/>
      <c r="D83" s="26"/>
      <c r="E83" s="26"/>
      <c r="F83" s="26"/>
      <c r="G83" s="24"/>
      <c r="H83" s="28">
        <v>0.13</v>
      </c>
      <c r="I83" s="48">
        <f>+(I81+I82)*H83</f>
        <v>184.23655835</v>
      </c>
      <c r="J83" s="53"/>
    </row>
    <row r="84" customHeight="1" spans="1:10">
      <c r="A84" s="15">
        <v>9</v>
      </c>
      <c r="B84" s="29" t="s">
        <v>76</v>
      </c>
      <c r="C84" s="30"/>
      <c r="D84" s="30"/>
      <c r="E84" s="30"/>
      <c r="F84" s="30"/>
      <c r="G84" s="31"/>
      <c r="H84" s="32"/>
      <c r="I84" s="55">
        <f>+I83+I82+I81</f>
        <v>1601.44085335</v>
      </c>
      <c r="J84" s="16"/>
    </row>
    <row r="85" customHeight="1" spans="1:10">
      <c r="A85" s="15">
        <v>10</v>
      </c>
      <c r="B85" s="33" t="s">
        <v>89</v>
      </c>
      <c r="C85" s="34"/>
      <c r="D85" s="34"/>
      <c r="E85" s="34"/>
      <c r="F85" s="34"/>
      <c r="G85" s="35"/>
      <c r="H85" s="36"/>
      <c r="I85" s="55">
        <f>+I84/I59</f>
        <v>629.002691810683</v>
      </c>
      <c r="J85" s="57"/>
    </row>
    <row r="86" customHeight="1" spans="1:10">
      <c r="A86" s="7" t="s">
        <v>96</v>
      </c>
      <c r="B86" s="7"/>
      <c r="C86" s="7"/>
      <c r="D86" s="7"/>
      <c r="E86" s="7"/>
      <c r="F86" s="7"/>
      <c r="G86" s="7"/>
      <c r="H86" s="7"/>
      <c r="I86" s="38"/>
      <c r="J86" s="7"/>
    </row>
    <row r="87" customHeight="1" spans="1:12">
      <c r="A87" s="8" t="s">
        <v>66</v>
      </c>
      <c r="B87" s="8"/>
      <c r="C87" s="9" t="s">
        <v>97</v>
      </c>
      <c r="D87" s="10"/>
      <c r="E87" s="8" t="s">
        <v>68</v>
      </c>
      <c r="F87" s="8" t="s">
        <v>98</v>
      </c>
      <c r="G87" s="8"/>
      <c r="H87" s="8" t="s">
        <v>70</v>
      </c>
      <c r="I87" s="39">
        <f>'03、（方案1）综合单价分析表'!I87</f>
        <v>3.0016</v>
      </c>
      <c r="J87" s="8"/>
      <c r="K87" s="40" t="str">
        <f>_xlfn.DISPIMG("ID_634699B1E55A4090AAB626FD6160ED1E",1)</f>
        <v>=DISPIMG("ID_634699B1E55A4090AAB626FD6160ED1E",1)</v>
      </c>
      <c r="L87" s="41"/>
    </row>
    <row r="88" customHeight="1" outlineLevel="1" spans="1:12">
      <c r="A88" s="11" t="s">
        <v>0</v>
      </c>
      <c r="B88" s="12" t="s">
        <v>71</v>
      </c>
      <c r="C88" s="13" t="s">
        <v>72</v>
      </c>
      <c r="D88" s="14"/>
      <c r="E88" s="12" t="s">
        <v>73</v>
      </c>
      <c r="F88" s="12" t="s">
        <v>74</v>
      </c>
      <c r="G88" s="12" t="s">
        <v>75</v>
      </c>
      <c r="H88" s="12" t="s">
        <v>4</v>
      </c>
      <c r="I88" s="42" t="s">
        <v>76</v>
      </c>
      <c r="J88" s="43" t="s">
        <v>3</v>
      </c>
      <c r="K88" s="44"/>
      <c r="L88" s="45"/>
    </row>
    <row r="89" customHeight="1" outlineLevel="1" spans="1:12">
      <c r="A89" s="15">
        <v>1</v>
      </c>
      <c r="B89" s="16" t="s">
        <v>77</v>
      </c>
      <c r="C89" s="16"/>
      <c r="D89" s="16"/>
      <c r="E89" s="16"/>
      <c r="F89" s="16"/>
      <c r="G89" s="16"/>
      <c r="H89" s="16"/>
      <c r="I89" s="46"/>
      <c r="J89" s="47"/>
      <c r="K89" s="44"/>
      <c r="L89" s="45"/>
    </row>
    <row r="90" customHeight="1" outlineLevel="1" spans="1:12">
      <c r="A90" s="17">
        <v>1.1</v>
      </c>
      <c r="B90" s="18" t="s">
        <v>5</v>
      </c>
      <c r="C90" s="19" t="s">
        <v>6</v>
      </c>
      <c r="D90" s="20"/>
      <c r="E90" s="21"/>
      <c r="F90" s="21" t="s">
        <v>7</v>
      </c>
      <c r="G90" s="21">
        <v>1.43</v>
      </c>
      <c r="H90" s="21">
        <f>VLOOKUP(C90,'单价表-木门'!$C:$F,4,FALSE)</f>
        <v>114</v>
      </c>
      <c r="I90" s="48">
        <f t="shared" ref="I90:I94" si="9">G90*H90</f>
        <v>163.02</v>
      </c>
      <c r="J90" s="49"/>
      <c r="K90" s="44"/>
      <c r="L90" s="45"/>
    </row>
    <row r="91" ht="56" customHeight="1" outlineLevel="1" spans="1:12">
      <c r="A91" s="17">
        <v>2.1</v>
      </c>
      <c r="B91" s="22" t="s">
        <v>9</v>
      </c>
      <c r="C91" s="23" t="s">
        <v>10</v>
      </c>
      <c r="D91" s="24"/>
      <c r="E91" s="21"/>
      <c r="F91" s="21" t="s">
        <v>11</v>
      </c>
      <c r="G91" s="21">
        <v>3</v>
      </c>
      <c r="H91" s="21">
        <f>VLOOKUP(C91,'单价表-木门'!$C:$F,4,FALSE)</f>
        <v>93</v>
      </c>
      <c r="I91" s="48">
        <f t="shared" si="9"/>
        <v>279</v>
      </c>
      <c r="J91" s="50" t="s">
        <v>79</v>
      </c>
      <c r="K91" s="51"/>
      <c r="L91" s="52"/>
    </row>
    <row r="92" customHeight="1" outlineLevel="1" spans="1:10">
      <c r="A92" s="17">
        <v>3.1</v>
      </c>
      <c r="B92" s="18" t="s">
        <v>13</v>
      </c>
      <c r="C92" s="19" t="s">
        <v>14</v>
      </c>
      <c r="D92" s="20"/>
      <c r="E92" s="21"/>
      <c r="F92" s="21" t="s">
        <v>15</v>
      </c>
      <c r="G92" s="21">
        <v>6.48</v>
      </c>
      <c r="H92" s="21">
        <f>VLOOKUP(C92,'单价表-木门'!$C:$F,4,FALSE)</f>
        <v>4.85</v>
      </c>
      <c r="I92" s="48">
        <f t="shared" si="9"/>
        <v>31.428</v>
      </c>
      <c r="J92" s="49"/>
    </row>
    <row r="93" customHeight="1" outlineLevel="1" spans="1:10">
      <c r="A93" s="17">
        <v>4.1</v>
      </c>
      <c r="B93" s="18" t="s">
        <v>17</v>
      </c>
      <c r="C93" s="19" t="s">
        <v>18</v>
      </c>
      <c r="D93" s="20"/>
      <c r="E93" s="21"/>
      <c r="F93" s="21" t="s">
        <v>15</v>
      </c>
      <c r="G93" s="21">
        <v>12.96</v>
      </c>
      <c r="H93" s="21">
        <f>VLOOKUP(C93,'单价表-木门'!$C:$F,4,FALSE)</f>
        <v>7.25</v>
      </c>
      <c r="I93" s="48">
        <f t="shared" si="9"/>
        <v>93.96</v>
      </c>
      <c r="J93" s="53"/>
    </row>
    <row r="94" customHeight="1" outlineLevel="1" spans="1:10">
      <c r="A94" s="17">
        <v>5.1</v>
      </c>
      <c r="B94" s="18" t="s">
        <v>19</v>
      </c>
      <c r="C94" s="19" t="s">
        <v>20</v>
      </c>
      <c r="D94" s="20"/>
      <c r="E94" s="21"/>
      <c r="F94" s="21" t="s">
        <v>7</v>
      </c>
      <c r="G94" s="21">
        <f>G90*2+6.35</f>
        <v>9.21</v>
      </c>
      <c r="H94" s="21">
        <f>VLOOKUP(C94,'单价表-木门'!$C:$F,4,FALSE)</f>
        <v>53.15</v>
      </c>
      <c r="I94" s="48">
        <f t="shared" si="9"/>
        <v>489.5115</v>
      </c>
      <c r="J94" s="53"/>
    </row>
    <row r="95" customHeight="1" outlineLevel="1" spans="1:10">
      <c r="A95" s="15"/>
      <c r="B95" s="16" t="s">
        <v>82</v>
      </c>
      <c r="C95" s="16"/>
      <c r="D95" s="16"/>
      <c r="E95" s="16"/>
      <c r="F95" s="16"/>
      <c r="G95" s="16"/>
      <c r="H95" s="16"/>
      <c r="I95" s="46">
        <f>SUM(I90:I94)</f>
        <v>1056.9195</v>
      </c>
      <c r="J95" s="53"/>
    </row>
    <row r="96" customHeight="1" outlineLevel="1" spans="1:10">
      <c r="A96" s="15">
        <v>2</v>
      </c>
      <c r="B96" s="16" t="s">
        <v>83</v>
      </c>
      <c r="C96" s="16"/>
      <c r="D96" s="16"/>
      <c r="E96" s="16"/>
      <c r="F96" s="16"/>
      <c r="G96" s="16"/>
      <c r="H96" s="16"/>
      <c r="I96" s="46"/>
      <c r="J96" s="54"/>
    </row>
    <row r="97" customHeight="1" outlineLevel="1" spans="1:10">
      <c r="A97" s="17">
        <v>2.1</v>
      </c>
      <c r="B97" s="18" t="s">
        <v>22</v>
      </c>
      <c r="C97" s="19" t="s">
        <v>23</v>
      </c>
      <c r="D97" s="20"/>
      <c r="E97" s="21"/>
      <c r="F97" s="21" t="s">
        <v>24</v>
      </c>
      <c r="G97" s="21">
        <v>2</v>
      </c>
      <c r="H97" s="21">
        <f>VLOOKUP(C97,'单价表-木门'!$C:$F,4,FALSE)</f>
        <v>86</v>
      </c>
      <c r="I97" s="48">
        <f t="shared" ref="I97:I100" si="10">G97*H97</f>
        <v>172</v>
      </c>
      <c r="J97" s="53"/>
    </row>
    <row r="98" customHeight="1" outlineLevel="1" spans="1:10">
      <c r="A98" s="17">
        <v>2.2</v>
      </c>
      <c r="B98" s="18" t="s">
        <v>25</v>
      </c>
      <c r="C98" s="19" t="s">
        <v>26</v>
      </c>
      <c r="D98" s="20"/>
      <c r="E98" s="21"/>
      <c r="F98" s="21" t="s">
        <v>24</v>
      </c>
      <c r="G98" s="21">
        <v>8</v>
      </c>
      <c r="H98" s="21">
        <f>VLOOKUP(C98,'单价表-木门'!$C:$F,4,FALSE)</f>
        <v>14</v>
      </c>
      <c r="I98" s="48">
        <f t="shared" si="10"/>
        <v>112</v>
      </c>
      <c r="J98" s="53"/>
    </row>
    <row r="99" customHeight="1" outlineLevel="1" spans="1:10">
      <c r="A99" s="17">
        <v>2.3</v>
      </c>
      <c r="B99" s="18" t="s">
        <v>28</v>
      </c>
      <c r="C99" s="19" t="s">
        <v>29</v>
      </c>
      <c r="D99" s="20"/>
      <c r="E99" s="21"/>
      <c r="F99" s="21" t="s">
        <v>24</v>
      </c>
      <c r="G99" s="21">
        <v>1</v>
      </c>
      <c r="H99" s="21">
        <f>VLOOKUP(C99,'单价表-木门'!$C:$F,4,FALSE)</f>
        <v>12</v>
      </c>
      <c r="I99" s="48">
        <f t="shared" si="10"/>
        <v>12</v>
      </c>
      <c r="J99" s="53"/>
    </row>
    <row r="100" customHeight="1" outlineLevel="1" spans="1:10">
      <c r="A100" s="17">
        <v>2.4</v>
      </c>
      <c r="B100" s="18" t="s">
        <v>30</v>
      </c>
      <c r="C100" s="19" t="s">
        <v>31</v>
      </c>
      <c r="D100" s="20"/>
      <c r="E100" s="21"/>
      <c r="F100" s="21" t="s">
        <v>24</v>
      </c>
      <c r="G100" s="21">
        <v>1</v>
      </c>
      <c r="H100" s="21">
        <f>VLOOKUP(C100,'单价表-木门'!$C:$F,4,FALSE)</f>
        <v>12.4</v>
      </c>
      <c r="I100" s="48">
        <f t="shared" si="10"/>
        <v>12.4</v>
      </c>
      <c r="J100" s="53"/>
    </row>
    <row r="101" customHeight="1" outlineLevel="1" spans="1:10">
      <c r="A101" s="15"/>
      <c r="B101" s="16" t="s">
        <v>84</v>
      </c>
      <c r="C101" s="16"/>
      <c r="D101" s="16"/>
      <c r="E101" s="16"/>
      <c r="F101" s="16"/>
      <c r="G101" s="16"/>
      <c r="H101" s="16"/>
      <c r="I101" s="46">
        <f>SUM(I97:I100)</f>
        <v>308.4</v>
      </c>
      <c r="J101" s="53"/>
    </row>
    <row r="102" customHeight="1" outlineLevel="1" spans="1:10">
      <c r="A102" s="25">
        <v>3</v>
      </c>
      <c r="B102" s="16" t="s">
        <v>85</v>
      </c>
      <c r="C102" s="16"/>
      <c r="D102" s="16"/>
      <c r="E102" s="16"/>
      <c r="F102" s="16"/>
      <c r="G102" s="16"/>
      <c r="H102" s="16"/>
      <c r="I102" s="46"/>
      <c r="J102" s="54"/>
    </row>
    <row r="103" customHeight="1" outlineLevel="1" spans="1:10">
      <c r="A103" s="21">
        <v>3.1</v>
      </c>
      <c r="B103" s="18" t="s">
        <v>33</v>
      </c>
      <c r="C103" s="21" t="s">
        <v>34</v>
      </c>
      <c r="D103" s="21"/>
      <c r="E103" s="18"/>
      <c r="F103" s="21" t="s">
        <v>11</v>
      </c>
      <c r="G103" s="21">
        <v>1</v>
      </c>
      <c r="H103" s="21">
        <f>VLOOKUP(C103,'单价表-木门'!$C:$F,4,FALSE)</f>
        <v>9.7</v>
      </c>
      <c r="I103" s="48">
        <f t="shared" ref="I103:I105" si="11">G103*H103</f>
        <v>9.7</v>
      </c>
      <c r="J103" s="53"/>
    </row>
    <row r="104" customHeight="1" outlineLevel="1" spans="1:10">
      <c r="A104" s="21">
        <v>3.2</v>
      </c>
      <c r="B104" s="18" t="s">
        <v>35</v>
      </c>
      <c r="C104" s="21" t="s">
        <v>36</v>
      </c>
      <c r="D104" s="21"/>
      <c r="E104" s="21"/>
      <c r="F104" s="21" t="s">
        <v>15</v>
      </c>
      <c r="G104" s="21">
        <f>G92</f>
        <v>6.48</v>
      </c>
      <c r="H104" s="21">
        <f>VLOOKUP(C104,'单价表-木门'!$C:$F,4,FALSE)</f>
        <v>4.8</v>
      </c>
      <c r="I104" s="48">
        <f t="shared" si="11"/>
        <v>31.104</v>
      </c>
      <c r="J104" s="53"/>
    </row>
    <row r="105" customHeight="1" outlineLevel="1" spans="1:10">
      <c r="A105" s="21">
        <v>3.3</v>
      </c>
      <c r="B105" s="18" t="s">
        <v>30</v>
      </c>
      <c r="C105" s="19" t="s">
        <v>38</v>
      </c>
      <c r="D105" s="20"/>
      <c r="E105" s="21"/>
      <c r="F105" s="21" t="s">
        <v>24</v>
      </c>
      <c r="G105" s="21">
        <v>1</v>
      </c>
      <c r="H105" s="21">
        <f>VLOOKUP(C105,'单价表-木门'!$C:$F,4,FALSE)</f>
        <v>14.5</v>
      </c>
      <c r="I105" s="48">
        <f t="shared" si="11"/>
        <v>14.5</v>
      </c>
      <c r="J105" s="53"/>
    </row>
    <row r="106" customHeight="1" outlineLevel="1" spans="1:10">
      <c r="A106" s="15"/>
      <c r="B106" s="16" t="s">
        <v>86</v>
      </c>
      <c r="C106" s="16"/>
      <c r="D106" s="16"/>
      <c r="E106" s="16"/>
      <c r="F106" s="16"/>
      <c r="G106" s="16"/>
      <c r="H106" s="16"/>
      <c r="I106" s="46">
        <f>SUM(I103:I105)</f>
        <v>55.304</v>
      </c>
      <c r="J106" s="53"/>
    </row>
    <row r="107" customHeight="1" outlineLevel="1" spans="1:10">
      <c r="A107" s="15">
        <v>4</v>
      </c>
      <c r="B107" s="18" t="s">
        <v>87</v>
      </c>
      <c r="C107" s="18"/>
      <c r="D107" s="18"/>
      <c r="E107" s="18"/>
      <c r="F107" s="18"/>
      <c r="G107" s="18"/>
      <c r="H107" s="18"/>
      <c r="I107" s="48">
        <f>'单价表-木门'!F14+300</f>
        <v>527</v>
      </c>
      <c r="J107" s="53"/>
    </row>
    <row r="108" customHeight="1" outlineLevel="1" spans="1:10">
      <c r="A108" s="15">
        <v>5</v>
      </c>
      <c r="B108" s="18" t="s">
        <v>42</v>
      </c>
      <c r="C108" s="18"/>
      <c r="D108" s="18"/>
      <c r="E108" s="18"/>
      <c r="F108" s="18"/>
      <c r="G108" s="18"/>
      <c r="H108" s="18"/>
      <c r="I108" s="48">
        <f>VLOOKUP(B108,'单价表-木门'!$B:$F,5,FALSE)</f>
        <v>14.5</v>
      </c>
      <c r="J108" s="53"/>
    </row>
    <row r="109" customHeight="1" outlineLevel="1" spans="1:10">
      <c r="A109" s="15">
        <v>6</v>
      </c>
      <c r="B109" s="23" t="s">
        <v>88</v>
      </c>
      <c r="C109" s="26"/>
      <c r="D109" s="26"/>
      <c r="E109" s="26"/>
      <c r="F109" s="26"/>
      <c r="G109" s="24"/>
      <c r="H109" s="27"/>
      <c r="I109" s="46">
        <f>I95+I101+I106+I107+I108</f>
        <v>1962.1235</v>
      </c>
      <c r="J109" s="54"/>
    </row>
    <row r="110" customHeight="1" outlineLevel="1" spans="1:10">
      <c r="A110" s="15">
        <v>7</v>
      </c>
      <c r="B110" s="23" t="s">
        <v>61</v>
      </c>
      <c r="C110" s="26"/>
      <c r="D110" s="26"/>
      <c r="E110" s="26"/>
      <c r="F110" s="26"/>
      <c r="G110" s="24"/>
      <c r="H110" s="28">
        <v>0.03</v>
      </c>
      <c r="I110" s="48">
        <f>I109*H110</f>
        <v>58.863705</v>
      </c>
      <c r="J110" s="53"/>
    </row>
    <row r="111" customHeight="1" outlineLevel="1" spans="1:10">
      <c r="A111" s="15">
        <v>8</v>
      </c>
      <c r="B111" s="23" t="s">
        <v>63</v>
      </c>
      <c r="C111" s="26"/>
      <c r="D111" s="26"/>
      <c r="E111" s="26"/>
      <c r="F111" s="26"/>
      <c r="G111" s="24"/>
      <c r="H111" s="28">
        <v>0.13</v>
      </c>
      <c r="I111" s="48">
        <f>+(I109+I110)*H111</f>
        <v>262.72833665</v>
      </c>
      <c r="J111" s="53"/>
    </row>
    <row r="112" customHeight="1" spans="1:10">
      <c r="A112" s="15">
        <v>9</v>
      </c>
      <c r="B112" s="29" t="s">
        <v>76</v>
      </c>
      <c r="C112" s="30"/>
      <c r="D112" s="30"/>
      <c r="E112" s="30"/>
      <c r="F112" s="30"/>
      <c r="G112" s="31"/>
      <c r="H112" s="32"/>
      <c r="I112" s="55">
        <f>+I111+I110+I109</f>
        <v>2283.71554165</v>
      </c>
      <c r="J112" s="16"/>
    </row>
    <row r="113" customHeight="1" spans="1:10">
      <c r="A113" s="15">
        <v>10</v>
      </c>
      <c r="B113" s="33" t="s">
        <v>89</v>
      </c>
      <c r="C113" s="34"/>
      <c r="D113" s="34"/>
      <c r="E113" s="34"/>
      <c r="F113" s="34"/>
      <c r="G113" s="35"/>
      <c r="H113" s="36"/>
      <c r="I113" s="55">
        <f>+I112/I87</f>
        <v>760.832736423907</v>
      </c>
      <c r="J113" s="57"/>
    </row>
    <row r="114" customHeight="1" spans="1:10">
      <c r="A114" s="7" t="s">
        <v>99</v>
      </c>
      <c r="B114" s="7"/>
      <c r="C114" s="7"/>
      <c r="D114" s="7"/>
      <c r="E114" s="7"/>
      <c r="F114" s="7"/>
      <c r="G114" s="7"/>
      <c r="H114" s="7"/>
      <c r="I114" s="38"/>
      <c r="J114" s="7"/>
    </row>
    <row r="115" customHeight="1" spans="1:12">
      <c r="A115" s="8" t="s">
        <v>66</v>
      </c>
      <c r="B115" s="8"/>
      <c r="C115" s="9" t="s">
        <v>100</v>
      </c>
      <c r="D115" s="10"/>
      <c r="E115" s="8" t="s">
        <v>68</v>
      </c>
      <c r="F115" s="8" t="s">
        <v>101</v>
      </c>
      <c r="G115" s="8"/>
      <c r="H115" s="8" t="s">
        <v>70</v>
      </c>
      <c r="I115" s="39">
        <f>'03、（方案1）综合单价分析表'!I115</f>
        <v>2.278</v>
      </c>
      <c r="J115" s="8"/>
      <c r="K115" s="40" t="str">
        <f>_xlfn.DISPIMG("ID_54C2313BE64D4C78B9540179E215914B",1)</f>
        <v>=DISPIMG("ID_54C2313BE64D4C78B9540179E215914B",1)</v>
      </c>
      <c r="L115" s="41"/>
    </row>
    <row r="116" customHeight="1" outlineLevel="1" spans="1:12">
      <c r="A116" s="11" t="s">
        <v>0</v>
      </c>
      <c r="B116" s="12" t="s">
        <v>71</v>
      </c>
      <c r="C116" s="13" t="s">
        <v>72</v>
      </c>
      <c r="D116" s="14"/>
      <c r="E116" s="12" t="s">
        <v>73</v>
      </c>
      <c r="F116" s="12" t="s">
        <v>74</v>
      </c>
      <c r="G116" s="12" t="s">
        <v>75</v>
      </c>
      <c r="H116" s="12" t="s">
        <v>4</v>
      </c>
      <c r="I116" s="42" t="s">
        <v>76</v>
      </c>
      <c r="J116" s="43" t="s">
        <v>3</v>
      </c>
      <c r="K116" s="44"/>
      <c r="L116" s="45"/>
    </row>
    <row r="117" customHeight="1" outlineLevel="1" spans="1:12">
      <c r="A117" s="15">
        <v>1</v>
      </c>
      <c r="B117" s="16" t="s">
        <v>77</v>
      </c>
      <c r="C117" s="16"/>
      <c r="D117" s="16"/>
      <c r="E117" s="16"/>
      <c r="F117" s="16"/>
      <c r="G117" s="16"/>
      <c r="H117" s="16"/>
      <c r="I117" s="46"/>
      <c r="J117" s="47"/>
      <c r="K117" s="44"/>
      <c r="L117" s="45"/>
    </row>
    <row r="118" ht="27" customHeight="1" outlineLevel="1" spans="1:12">
      <c r="A118" s="17">
        <v>1.1</v>
      </c>
      <c r="B118" s="18" t="s">
        <v>5</v>
      </c>
      <c r="C118" s="19" t="s">
        <v>6</v>
      </c>
      <c r="D118" s="20"/>
      <c r="E118" s="21"/>
      <c r="F118" s="21" t="s">
        <v>7</v>
      </c>
      <c r="G118" s="21">
        <v>1.37</v>
      </c>
      <c r="H118" s="21">
        <f>VLOOKUP(C118,'单价表-木门'!$C:$F,4,FALSE)</f>
        <v>114</v>
      </c>
      <c r="I118" s="48">
        <f t="shared" ref="I118:I122" si="12">G118*H118</f>
        <v>156.18</v>
      </c>
      <c r="J118" s="49"/>
      <c r="K118" s="44"/>
      <c r="L118" s="45"/>
    </row>
    <row r="119" ht="58" customHeight="1" outlineLevel="1" spans="1:12">
      <c r="A119" s="17">
        <v>2.1</v>
      </c>
      <c r="B119" s="22" t="s">
        <v>9</v>
      </c>
      <c r="C119" s="23" t="s">
        <v>10</v>
      </c>
      <c r="D119" s="24"/>
      <c r="E119" s="21"/>
      <c r="F119" s="21" t="s">
        <v>11</v>
      </c>
      <c r="G119" s="21">
        <v>2.28</v>
      </c>
      <c r="H119" s="21">
        <f>VLOOKUP(C119,'单价表-木门'!$C:$F,4,FALSE)</f>
        <v>93</v>
      </c>
      <c r="I119" s="48">
        <f t="shared" si="12"/>
        <v>212.04</v>
      </c>
      <c r="J119" s="50" t="s">
        <v>79</v>
      </c>
      <c r="K119" s="51"/>
      <c r="L119" s="52"/>
    </row>
    <row r="120" customHeight="1" outlineLevel="1" spans="1:10">
      <c r="A120" s="17">
        <v>3.1</v>
      </c>
      <c r="B120" s="18" t="s">
        <v>13</v>
      </c>
      <c r="C120" s="19" t="s">
        <v>14</v>
      </c>
      <c r="D120" s="20"/>
      <c r="E120" s="21"/>
      <c r="F120" s="21" t="s">
        <v>15</v>
      </c>
      <c r="G120" s="21">
        <v>6.21</v>
      </c>
      <c r="H120" s="21">
        <f>VLOOKUP(C120,'单价表-木门'!$C:$F,4,FALSE)</f>
        <v>4.85</v>
      </c>
      <c r="I120" s="48">
        <f t="shared" si="12"/>
        <v>30.1185</v>
      </c>
      <c r="J120" s="49"/>
    </row>
    <row r="121" customHeight="1" outlineLevel="1" spans="1:10">
      <c r="A121" s="17">
        <v>4.1</v>
      </c>
      <c r="B121" s="18" t="s">
        <v>17</v>
      </c>
      <c r="C121" s="19" t="s">
        <v>18</v>
      </c>
      <c r="D121" s="20"/>
      <c r="E121" s="21"/>
      <c r="F121" s="21" t="s">
        <v>15</v>
      </c>
      <c r="G121" s="21">
        <v>12.42</v>
      </c>
      <c r="H121" s="21">
        <f>VLOOKUP(C121,'单价表-木门'!$C:$F,4,FALSE)</f>
        <v>7.25</v>
      </c>
      <c r="I121" s="48">
        <f t="shared" si="12"/>
        <v>90.045</v>
      </c>
      <c r="J121" s="53"/>
    </row>
    <row r="122" customHeight="1" outlineLevel="1" spans="1:10">
      <c r="A122" s="17">
        <v>5.1</v>
      </c>
      <c r="B122" s="18" t="s">
        <v>19</v>
      </c>
      <c r="C122" s="19" t="s">
        <v>20</v>
      </c>
      <c r="D122" s="20"/>
      <c r="E122" s="21"/>
      <c r="F122" s="21" t="s">
        <v>7</v>
      </c>
      <c r="G122" s="21">
        <f>G118*2+4.87</f>
        <v>7.61</v>
      </c>
      <c r="H122" s="21">
        <f>VLOOKUP(C122,'单价表-木门'!$C:$F,4,FALSE)</f>
        <v>53.15</v>
      </c>
      <c r="I122" s="48">
        <f t="shared" si="12"/>
        <v>404.4715</v>
      </c>
      <c r="J122" s="53"/>
    </row>
    <row r="123" customHeight="1" outlineLevel="1" spans="1:10">
      <c r="A123" s="15"/>
      <c r="B123" s="16" t="s">
        <v>82</v>
      </c>
      <c r="C123" s="16"/>
      <c r="D123" s="16"/>
      <c r="E123" s="16"/>
      <c r="F123" s="16"/>
      <c r="G123" s="16"/>
      <c r="H123" s="16"/>
      <c r="I123" s="46">
        <f>SUM(I118:I122)</f>
        <v>892.855</v>
      </c>
      <c r="J123" s="53"/>
    </row>
    <row r="124" customHeight="1" outlineLevel="1" spans="1:10">
      <c r="A124" s="15">
        <v>2</v>
      </c>
      <c r="B124" s="16" t="s">
        <v>83</v>
      </c>
      <c r="C124" s="16"/>
      <c r="D124" s="16"/>
      <c r="E124" s="16"/>
      <c r="F124" s="16"/>
      <c r="G124" s="16"/>
      <c r="H124" s="16"/>
      <c r="I124" s="46"/>
      <c r="J124" s="54"/>
    </row>
    <row r="125" customHeight="1" outlineLevel="1" spans="1:10">
      <c r="A125" s="17">
        <v>2.1</v>
      </c>
      <c r="B125" s="18" t="s">
        <v>22</v>
      </c>
      <c r="C125" s="19" t="s">
        <v>23</v>
      </c>
      <c r="D125" s="20"/>
      <c r="E125" s="21"/>
      <c r="F125" s="21" t="s">
        <v>24</v>
      </c>
      <c r="G125" s="21">
        <v>1</v>
      </c>
      <c r="H125" s="21">
        <f>VLOOKUP(C125,'单价表-木门'!$C:$F,4,FALSE)</f>
        <v>86</v>
      </c>
      <c r="I125" s="48">
        <f t="shared" ref="I125:I128" si="13">G125*H125</f>
        <v>86</v>
      </c>
      <c r="J125" s="53"/>
    </row>
    <row r="126" customHeight="1" outlineLevel="1" spans="1:10">
      <c r="A126" s="17">
        <v>2.2</v>
      </c>
      <c r="B126" s="18" t="s">
        <v>25</v>
      </c>
      <c r="C126" s="19" t="s">
        <v>26</v>
      </c>
      <c r="D126" s="20"/>
      <c r="E126" s="21"/>
      <c r="F126" s="21" t="s">
        <v>24</v>
      </c>
      <c r="G126" s="21">
        <v>4</v>
      </c>
      <c r="H126" s="21">
        <f>VLOOKUP(C126,'单价表-木门'!$C:$F,4,FALSE)</f>
        <v>14</v>
      </c>
      <c r="I126" s="48">
        <f t="shared" si="13"/>
        <v>56</v>
      </c>
      <c r="J126" s="53"/>
    </row>
    <row r="127" customHeight="1" outlineLevel="1" spans="1:10">
      <c r="A127" s="17">
        <v>2.3</v>
      </c>
      <c r="B127" s="18" t="s">
        <v>28</v>
      </c>
      <c r="C127" s="19" t="s">
        <v>29</v>
      </c>
      <c r="D127" s="20"/>
      <c r="E127" s="21"/>
      <c r="F127" s="21" t="s">
        <v>24</v>
      </c>
      <c r="G127" s="21">
        <v>1</v>
      </c>
      <c r="H127" s="21">
        <f>VLOOKUP(C127,'单价表-木门'!$C:$F,4,FALSE)</f>
        <v>12</v>
      </c>
      <c r="I127" s="48">
        <f t="shared" si="13"/>
        <v>12</v>
      </c>
      <c r="J127" s="53"/>
    </row>
    <row r="128" customHeight="1" outlineLevel="1" spans="1:10">
      <c r="A128" s="17">
        <v>2.4</v>
      </c>
      <c r="B128" s="18" t="s">
        <v>30</v>
      </c>
      <c r="C128" s="19" t="s">
        <v>31</v>
      </c>
      <c r="D128" s="20"/>
      <c r="E128" s="21"/>
      <c r="F128" s="21" t="s">
        <v>24</v>
      </c>
      <c r="G128" s="21">
        <v>1</v>
      </c>
      <c r="H128" s="21">
        <f>VLOOKUP(C128,'单价表-木门'!$C:$F,4,FALSE)</f>
        <v>12.4</v>
      </c>
      <c r="I128" s="48">
        <f t="shared" si="13"/>
        <v>12.4</v>
      </c>
      <c r="J128" s="53"/>
    </row>
    <row r="129" customHeight="1" outlineLevel="1" spans="1:10">
      <c r="A129" s="15"/>
      <c r="B129" s="16" t="s">
        <v>84</v>
      </c>
      <c r="C129" s="16"/>
      <c r="D129" s="16"/>
      <c r="E129" s="16"/>
      <c r="F129" s="16"/>
      <c r="G129" s="16"/>
      <c r="H129" s="16"/>
      <c r="I129" s="46">
        <f>SUM(I125:I128)</f>
        <v>166.4</v>
      </c>
      <c r="J129" s="53"/>
    </row>
    <row r="130" customHeight="1" outlineLevel="1" spans="1:10">
      <c r="A130" s="25">
        <v>3</v>
      </c>
      <c r="B130" s="16" t="s">
        <v>85</v>
      </c>
      <c r="C130" s="16"/>
      <c r="D130" s="16"/>
      <c r="E130" s="16"/>
      <c r="F130" s="16"/>
      <c r="G130" s="16"/>
      <c r="H130" s="16"/>
      <c r="I130" s="46"/>
      <c r="J130" s="54"/>
    </row>
    <row r="131" customHeight="1" outlineLevel="1" spans="1:10">
      <c r="A131" s="21">
        <v>3.1</v>
      </c>
      <c r="B131" s="18" t="s">
        <v>33</v>
      </c>
      <c r="C131" s="21" t="s">
        <v>34</v>
      </c>
      <c r="D131" s="21"/>
      <c r="E131" s="18"/>
      <c r="F131" s="21" t="s">
        <v>11</v>
      </c>
      <c r="G131" s="21">
        <v>1</v>
      </c>
      <c r="H131" s="21">
        <f>VLOOKUP(C131,'单价表-木门'!$C:$F,4,FALSE)</f>
        <v>9.7</v>
      </c>
      <c r="I131" s="48">
        <f t="shared" ref="I131:I133" si="14">G131*H131</f>
        <v>9.7</v>
      </c>
      <c r="J131" s="53"/>
    </row>
    <row r="132" customHeight="1" outlineLevel="1" spans="1:10">
      <c r="A132" s="21">
        <v>3.2</v>
      </c>
      <c r="B132" s="18" t="s">
        <v>35</v>
      </c>
      <c r="C132" s="21" t="s">
        <v>36</v>
      </c>
      <c r="D132" s="21"/>
      <c r="E132" s="21"/>
      <c r="F132" s="21" t="s">
        <v>15</v>
      </c>
      <c r="G132" s="21">
        <f>G120</f>
        <v>6.21</v>
      </c>
      <c r="H132" s="21">
        <f>VLOOKUP(C132,'单价表-木门'!$C:$F,4,FALSE)</f>
        <v>4.8</v>
      </c>
      <c r="I132" s="48">
        <f t="shared" si="14"/>
        <v>29.808</v>
      </c>
      <c r="J132" s="53"/>
    </row>
    <row r="133" customHeight="1" outlineLevel="1" spans="1:10">
      <c r="A133" s="21">
        <v>3.3</v>
      </c>
      <c r="B133" s="18" t="s">
        <v>30</v>
      </c>
      <c r="C133" s="19" t="s">
        <v>38</v>
      </c>
      <c r="D133" s="20"/>
      <c r="E133" s="21"/>
      <c r="F133" s="21" t="s">
        <v>24</v>
      </c>
      <c r="G133" s="21">
        <v>1</v>
      </c>
      <c r="H133" s="21">
        <f>VLOOKUP(C133,'单价表-木门'!$C:$F,4,FALSE)</f>
        <v>14.5</v>
      </c>
      <c r="I133" s="48">
        <f t="shared" si="14"/>
        <v>14.5</v>
      </c>
      <c r="J133" s="53"/>
    </row>
    <row r="134" customHeight="1" outlineLevel="1" spans="1:10">
      <c r="A134" s="15"/>
      <c r="B134" s="16" t="s">
        <v>86</v>
      </c>
      <c r="C134" s="16"/>
      <c r="D134" s="16"/>
      <c r="E134" s="16"/>
      <c r="F134" s="16"/>
      <c r="G134" s="16"/>
      <c r="H134" s="16"/>
      <c r="I134" s="46">
        <f>SUM(I131:I133)</f>
        <v>54.008</v>
      </c>
      <c r="J134" s="53"/>
    </row>
    <row r="135" customHeight="1" outlineLevel="1" spans="1:10">
      <c r="A135" s="15">
        <v>4</v>
      </c>
      <c r="B135" s="18" t="s">
        <v>87</v>
      </c>
      <c r="C135" s="18"/>
      <c r="D135" s="18"/>
      <c r="E135" s="18"/>
      <c r="F135" s="18"/>
      <c r="G135" s="18"/>
      <c r="H135" s="18"/>
      <c r="I135" s="48">
        <f>'单价表-木门'!F14-40</f>
        <v>187</v>
      </c>
      <c r="J135" s="53"/>
    </row>
    <row r="136" customHeight="1" outlineLevel="1" spans="1:10">
      <c r="A136" s="15">
        <v>5</v>
      </c>
      <c r="B136" s="18" t="s">
        <v>42</v>
      </c>
      <c r="C136" s="18"/>
      <c r="D136" s="18"/>
      <c r="E136" s="18"/>
      <c r="F136" s="18"/>
      <c r="G136" s="18"/>
      <c r="H136" s="18"/>
      <c r="I136" s="48">
        <f>VLOOKUP(B136,'单价表-木门'!$B:$F,5,FALSE)</f>
        <v>14.5</v>
      </c>
      <c r="J136" s="53"/>
    </row>
    <row r="137" customHeight="1" outlineLevel="1" spans="1:10">
      <c r="A137" s="15">
        <v>6</v>
      </c>
      <c r="B137" s="23" t="s">
        <v>88</v>
      </c>
      <c r="C137" s="26"/>
      <c r="D137" s="26"/>
      <c r="E137" s="26"/>
      <c r="F137" s="26"/>
      <c r="G137" s="24"/>
      <c r="H137" s="27"/>
      <c r="I137" s="46">
        <f>I123+I129+I134+I135+I136</f>
        <v>1314.763</v>
      </c>
      <c r="J137" s="54"/>
    </row>
    <row r="138" customHeight="1" outlineLevel="1" spans="1:10">
      <c r="A138" s="15">
        <v>7</v>
      </c>
      <c r="B138" s="23" t="s">
        <v>61</v>
      </c>
      <c r="C138" s="26"/>
      <c r="D138" s="26"/>
      <c r="E138" s="26"/>
      <c r="F138" s="26"/>
      <c r="G138" s="24"/>
      <c r="H138" s="28">
        <v>0.03</v>
      </c>
      <c r="I138" s="48">
        <f>I137*H138</f>
        <v>39.44289</v>
      </c>
      <c r="J138" s="53"/>
    </row>
    <row r="139" customHeight="1" outlineLevel="1" spans="1:10">
      <c r="A139" s="15">
        <v>8</v>
      </c>
      <c r="B139" s="23" t="s">
        <v>63</v>
      </c>
      <c r="C139" s="26"/>
      <c r="D139" s="26"/>
      <c r="E139" s="26"/>
      <c r="F139" s="26"/>
      <c r="G139" s="24"/>
      <c r="H139" s="28">
        <v>0.13</v>
      </c>
      <c r="I139" s="48">
        <f>+(I137+I138)*H139</f>
        <v>176.0467657</v>
      </c>
      <c r="J139" s="53"/>
    </row>
    <row r="140" customHeight="1" spans="1:10">
      <c r="A140" s="15">
        <v>9</v>
      </c>
      <c r="B140" s="29" t="s">
        <v>76</v>
      </c>
      <c r="C140" s="30"/>
      <c r="D140" s="30"/>
      <c r="E140" s="30"/>
      <c r="F140" s="30"/>
      <c r="G140" s="31"/>
      <c r="H140" s="32"/>
      <c r="I140" s="55">
        <f>+I139+I138+I137</f>
        <v>1530.2526557</v>
      </c>
      <c r="J140" s="16"/>
    </row>
    <row r="141" customHeight="1" spans="1:10">
      <c r="A141" s="15">
        <v>10</v>
      </c>
      <c r="B141" s="33" t="s">
        <v>89</v>
      </c>
      <c r="C141" s="34"/>
      <c r="D141" s="34"/>
      <c r="E141" s="34"/>
      <c r="F141" s="34"/>
      <c r="G141" s="35"/>
      <c r="H141" s="36"/>
      <c r="I141" s="55">
        <f>+I140/I115</f>
        <v>671.752702238806</v>
      </c>
      <c r="J141" s="57"/>
    </row>
    <row r="142" customHeight="1" spans="1:10">
      <c r="A142" s="7" t="s">
        <v>102</v>
      </c>
      <c r="B142" s="7"/>
      <c r="C142" s="7"/>
      <c r="D142" s="7"/>
      <c r="E142" s="7"/>
      <c r="F142" s="7"/>
      <c r="G142" s="7"/>
      <c r="H142" s="7"/>
      <c r="I142" s="38"/>
      <c r="J142" s="7"/>
    </row>
    <row r="143" customHeight="1" spans="1:12">
      <c r="A143" s="8" t="s">
        <v>66</v>
      </c>
      <c r="B143" s="8"/>
      <c r="C143" s="9"/>
      <c r="D143" s="10"/>
      <c r="E143" s="8" t="s">
        <v>68</v>
      </c>
      <c r="F143" s="8" t="s">
        <v>103</v>
      </c>
      <c r="G143" s="8"/>
      <c r="H143" s="8" t="s">
        <v>70</v>
      </c>
      <c r="I143" s="39">
        <f>'03、（方案1）综合单价分析表'!I143</f>
        <v>2.68</v>
      </c>
      <c r="J143" s="8"/>
      <c r="K143" s="40" t="str">
        <f>_xlfn.DISPIMG("ID_614D6CDE4F8A47629D0B7D34A272F8D8",1)</f>
        <v>=DISPIMG("ID_614D6CDE4F8A47629D0B7D34A272F8D8",1)</v>
      </c>
      <c r="L143" s="41"/>
    </row>
    <row r="144" customHeight="1" outlineLevel="1" spans="1:12">
      <c r="A144" s="11" t="s">
        <v>0</v>
      </c>
      <c r="B144" s="12" t="s">
        <v>71</v>
      </c>
      <c r="C144" s="13" t="s">
        <v>72</v>
      </c>
      <c r="D144" s="14"/>
      <c r="E144" s="12" t="s">
        <v>73</v>
      </c>
      <c r="F144" s="12" t="s">
        <v>74</v>
      </c>
      <c r="G144" s="12" t="s">
        <v>75</v>
      </c>
      <c r="H144" s="12" t="s">
        <v>4</v>
      </c>
      <c r="I144" s="42" t="s">
        <v>76</v>
      </c>
      <c r="J144" s="43" t="s">
        <v>3</v>
      </c>
      <c r="K144" s="44"/>
      <c r="L144" s="45"/>
    </row>
    <row r="145" customHeight="1" outlineLevel="1" spans="1:12">
      <c r="A145" s="15">
        <v>1</v>
      </c>
      <c r="B145" s="16" t="s">
        <v>77</v>
      </c>
      <c r="C145" s="16"/>
      <c r="D145" s="16"/>
      <c r="E145" s="16"/>
      <c r="F145" s="16"/>
      <c r="G145" s="16"/>
      <c r="H145" s="16"/>
      <c r="I145" s="46"/>
      <c r="J145" s="47"/>
      <c r="K145" s="44"/>
      <c r="L145" s="45"/>
    </row>
    <row r="146" customHeight="1" outlineLevel="1" spans="1:12">
      <c r="A146" s="17">
        <v>1.1</v>
      </c>
      <c r="B146" s="18" t="s">
        <v>43</v>
      </c>
      <c r="C146" s="19" t="s">
        <v>44</v>
      </c>
      <c r="D146" s="20"/>
      <c r="E146" s="21"/>
      <c r="F146" s="21" t="s">
        <v>7</v>
      </c>
      <c r="G146" s="21">
        <v>2.65</v>
      </c>
      <c r="H146" s="21">
        <f>VLOOKUP(C146,'单价表-木门'!$C:$F,4,FALSE)</f>
        <v>232</v>
      </c>
      <c r="I146" s="48">
        <f t="shared" ref="I146:I148" si="15">G146*H146</f>
        <v>614.8</v>
      </c>
      <c r="J146" s="49"/>
      <c r="K146" s="44"/>
      <c r="L146" s="45"/>
    </row>
    <row r="147" customHeight="1" outlineLevel="1" spans="1:12">
      <c r="A147" s="17">
        <v>2.1</v>
      </c>
      <c r="B147" s="22" t="s">
        <v>46</v>
      </c>
      <c r="C147" s="58" t="s">
        <v>47</v>
      </c>
      <c r="D147" s="59"/>
      <c r="E147" s="21"/>
      <c r="F147" s="21" t="s">
        <v>11</v>
      </c>
      <c r="G147" s="60">
        <f>G146</f>
        <v>2.65</v>
      </c>
      <c r="H147" s="21">
        <f>VLOOKUP(C147,'单价表-木门'!$C:$F,4,FALSE)</f>
        <v>290</v>
      </c>
      <c r="I147" s="48">
        <f t="shared" si="15"/>
        <v>768.5</v>
      </c>
      <c r="J147" s="50" t="s">
        <v>79</v>
      </c>
      <c r="K147" s="51"/>
      <c r="L147" s="52"/>
    </row>
    <row r="148" customHeight="1" outlineLevel="1" spans="1:10">
      <c r="A148" s="17">
        <v>3.1</v>
      </c>
      <c r="B148" s="18" t="s">
        <v>48</v>
      </c>
      <c r="C148" s="19" t="s">
        <v>49</v>
      </c>
      <c r="D148" s="20"/>
      <c r="E148" s="21"/>
      <c r="F148" s="21" t="s">
        <v>15</v>
      </c>
      <c r="G148" s="21">
        <v>2</v>
      </c>
      <c r="H148" s="21">
        <f>VLOOKUP(C148,'单价表-木门'!$C:$F,4,FALSE)</f>
        <v>33</v>
      </c>
      <c r="I148" s="48">
        <f t="shared" si="15"/>
        <v>66</v>
      </c>
      <c r="J148" s="49"/>
    </row>
    <row r="149" customHeight="1" outlineLevel="1" spans="1:10">
      <c r="A149" s="15"/>
      <c r="B149" s="16" t="s">
        <v>82</v>
      </c>
      <c r="C149" s="16"/>
      <c r="D149" s="16"/>
      <c r="E149" s="16"/>
      <c r="F149" s="16"/>
      <c r="G149" s="16"/>
      <c r="H149" s="16"/>
      <c r="I149" s="46">
        <f>SUM(I146:I148)</f>
        <v>1449.3</v>
      </c>
      <c r="J149" s="53"/>
    </row>
    <row r="150" customHeight="1" outlineLevel="1" spans="1:10">
      <c r="A150" s="15">
        <v>2</v>
      </c>
      <c r="B150" s="16" t="s">
        <v>83</v>
      </c>
      <c r="C150" s="16"/>
      <c r="D150" s="16"/>
      <c r="E150" s="16"/>
      <c r="F150" s="16"/>
      <c r="G150" s="16"/>
      <c r="H150" s="16"/>
      <c r="I150" s="46"/>
      <c r="J150" s="54"/>
    </row>
    <row r="151" customHeight="1" outlineLevel="1" spans="1:10">
      <c r="A151" s="17">
        <v>2.1</v>
      </c>
      <c r="B151" s="18" t="s">
        <v>104</v>
      </c>
      <c r="C151" s="19" t="s">
        <v>51</v>
      </c>
      <c r="D151" s="20"/>
      <c r="E151" s="21"/>
      <c r="F151" s="21" t="s">
        <v>24</v>
      </c>
      <c r="G151" s="21">
        <v>1</v>
      </c>
      <c r="H151" s="21">
        <f>VLOOKUP(C151,'单价表-木门'!$C:$F,4,FALSE)</f>
        <v>82</v>
      </c>
      <c r="I151" s="48">
        <f t="shared" ref="I151:I155" si="16">G151*H151</f>
        <v>82</v>
      </c>
      <c r="J151" s="53"/>
    </row>
    <row r="152" customHeight="1" outlineLevel="1" spans="1:10">
      <c r="A152" s="15"/>
      <c r="B152" s="16" t="s">
        <v>84</v>
      </c>
      <c r="C152" s="16"/>
      <c r="D152" s="16"/>
      <c r="E152" s="16"/>
      <c r="F152" s="16"/>
      <c r="G152" s="16"/>
      <c r="H152" s="16"/>
      <c r="I152" s="46">
        <f>SUM(I151:I151)</f>
        <v>82</v>
      </c>
      <c r="J152" s="53"/>
    </row>
    <row r="153" customHeight="1" outlineLevel="1" spans="1:10">
      <c r="A153" s="25">
        <v>3</v>
      </c>
      <c r="B153" s="16" t="s">
        <v>85</v>
      </c>
      <c r="C153" s="16"/>
      <c r="D153" s="16"/>
      <c r="E153" s="16"/>
      <c r="F153" s="16"/>
      <c r="G153" s="16"/>
      <c r="H153" s="16"/>
      <c r="I153" s="46"/>
      <c r="J153" s="54"/>
    </row>
    <row r="154" customHeight="1" outlineLevel="1" spans="1:10">
      <c r="A154" s="21">
        <v>3.1</v>
      </c>
      <c r="B154" s="61" t="s">
        <v>55</v>
      </c>
      <c r="C154" s="58" t="s">
        <v>56</v>
      </c>
      <c r="D154" s="59"/>
      <c r="E154" s="18"/>
      <c r="F154" s="21" t="s">
        <v>11</v>
      </c>
      <c r="G154" s="21">
        <v>2.47</v>
      </c>
      <c r="H154" s="21">
        <f>VLOOKUP(C154,'单价表-木门'!$C:$F,4,FALSE)</f>
        <v>270</v>
      </c>
      <c r="I154" s="48">
        <f t="shared" si="16"/>
        <v>666.9</v>
      </c>
      <c r="J154" s="53"/>
    </row>
    <row r="155" customHeight="1" outlineLevel="1" spans="1:10">
      <c r="A155" s="21">
        <v>3.2</v>
      </c>
      <c r="B155" s="18" t="s">
        <v>30</v>
      </c>
      <c r="C155" s="19" t="s">
        <v>38</v>
      </c>
      <c r="D155" s="20"/>
      <c r="E155" s="21"/>
      <c r="F155" s="21" t="s">
        <v>24</v>
      </c>
      <c r="G155" s="21">
        <v>1</v>
      </c>
      <c r="H155" s="21">
        <f>VLOOKUP(C155,'单价表-木门'!$C:$F,4,FALSE)</f>
        <v>14.5</v>
      </c>
      <c r="I155" s="48">
        <f t="shared" si="16"/>
        <v>14.5</v>
      </c>
      <c r="J155" s="53"/>
    </row>
    <row r="156" customHeight="1" outlineLevel="1" spans="1:10">
      <c r="A156" s="15"/>
      <c r="B156" s="16" t="s">
        <v>86</v>
      </c>
      <c r="C156" s="16"/>
      <c r="D156" s="16"/>
      <c r="E156" s="16"/>
      <c r="F156" s="16"/>
      <c r="G156" s="16"/>
      <c r="H156" s="16"/>
      <c r="I156" s="46">
        <f>SUM(I154:I155)</f>
        <v>681.4</v>
      </c>
      <c r="J156" s="53"/>
    </row>
    <row r="157" customHeight="1" outlineLevel="1" spans="1:10">
      <c r="A157" s="15">
        <v>4</v>
      </c>
      <c r="B157" s="18" t="s">
        <v>58</v>
      </c>
      <c r="C157" s="18"/>
      <c r="D157" s="18"/>
      <c r="E157" s="18"/>
      <c r="F157" s="18"/>
      <c r="G157" s="18"/>
      <c r="H157" s="18"/>
      <c r="I157" s="48">
        <f>VLOOKUP(B157,'单价表-木门'!$B:$F,5,FALSE)</f>
        <v>570</v>
      </c>
      <c r="J157" s="53"/>
    </row>
    <row r="158" customHeight="1" outlineLevel="1" spans="1:10">
      <c r="A158" s="15">
        <v>5</v>
      </c>
      <c r="B158" s="18" t="s">
        <v>60</v>
      </c>
      <c r="C158" s="18"/>
      <c r="D158" s="18"/>
      <c r="E158" s="18"/>
      <c r="F158" s="18"/>
      <c r="G158" s="18"/>
      <c r="H158" s="18"/>
      <c r="I158" s="48">
        <f>VLOOKUP(B158,'单价表-木门'!$B:$F,5,FALSE)</f>
        <v>34</v>
      </c>
      <c r="J158" s="53"/>
    </row>
    <row r="159" customHeight="1" outlineLevel="1" spans="1:10">
      <c r="A159" s="15">
        <v>6</v>
      </c>
      <c r="B159" s="23" t="s">
        <v>88</v>
      </c>
      <c r="C159" s="26"/>
      <c r="D159" s="26"/>
      <c r="E159" s="26"/>
      <c r="F159" s="26"/>
      <c r="G159" s="24"/>
      <c r="H159" s="27"/>
      <c r="I159" s="46">
        <f>I149+I152+I156+I157+I158</f>
        <v>2816.7</v>
      </c>
      <c r="J159" s="54"/>
    </row>
    <row r="160" customHeight="1" outlineLevel="1" spans="1:10">
      <c r="A160" s="15">
        <v>7</v>
      </c>
      <c r="B160" s="23" t="s">
        <v>61</v>
      </c>
      <c r="C160" s="26"/>
      <c r="D160" s="26"/>
      <c r="E160" s="26"/>
      <c r="F160" s="26"/>
      <c r="G160" s="24"/>
      <c r="H160" s="28">
        <v>0.03</v>
      </c>
      <c r="I160" s="48">
        <f>I159*H160</f>
        <v>84.501</v>
      </c>
      <c r="J160" s="53"/>
    </row>
    <row r="161" customHeight="1" outlineLevel="1" spans="1:10">
      <c r="A161" s="15">
        <v>8</v>
      </c>
      <c r="B161" s="23" t="s">
        <v>63</v>
      </c>
      <c r="C161" s="26"/>
      <c r="D161" s="26"/>
      <c r="E161" s="26"/>
      <c r="F161" s="26"/>
      <c r="G161" s="24"/>
      <c r="H161" s="28">
        <v>0.13</v>
      </c>
      <c r="I161" s="48">
        <f>+(I159+I160)*H161</f>
        <v>377.15613</v>
      </c>
      <c r="J161" s="53"/>
    </row>
    <row r="162" customHeight="1" spans="1:10">
      <c r="A162" s="15">
        <v>9</v>
      </c>
      <c r="B162" s="29" t="s">
        <v>76</v>
      </c>
      <c r="C162" s="30"/>
      <c r="D162" s="30"/>
      <c r="E162" s="30"/>
      <c r="F162" s="30"/>
      <c r="G162" s="31"/>
      <c r="H162" s="32"/>
      <c r="I162" s="55">
        <f>+I161+I160+I159</f>
        <v>3278.35713</v>
      </c>
      <c r="J162" s="16"/>
    </row>
    <row r="163" customHeight="1" spans="1:10">
      <c r="A163" s="15">
        <v>10</v>
      </c>
      <c r="B163" s="33" t="s">
        <v>89</v>
      </c>
      <c r="C163" s="34"/>
      <c r="D163" s="34"/>
      <c r="E163" s="34"/>
      <c r="F163" s="34"/>
      <c r="G163" s="35"/>
      <c r="H163" s="36"/>
      <c r="I163" s="55">
        <f>+I162/I143</f>
        <v>1223.2675858209</v>
      </c>
      <c r="J163" s="57"/>
    </row>
    <row r="164" customHeight="1" spans="1:10">
      <c r="A164" s="7" t="s">
        <v>105</v>
      </c>
      <c r="B164" s="7"/>
      <c r="C164" s="7"/>
      <c r="D164" s="7"/>
      <c r="E164" s="7"/>
      <c r="F164" s="7"/>
      <c r="G164" s="7"/>
      <c r="H164" s="7"/>
      <c r="I164" s="38"/>
      <c r="J164" s="7"/>
    </row>
    <row r="165" customHeight="1" spans="1:12">
      <c r="A165" s="8" t="s">
        <v>66</v>
      </c>
      <c r="B165" s="8"/>
      <c r="C165" s="9"/>
      <c r="D165" s="10"/>
      <c r="E165" s="8" t="s">
        <v>68</v>
      </c>
      <c r="F165" s="8" t="s">
        <v>106</v>
      </c>
      <c r="G165" s="8"/>
      <c r="H165" s="8" t="s">
        <v>70</v>
      </c>
      <c r="I165" s="39">
        <f>'03、（方案1）综合单价分析表'!I165</f>
        <v>4.032</v>
      </c>
      <c r="J165" s="8"/>
      <c r="K165" s="40" t="str">
        <f>_xlfn.DISPIMG("ID_FCEC15B1385E4F26870B1A11F9C406B7",1)</f>
        <v>=DISPIMG("ID_FCEC15B1385E4F26870B1A11F9C406B7",1)</v>
      </c>
      <c r="L165" s="41"/>
    </row>
    <row r="166" customHeight="1" outlineLevel="1" spans="1:12">
      <c r="A166" s="11" t="s">
        <v>0</v>
      </c>
      <c r="B166" s="12" t="s">
        <v>71</v>
      </c>
      <c r="C166" s="13" t="s">
        <v>72</v>
      </c>
      <c r="D166" s="14"/>
      <c r="E166" s="12" t="s">
        <v>73</v>
      </c>
      <c r="F166" s="12" t="s">
        <v>74</v>
      </c>
      <c r="G166" s="12" t="s">
        <v>75</v>
      </c>
      <c r="H166" s="12" t="s">
        <v>4</v>
      </c>
      <c r="I166" s="42" t="s">
        <v>76</v>
      </c>
      <c r="J166" s="43" t="s">
        <v>3</v>
      </c>
      <c r="K166" s="44"/>
      <c r="L166" s="45"/>
    </row>
    <row r="167" customHeight="1" outlineLevel="1" spans="1:12">
      <c r="A167" s="15">
        <v>1</v>
      </c>
      <c r="B167" s="16" t="s">
        <v>77</v>
      </c>
      <c r="C167" s="16"/>
      <c r="D167" s="16"/>
      <c r="E167" s="16"/>
      <c r="F167" s="16"/>
      <c r="G167" s="16"/>
      <c r="H167" s="16"/>
      <c r="I167" s="46"/>
      <c r="J167" s="47"/>
      <c r="K167" s="44"/>
      <c r="L167" s="45"/>
    </row>
    <row r="168" customHeight="1" outlineLevel="1" spans="1:12">
      <c r="A168" s="17">
        <v>1.1</v>
      </c>
      <c r="B168" s="18" t="s">
        <v>43</v>
      </c>
      <c r="C168" s="19" t="s">
        <v>44</v>
      </c>
      <c r="D168" s="20"/>
      <c r="E168" s="21"/>
      <c r="F168" s="21" t="s">
        <v>7</v>
      </c>
      <c r="G168" s="21">
        <v>3.75</v>
      </c>
      <c r="H168" s="21">
        <f>VLOOKUP(C168,'单价表-木门'!$C:$F,4,FALSE)</f>
        <v>232</v>
      </c>
      <c r="I168" s="48">
        <f t="shared" ref="I168:I170" si="17">G168*H168</f>
        <v>870</v>
      </c>
      <c r="J168" s="49"/>
      <c r="K168" s="44"/>
      <c r="L168" s="45"/>
    </row>
    <row r="169" customHeight="1" outlineLevel="1" spans="1:12">
      <c r="A169" s="17">
        <v>2.1</v>
      </c>
      <c r="B169" s="22" t="s">
        <v>46</v>
      </c>
      <c r="C169" s="58" t="s">
        <v>47</v>
      </c>
      <c r="D169" s="59"/>
      <c r="E169" s="21"/>
      <c r="F169" s="21" t="s">
        <v>11</v>
      </c>
      <c r="G169" s="60">
        <f>G168</f>
        <v>3.75</v>
      </c>
      <c r="H169" s="21">
        <f>VLOOKUP(C169,'单价表-木门'!$C:$F,4,FALSE)</f>
        <v>290</v>
      </c>
      <c r="I169" s="48">
        <f t="shared" si="17"/>
        <v>1087.5</v>
      </c>
      <c r="J169" s="50" t="s">
        <v>79</v>
      </c>
      <c r="K169" s="51"/>
      <c r="L169" s="52"/>
    </row>
    <row r="170" customHeight="1" outlineLevel="1" spans="1:10">
      <c r="A170" s="17">
        <v>3.1</v>
      </c>
      <c r="B170" s="18" t="s">
        <v>48</v>
      </c>
      <c r="C170" s="19" t="s">
        <v>49</v>
      </c>
      <c r="D170" s="20"/>
      <c r="E170" s="21"/>
      <c r="F170" s="21" t="s">
        <v>15</v>
      </c>
      <c r="G170" s="21">
        <v>2.8</v>
      </c>
      <c r="H170" s="21">
        <f>VLOOKUP(C170,'单价表-木门'!$C:$F,4,FALSE)</f>
        <v>33</v>
      </c>
      <c r="I170" s="48">
        <f t="shared" si="17"/>
        <v>92.4</v>
      </c>
      <c r="J170" s="49"/>
    </row>
    <row r="171" customHeight="1" outlineLevel="1" spans="1:10">
      <c r="A171" s="15"/>
      <c r="B171" s="16" t="s">
        <v>82</v>
      </c>
      <c r="C171" s="16"/>
      <c r="D171" s="16"/>
      <c r="E171" s="16"/>
      <c r="F171" s="16"/>
      <c r="G171" s="16"/>
      <c r="H171" s="16"/>
      <c r="I171" s="46">
        <f>SUM(I168:I170)</f>
        <v>2049.9</v>
      </c>
      <c r="J171" s="53"/>
    </row>
    <row r="172" customHeight="1" outlineLevel="1" spans="1:10">
      <c r="A172" s="15">
        <v>2</v>
      </c>
      <c r="B172" s="16" t="s">
        <v>83</v>
      </c>
      <c r="C172" s="16"/>
      <c r="D172" s="16"/>
      <c r="E172" s="16"/>
      <c r="F172" s="16"/>
      <c r="G172" s="16"/>
      <c r="H172" s="16"/>
      <c r="I172" s="46"/>
      <c r="J172" s="54"/>
    </row>
    <row r="173" customHeight="1" outlineLevel="1" spans="1:10">
      <c r="A173" s="17">
        <v>2.1</v>
      </c>
      <c r="B173" s="18" t="s">
        <v>104</v>
      </c>
      <c r="C173" s="19" t="s">
        <v>54</v>
      </c>
      <c r="D173" s="20"/>
      <c r="E173" s="21"/>
      <c r="F173" s="21" t="s">
        <v>24</v>
      </c>
      <c r="G173" s="21">
        <v>1</v>
      </c>
      <c r="H173" s="21">
        <f>VLOOKUP(C173,'单价表-木门'!$C:$F,4,FALSE)</f>
        <v>434</v>
      </c>
      <c r="I173" s="48">
        <f t="shared" ref="I173:I177" si="18">G173*H173</f>
        <v>434</v>
      </c>
      <c r="J173" s="53"/>
    </row>
    <row r="174" customHeight="1" outlineLevel="1" spans="1:10">
      <c r="A174" s="15"/>
      <c r="B174" s="16" t="s">
        <v>84</v>
      </c>
      <c r="C174" s="16"/>
      <c r="D174" s="16"/>
      <c r="E174" s="16"/>
      <c r="F174" s="16"/>
      <c r="G174" s="16"/>
      <c r="H174" s="16"/>
      <c r="I174" s="46">
        <f>SUM(I173:I173)</f>
        <v>434</v>
      </c>
      <c r="J174" s="53"/>
    </row>
    <row r="175" customHeight="1" outlineLevel="1" spans="1:10">
      <c r="A175" s="25">
        <v>3</v>
      </c>
      <c r="B175" s="16" t="s">
        <v>85</v>
      </c>
      <c r="C175" s="16"/>
      <c r="D175" s="16"/>
      <c r="E175" s="16"/>
      <c r="F175" s="16"/>
      <c r="G175" s="16"/>
      <c r="H175" s="16"/>
      <c r="I175" s="46"/>
      <c r="J175" s="54"/>
    </row>
    <row r="176" customHeight="1" outlineLevel="1" spans="1:10">
      <c r="A176" s="21">
        <v>3.1</v>
      </c>
      <c r="B176" s="61" t="s">
        <v>55</v>
      </c>
      <c r="C176" s="58" t="s">
        <v>56</v>
      </c>
      <c r="D176" s="59"/>
      <c r="E176" s="18"/>
      <c r="F176" s="21" t="s">
        <v>11</v>
      </c>
      <c r="G176" s="21">
        <v>2.81</v>
      </c>
      <c r="H176" s="21">
        <f>VLOOKUP(C176,'单价表-木门'!$C:$F,4,FALSE)</f>
        <v>270</v>
      </c>
      <c r="I176" s="48">
        <f t="shared" si="18"/>
        <v>758.7</v>
      </c>
      <c r="J176" s="53"/>
    </row>
    <row r="177" customHeight="1" outlineLevel="1" spans="1:10">
      <c r="A177" s="21">
        <v>3.2</v>
      </c>
      <c r="B177" s="18" t="s">
        <v>30</v>
      </c>
      <c r="C177" s="19" t="s">
        <v>38</v>
      </c>
      <c r="D177" s="20"/>
      <c r="E177" s="21"/>
      <c r="F177" s="21" t="s">
        <v>24</v>
      </c>
      <c r="G177" s="21">
        <v>1</v>
      </c>
      <c r="H177" s="21">
        <f>VLOOKUP(C177,'单价表-木门'!$C:$F,4,FALSE)</f>
        <v>14.5</v>
      </c>
      <c r="I177" s="48">
        <f t="shared" si="18"/>
        <v>14.5</v>
      </c>
      <c r="J177" s="53"/>
    </row>
    <row r="178" customHeight="1" outlineLevel="1" spans="1:10">
      <c r="A178" s="15"/>
      <c r="B178" s="16" t="s">
        <v>86</v>
      </c>
      <c r="C178" s="16"/>
      <c r="D178" s="16"/>
      <c r="E178" s="16"/>
      <c r="F178" s="16"/>
      <c r="G178" s="16"/>
      <c r="H178" s="16"/>
      <c r="I178" s="46">
        <f>SUM(I176:I177)</f>
        <v>773.2</v>
      </c>
      <c r="J178" s="53"/>
    </row>
    <row r="179" customHeight="1" outlineLevel="1" spans="1:10">
      <c r="A179" s="15">
        <v>4</v>
      </c>
      <c r="B179" s="18" t="s">
        <v>58</v>
      </c>
      <c r="C179" s="18"/>
      <c r="D179" s="18"/>
      <c r="E179" s="18"/>
      <c r="F179" s="18"/>
      <c r="G179" s="18"/>
      <c r="H179" s="18"/>
      <c r="I179" s="48">
        <f>VLOOKUP(B179,'单价表-木门'!$B:$F,5,FALSE)+200</f>
        <v>770</v>
      </c>
      <c r="J179" s="53"/>
    </row>
    <row r="180" customHeight="1" outlineLevel="1" spans="1:10">
      <c r="A180" s="15">
        <v>5</v>
      </c>
      <c r="B180" s="18" t="s">
        <v>60</v>
      </c>
      <c r="C180" s="18"/>
      <c r="D180" s="18"/>
      <c r="E180" s="18"/>
      <c r="F180" s="18"/>
      <c r="G180" s="18"/>
      <c r="H180" s="18"/>
      <c r="I180" s="48">
        <f>VLOOKUP(B180,'单价表-木门'!$B:$F,5,FALSE)</f>
        <v>34</v>
      </c>
      <c r="J180" s="53"/>
    </row>
    <row r="181" customHeight="1" outlineLevel="1" spans="1:10">
      <c r="A181" s="15">
        <v>6</v>
      </c>
      <c r="B181" s="23" t="s">
        <v>88</v>
      </c>
      <c r="C181" s="26"/>
      <c r="D181" s="26"/>
      <c r="E181" s="26"/>
      <c r="F181" s="26"/>
      <c r="G181" s="24"/>
      <c r="H181" s="27"/>
      <c r="I181" s="46">
        <f>I171+I174+I178+I179+I180</f>
        <v>4061.1</v>
      </c>
      <c r="J181" s="54"/>
    </row>
    <row r="182" customHeight="1" outlineLevel="1" spans="1:10">
      <c r="A182" s="15">
        <v>7</v>
      </c>
      <c r="B182" s="23" t="s">
        <v>61</v>
      </c>
      <c r="C182" s="26"/>
      <c r="D182" s="26"/>
      <c r="E182" s="26"/>
      <c r="F182" s="26"/>
      <c r="G182" s="24"/>
      <c r="H182" s="28">
        <v>0.03</v>
      </c>
      <c r="I182" s="48">
        <f>I181*H182</f>
        <v>121.833</v>
      </c>
      <c r="J182" s="53"/>
    </row>
    <row r="183" customHeight="1" outlineLevel="1" spans="1:10">
      <c r="A183" s="15">
        <v>8</v>
      </c>
      <c r="B183" s="23" t="s">
        <v>63</v>
      </c>
      <c r="C183" s="26"/>
      <c r="D183" s="26"/>
      <c r="E183" s="26"/>
      <c r="F183" s="26"/>
      <c r="G183" s="24"/>
      <c r="H183" s="28">
        <v>0.13</v>
      </c>
      <c r="I183" s="48">
        <f>+(I181+I182)*H183</f>
        <v>543.78129</v>
      </c>
      <c r="J183" s="53"/>
    </row>
    <row r="184" customHeight="1" spans="1:10">
      <c r="A184" s="15">
        <v>9</v>
      </c>
      <c r="B184" s="29" t="s">
        <v>76</v>
      </c>
      <c r="C184" s="30"/>
      <c r="D184" s="30"/>
      <c r="E184" s="30"/>
      <c r="F184" s="30"/>
      <c r="G184" s="31"/>
      <c r="H184" s="32"/>
      <c r="I184" s="55">
        <f>+I183+I182+I181</f>
        <v>4726.71429</v>
      </c>
      <c r="J184" s="16"/>
    </row>
    <row r="185" customHeight="1" spans="1:10">
      <c r="A185" s="15">
        <v>10</v>
      </c>
      <c r="B185" s="33" t="s">
        <v>89</v>
      </c>
      <c r="C185" s="34"/>
      <c r="D185" s="34"/>
      <c r="E185" s="34"/>
      <c r="F185" s="34"/>
      <c r="G185" s="35"/>
      <c r="H185" s="36"/>
      <c r="I185" s="55">
        <f>+I184/I165</f>
        <v>1172.30017113095</v>
      </c>
      <c r="J185" s="57"/>
    </row>
    <row r="186" customHeight="1" spans="1:10">
      <c r="A186" s="7" t="s">
        <v>108</v>
      </c>
      <c r="B186" s="7"/>
      <c r="C186" s="7"/>
      <c r="D186" s="7"/>
      <c r="E186" s="7"/>
      <c r="F186" s="7"/>
      <c r="G186" s="7"/>
      <c r="H186" s="7"/>
      <c r="I186" s="38"/>
      <c r="J186" s="7"/>
    </row>
    <row r="187" customHeight="1" spans="1:12">
      <c r="A187" s="8" t="s">
        <v>66</v>
      </c>
      <c r="B187" s="8"/>
      <c r="C187" s="9"/>
      <c r="D187" s="10"/>
      <c r="E187" s="8" t="s">
        <v>68</v>
      </c>
      <c r="F187" s="8" t="s">
        <v>109</v>
      </c>
      <c r="G187" s="8"/>
      <c r="H187" s="8" t="s">
        <v>70</v>
      </c>
      <c r="I187" s="39">
        <f>'03、（方案1）综合单价分析表'!I187</f>
        <v>3.216</v>
      </c>
      <c r="J187" s="8"/>
      <c r="K187" s="40" t="str">
        <f>_xlfn.DISPIMG("ID_A40A987D22B24C849D74D5151B96B89E",1)</f>
        <v>=DISPIMG("ID_A40A987D22B24C849D74D5151B96B89E",1)</v>
      </c>
      <c r="L187" s="41"/>
    </row>
    <row r="188" customHeight="1" outlineLevel="1" spans="1:12">
      <c r="A188" s="11" t="s">
        <v>0</v>
      </c>
      <c r="B188" s="12" t="s">
        <v>71</v>
      </c>
      <c r="C188" s="13" t="s">
        <v>72</v>
      </c>
      <c r="D188" s="14"/>
      <c r="E188" s="12" t="s">
        <v>73</v>
      </c>
      <c r="F188" s="12" t="s">
        <v>74</v>
      </c>
      <c r="G188" s="12" t="s">
        <v>75</v>
      </c>
      <c r="H188" s="12" t="s">
        <v>4</v>
      </c>
      <c r="I188" s="42" t="s">
        <v>76</v>
      </c>
      <c r="J188" s="43" t="s">
        <v>3</v>
      </c>
      <c r="K188" s="44"/>
      <c r="L188" s="45"/>
    </row>
    <row r="189" customHeight="1" outlineLevel="1" spans="1:12">
      <c r="A189" s="15">
        <v>1</v>
      </c>
      <c r="B189" s="16" t="s">
        <v>77</v>
      </c>
      <c r="C189" s="16"/>
      <c r="D189" s="16"/>
      <c r="E189" s="16"/>
      <c r="F189" s="16"/>
      <c r="G189" s="16"/>
      <c r="H189" s="16"/>
      <c r="I189" s="46"/>
      <c r="J189" s="47"/>
      <c r="K189" s="44"/>
      <c r="L189" s="45"/>
    </row>
    <row r="190" customHeight="1" outlineLevel="1" spans="1:12">
      <c r="A190" s="17">
        <v>1.1</v>
      </c>
      <c r="B190" s="18" t="s">
        <v>43</v>
      </c>
      <c r="C190" s="19" t="s">
        <v>44</v>
      </c>
      <c r="D190" s="20"/>
      <c r="E190" s="21"/>
      <c r="F190" s="21" t="s">
        <v>7</v>
      </c>
      <c r="G190" s="21">
        <v>3.22</v>
      </c>
      <c r="H190" s="21">
        <f>VLOOKUP(C190,'单价表-木门'!$C:$F,4,FALSE)</f>
        <v>232</v>
      </c>
      <c r="I190" s="48">
        <f t="shared" ref="I190:I192" si="19">G190*H190</f>
        <v>747.04</v>
      </c>
      <c r="J190" s="49"/>
      <c r="K190" s="44"/>
      <c r="L190" s="45"/>
    </row>
    <row r="191" customHeight="1" outlineLevel="1" spans="1:12">
      <c r="A191" s="17">
        <v>2.1</v>
      </c>
      <c r="B191" s="22" t="s">
        <v>46</v>
      </c>
      <c r="C191" s="58" t="s">
        <v>47</v>
      </c>
      <c r="D191" s="59"/>
      <c r="E191" s="21"/>
      <c r="F191" s="21" t="s">
        <v>11</v>
      </c>
      <c r="G191" s="60">
        <f>G190</f>
        <v>3.22</v>
      </c>
      <c r="H191" s="21">
        <f>VLOOKUP(C191,'单价表-木门'!$C:$F,4,FALSE)</f>
        <v>290</v>
      </c>
      <c r="I191" s="48">
        <f t="shared" si="19"/>
        <v>933.8</v>
      </c>
      <c r="J191" s="50" t="s">
        <v>79</v>
      </c>
      <c r="K191" s="51"/>
      <c r="L191" s="52"/>
    </row>
    <row r="192" customHeight="1" outlineLevel="1" spans="1:10">
      <c r="A192" s="17">
        <v>3.1</v>
      </c>
      <c r="B192" s="18" t="s">
        <v>48</v>
      </c>
      <c r="C192" s="19" t="s">
        <v>49</v>
      </c>
      <c r="D192" s="20"/>
      <c r="E192" s="21"/>
      <c r="F192" s="21" t="s">
        <v>15</v>
      </c>
      <c r="G192" s="21">
        <v>2.43</v>
      </c>
      <c r="H192" s="21">
        <f>VLOOKUP(C192,'单价表-木门'!$C:$F,4,FALSE)</f>
        <v>33</v>
      </c>
      <c r="I192" s="48">
        <f t="shared" si="19"/>
        <v>80.19</v>
      </c>
      <c r="J192" s="49"/>
    </row>
    <row r="193" customHeight="1" outlineLevel="1" spans="1:10">
      <c r="A193" s="15"/>
      <c r="B193" s="16" t="s">
        <v>82</v>
      </c>
      <c r="C193" s="16"/>
      <c r="D193" s="16"/>
      <c r="E193" s="16"/>
      <c r="F193" s="16"/>
      <c r="G193" s="16"/>
      <c r="H193" s="16"/>
      <c r="I193" s="46">
        <f>SUM(I190:I192)</f>
        <v>1761.03</v>
      </c>
      <c r="J193" s="53"/>
    </row>
    <row r="194" customHeight="1" outlineLevel="1" spans="1:10">
      <c r="A194" s="15">
        <v>2</v>
      </c>
      <c r="B194" s="16" t="s">
        <v>83</v>
      </c>
      <c r="C194" s="16"/>
      <c r="D194" s="16"/>
      <c r="E194" s="16"/>
      <c r="F194" s="16"/>
      <c r="G194" s="16"/>
      <c r="H194" s="16"/>
      <c r="I194" s="46"/>
      <c r="J194" s="54"/>
    </row>
    <row r="195" customHeight="1" outlineLevel="1" spans="1:10">
      <c r="A195" s="17">
        <v>2.1</v>
      </c>
      <c r="B195" s="18" t="s">
        <v>104</v>
      </c>
      <c r="C195" s="19" t="s">
        <v>54</v>
      </c>
      <c r="D195" s="20"/>
      <c r="E195" s="21"/>
      <c r="F195" s="21" t="s">
        <v>24</v>
      </c>
      <c r="G195" s="21">
        <v>1</v>
      </c>
      <c r="H195" s="21">
        <f>VLOOKUP(C195,'单价表-木门'!$C:$F,4,FALSE)</f>
        <v>434</v>
      </c>
      <c r="I195" s="48">
        <f t="shared" ref="I195:I199" si="20">G195*H195</f>
        <v>434</v>
      </c>
      <c r="J195" s="53"/>
    </row>
    <row r="196" customHeight="1" outlineLevel="1" spans="1:10">
      <c r="A196" s="15"/>
      <c r="B196" s="16" t="s">
        <v>84</v>
      </c>
      <c r="C196" s="16"/>
      <c r="D196" s="16"/>
      <c r="E196" s="16"/>
      <c r="F196" s="16"/>
      <c r="G196" s="16"/>
      <c r="H196" s="16"/>
      <c r="I196" s="46">
        <f>SUM(I195:I195)</f>
        <v>434</v>
      </c>
      <c r="J196" s="53"/>
    </row>
    <row r="197" customHeight="1" outlineLevel="1" spans="1:10">
      <c r="A197" s="25">
        <v>3</v>
      </c>
      <c r="B197" s="16" t="s">
        <v>85</v>
      </c>
      <c r="C197" s="16"/>
      <c r="D197" s="16"/>
      <c r="E197" s="16"/>
      <c r="F197" s="16"/>
      <c r="G197" s="16"/>
      <c r="H197" s="16"/>
      <c r="I197" s="46"/>
      <c r="J197" s="54"/>
    </row>
    <row r="198" customHeight="1" outlineLevel="1" spans="1:10">
      <c r="A198" s="21">
        <v>3.1</v>
      </c>
      <c r="B198" s="61" t="s">
        <v>55</v>
      </c>
      <c r="C198" s="58" t="s">
        <v>56</v>
      </c>
      <c r="D198" s="59"/>
      <c r="E198" s="18"/>
      <c r="F198" s="21" t="s">
        <v>11</v>
      </c>
      <c r="G198" s="21">
        <v>2.34</v>
      </c>
      <c r="H198" s="21">
        <f>VLOOKUP(C198,'单价表-木门'!$C:$F,4,FALSE)</f>
        <v>270</v>
      </c>
      <c r="I198" s="48">
        <f t="shared" si="20"/>
        <v>631.8</v>
      </c>
      <c r="J198" s="53"/>
    </row>
    <row r="199" customHeight="1" outlineLevel="1" spans="1:10">
      <c r="A199" s="21">
        <v>3.2</v>
      </c>
      <c r="B199" s="18" t="s">
        <v>30</v>
      </c>
      <c r="C199" s="19" t="s">
        <v>38</v>
      </c>
      <c r="D199" s="20"/>
      <c r="E199" s="21"/>
      <c r="F199" s="21" t="s">
        <v>24</v>
      </c>
      <c r="G199" s="21">
        <v>1</v>
      </c>
      <c r="H199" s="21">
        <f>VLOOKUP(C199,'单价表-木门'!$C:$F,4,FALSE)</f>
        <v>14.5</v>
      </c>
      <c r="I199" s="48">
        <f t="shared" si="20"/>
        <v>14.5</v>
      </c>
      <c r="J199" s="53"/>
    </row>
    <row r="200" customHeight="1" outlineLevel="1" spans="1:10">
      <c r="A200" s="15"/>
      <c r="B200" s="16" t="s">
        <v>86</v>
      </c>
      <c r="C200" s="16"/>
      <c r="D200" s="16"/>
      <c r="E200" s="16"/>
      <c r="F200" s="16"/>
      <c r="G200" s="16"/>
      <c r="H200" s="16"/>
      <c r="I200" s="46">
        <f>SUM(I198:I199)</f>
        <v>646.3</v>
      </c>
      <c r="J200" s="53"/>
    </row>
    <row r="201" customHeight="1" outlineLevel="1" spans="1:10">
      <c r="A201" s="15">
        <v>4</v>
      </c>
      <c r="B201" s="18" t="s">
        <v>58</v>
      </c>
      <c r="C201" s="18"/>
      <c r="D201" s="18"/>
      <c r="E201" s="18"/>
      <c r="F201" s="18"/>
      <c r="G201" s="18"/>
      <c r="H201" s="18"/>
      <c r="I201" s="48">
        <f>VLOOKUP(B201,'单价表-木门'!$B:$F,5,FALSE)</f>
        <v>570</v>
      </c>
      <c r="J201" s="53"/>
    </row>
    <row r="202" customHeight="1" outlineLevel="1" spans="1:10">
      <c r="A202" s="15">
        <v>5</v>
      </c>
      <c r="B202" s="18" t="s">
        <v>60</v>
      </c>
      <c r="C202" s="18"/>
      <c r="D202" s="18"/>
      <c r="E202" s="18"/>
      <c r="F202" s="18"/>
      <c r="G202" s="18"/>
      <c r="H202" s="18"/>
      <c r="I202" s="48">
        <f>VLOOKUP(B202,'单价表-木门'!$B:$F,5,FALSE)</f>
        <v>34</v>
      </c>
      <c r="J202" s="53"/>
    </row>
    <row r="203" customHeight="1" outlineLevel="1" spans="1:10">
      <c r="A203" s="15">
        <v>6</v>
      </c>
      <c r="B203" s="23" t="s">
        <v>88</v>
      </c>
      <c r="C203" s="26"/>
      <c r="D203" s="26"/>
      <c r="E203" s="26"/>
      <c r="F203" s="26"/>
      <c r="G203" s="24"/>
      <c r="H203" s="27"/>
      <c r="I203" s="46">
        <f>I193+I196+I200+I201+I202</f>
        <v>3445.33</v>
      </c>
      <c r="J203" s="54"/>
    </row>
    <row r="204" customHeight="1" outlineLevel="1" spans="1:10">
      <c r="A204" s="15">
        <v>7</v>
      </c>
      <c r="B204" s="23" t="s">
        <v>61</v>
      </c>
      <c r="C204" s="26"/>
      <c r="D204" s="26"/>
      <c r="E204" s="26"/>
      <c r="F204" s="26"/>
      <c r="G204" s="24"/>
      <c r="H204" s="28">
        <v>0.03</v>
      </c>
      <c r="I204" s="48">
        <f>I203*H204</f>
        <v>103.3599</v>
      </c>
      <c r="J204" s="53"/>
    </row>
    <row r="205" customHeight="1" outlineLevel="1" spans="1:10">
      <c r="A205" s="15">
        <v>8</v>
      </c>
      <c r="B205" s="23" t="s">
        <v>63</v>
      </c>
      <c r="C205" s="26"/>
      <c r="D205" s="26"/>
      <c r="E205" s="26"/>
      <c r="F205" s="26"/>
      <c r="G205" s="24"/>
      <c r="H205" s="28">
        <v>0.13</v>
      </c>
      <c r="I205" s="48">
        <f>+(I203+I204)*H205</f>
        <v>461.329687</v>
      </c>
      <c r="J205" s="53"/>
    </row>
    <row r="206" customHeight="1" spans="1:10">
      <c r="A206" s="15">
        <v>9</v>
      </c>
      <c r="B206" s="29" t="s">
        <v>76</v>
      </c>
      <c r="C206" s="30"/>
      <c r="D206" s="30"/>
      <c r="E206" s="30"/>
      <c r="F206" s="30"/>
      <c r="G206" s="31"/>
      <c r="H206" s="32"/>
      <c r="I206" s="55">
        <f>+I205+I204+I203</f>
        <v>4010.019587</v>
      </c>
      <c r="J206" s="16"/>
    </row>
    <row r="207" customHeight="1" spans="1:10">
      <c r="A207" s="15">
        <v>10</v>
      </c>
      <c r="B207" s="33" t="s">
        <v>89</v>
      </c>
      <c r="C207" s="34"/>
      <c r="D207" s="34"/>
      <c r="E207" s="34"/>
      <c r="F207" s="34"/>
      <c r="G207" s="35"/>
      <c r="H207" s="36"/>
      <c r="I207" s="55">
        <f>+I206/I187</f>
        <v>1246.89663774876</v>
      </c>
      <c r="J207" s="57"/>
    </row>
    <row r="208" customHeight="1" spans="1:10">
      <c r="A208" s="7" t="s">
        <v>110</v>
      </c>
      <c r="B208" s="7"/>
      <c r="C208" s="7"/>
      <c r="D208" s="7"/>
      <c r="E208" s="7"/>
      <c r="F208" s="7"/>
      <c r="G208" s="7"/>
      <c r="H208" s="7"/>
      <c r="I208" s="38"/>
      <c r="J208" s="7"/>
    </row>
    <row r="209" customHeight="1" spans="1:12">
      <c r="A209" s="8" t="s">
        <v>66</v>
      </c>
      <c r="B209" s="8"/>
      <c r="C209" s="9"/>
      <c r="D209" s="10"/>
      <c r="E209" s="8" t="s">
        <v>68</v>
      </c>
      <c r="F209" s="8" t="s">
        <v>111</v>
      </c>
      <c r="G209" s="8"/>
      <c r="H209" s="8" t="s">
        <v>70</v>
      </c>
      <c r="I209" s="39">
        <f>'03、（方案1）综合单价分析表'!I209</f>
        <v>2.948</v>
      </c>
      <c r="J209" s="8"/>
      <c r="K209" s="40" t="str">
        <f>_xlfn.DISPIMG("ID_D7A96D7217E84E449C10C835108A8E3C",1)</f>
        <v>=DISPIMG("ID_D7A96D7217E84E449C10C835108A8E3C",1)</v>
      </c>
      <c r="L209" s="41"/>
    </row>
    <row r="210" customHeight="1" outlineLevel="1" spans="1:12">
      <c r="A210" s="11" t="s">
        <v>0</v>
      </c>
      <c r="B210" s="12" t="s">
        <v>71</v>
      </c>
      <c r="C210" s="13" t="s">
        <v>72</v>
      </c>
      <c r="D210" s="14"/>
      <c r="E210" s="12" t="s">
        <v>73</v>
      </c>
      <c r="F210" s="12" t="s">
        <v>74</v>
      </c>
      <c r="G210" s="12" t="s">
        <v>75</v>
      </c>
      <c r="H210" s="12" t="s">
        <v>4</v>
      </c>
      <c r="I210" s="42" t="s">
        <v>76</v>
      </c>
      <c r="J210" s="43" t="s">
        <v>3</v>
      </c>
      <c r="K210" s="44"/>
      <c r="L210" s="45"/>
    </row>
    <row r="211" customHeight="1" outlineLevel="1" spans="1:12">
      <c r="A211" s="15">
        <v>1</v>
      </c>
      <c r="B211" s="16" t="s">
        <v>77</v>
      </c>
      <c r="C211" s="16"/>
      <c r="D211" s="16"/>
      <c r="E211" s="16"/>
      <c r="F211" s="16"/>
      <c r="G211" s="16"/>
      <c r="H211" s="16"/>
      <c r="I211" s="46"/>
      <c r="J211" s="47"/>
      <c r="K211" s="44"/>
      <c r="L211" s="45"/>
    </row>
    <row r="212" customHeight="1" outlineLevel="1" spans="1:12">
      <c r="A212" s="17">
        <v>1.1</v>
      </c>
      <c r="B212" s="18" t="s">
        <v>43</v>
      </c>
      <c r="C212" s="19" t="s">
        <v>44</v>
      </c>
      <c r="D212" s="20"/>
      <c r="E212" s="21"/>
      <c r="F212" s="21" t="s">
        <v>7</v>
      </c>
      <c r="G212" s="21">
        <v>2.95</v>
      </c>
      <c r="H212" s="21">
        <f>VLOOKUP(C212,'单价表-木门'!$C:$F,4,FALSE)</f>
        <v>232</v>
      </c>
      <c r="I212" s="48">
        <f t="shared" ref="I212:I214" si="21">G212*H212</f>
        <v>684.4</v>
      </c>
      <c r="J212" s="49"/>
      <c r="K212" s="44"/>
      <c r="L212" s="45"/>
    </row>
    <row r="213" customHeight="1" outlineLevel="1" spans="1:12">
      <c r="A213" s="17">
        <v>2.1</v>
      </c>
      <c r="B213" s="22" t="s">
        <v>46</v>
      </c>
      <c r="C213" s="58" t="s">
        <v>47</v>
      </c>
      <c r="D213" s="59"/>
      <c r="E213" s="21"/>
      <c r="F213" s="21" t="s">
        <v>11</v>
      </c>
      <c r="G213" s="60">
        <f>G212</f>
        <v>2.95</v>
      </c>
      <c r="H213" s="21">
        <f>VLOOKUP(C213,'单价表-木门'!$C:$F,4,FALSE)</f>
        <v>290</v>
      </c>
      <c r="I213" s="48">
        <f t="shared" si="21"/>
        <v>855.5</v>
      </c>
      <c r="J213" s="50" t="s">
        <v>79</v>
      </c>
      <c r="K213" s="51"/>
      <c r="L213" s="52"/>
    </row>
    <row r="214" customHeight="1" outlineLevel="1" spans="1:10">
      <c r="A214" s="17">
        <v>3.1</v>
      </c>
      <c r="B214" s="18" t="s">
        <v>48</v>
      </c>
      <c r="C214" s="19" t="s">
        <v>49</v>
      </c>
      <c r="D214" s="20"/>
      <c r="E214" s="21"/>
      <c r="F214" s="21" t="s">
        <v>15</v>
      </c>
      <c r="G214" s="21">
        <v>2.25</v>
      </c>
      <c r="H214" s="21">
        <f>VLOOKUP(C214,'单价表-木门'!$C:$F,4,FALSE)</f>
        <v>33</v>
      </c>
      <c r="I214" s="48">
        <f t="shared" si="21"/>
        <v>74.25</v>
      </c>
      <c r="J214" s="49"/>
    </row>
    <row r="215" customHeight="1" outlineLevel="1" spans="1:10">
      <c r="A215" s="15"/>
      <c r="B215" s="16" t="s">
        <v>82</v>
      </c>
      <c r="C215" s="16"/>
      <c r="D215" s="16"/>
      <c r="E215" s="16"/>
      <c r="F215" s="16"/>
      <c r="G215" s="16"/>
      <c r="H215" s="16"/>
      <c r="I215" s="46">
        <f>SUM(I212:I214)</f>
        <v>1614.15</v>
      </c>
      <c r="J215" s="53"/>
    </row>
    <row r="216" customHeight="1" outlineLevel="1" spans="1:10">
      <c r="A216" s="15">
        <v>2</v>
      </c>
      <c r="B216" s="16" t="s">
        <v>83</v>
      </c>
      <c r="C216" s="16"/>
      <c r="D216" s="16"/>
      <c r="E216" s="16"/>
      <c r="F216" s="16"/>
      <c r="G216" s="16"/>
      <c r="H216" s="16"/>
      <c r="I216" s="46"/>
      <c r="J216" s="54"/>
    </row>
    <row r="217" customHeight="1" outlineLevel="1" spans="1:10">
      <c r="A217" s="17">
        <v>2.1</v>
      </c>
      <c r="B217" s="18" t="s">
        <v>104</v>
      </c>
      <c r="C217" s="19" t="s">
        <v>51</v>
      </c>
      <c r="D217" s="20"/>
      <c r="E217" s="21"/>
      <c r="F217" s="21" t="s">
        <v>24</v>
      </c>
      <c r="G217" s="21">
        <v>1</v>
      </c>
      <c r="H217" s="21">
        <f>VLOOKUP(C217,'单价表-木门'!$C:$F,4,FALSE)</f>
        <v>82</v>
      </c>
      <c r="I217" s="48">
        <f t="shared" ref="I217:I221" si="22">G217*H217</f>
        <v>82</v>
      </c>
      <c r="J217" s="53"/>
    </row>
    <row r="218" customHeight="1" outlineLevel="1" spans="1:10">
      <c r="A218" s="15"/>
      <c r="B218" s="16" t="s">
        <v>84</v>
      </c>
      <c r="C218" s="16"/>
      <c r="D218" s="16"/>
      <c r="E218" s="16"/>
      <c r="F218" s="16"/>
      <c r="G218" s="16"/>
      <c r="H218" s="16"/>
      <c r="I218" s="46">
        <f>SUM(I217:I217)</f>
        <v>82</v>
      </c>
      <c r="J218" s="53"/>
    </row>
    <row r="219" customHeight="1" outlineLevel="1" spans="1:10">
      <c r="A219" s="25">
        <v>3</v>
      </c>
      <c r="B219" s="16" t="s">
        <v>85</v>
      </c>
      <c r="C219" s="16"/>
      <c r="D219" s="16"/>
      <c r="E219" s="16"/>
      <c r="F219" s="16"/>
      <c r="G219" s="16"/>
      <c r="H219" s="16"/>
      <c r="I219" s="46"/>
      <c r="J219" s="54"/>
    </row>
    <row r="220" customHeight="1" outlineLevel="1" spans="1:10">
      <c r="A220" s="21">
        <v>3.1</v>
      </c>
      <c r="B220" s="61" t="s">
        <v>55</v>
      </c>
      <c r="C220" s="58" t="s">
        <v>56</v>
      </c>
      <c r="D220" s="59"/>
      <c r="E220" s="18"/>
      <c r="F220" s="21" t="s">
        <v>11</v>
      </c>
      <c r="G220" s="21">
        <v>2.28</v>
      </c>
      <c r="H220" s="21">
        <f>VLOOKUP(C220,'单价表-木门'!$C:$F,4,FALSE)</f>
        <v>270</v>
      </c>
      <c r="I220" s="48">
        <f t="shared" si="22"/>
        <v>615.6</v>
      </c>
      <c r="J220" s="53"/>
    </row>
    <row r="221" customHeight="1" outlineLevel="1" spans="1:10">
      <c r="A221" s="21">
        <v>3.2</v>
      </c>
      <c r="B221" s="18" t="s">
        <v>30</v>
      </c>
      <c r="C221" s="19" t="s">
        <v>38</v>
      </c>
      <c r="D221" s="20"/>
      <c r="E221" s="21"/>
      <c r="F221" s="21" t="s">
        <v>24</v>
      </c>
      <c r="G221" s="21">
        <v>1</v>
      </c>
      <c r="H221" s="21">
        <f>VLOOKUP(C221,'单价表-木门'!$C:$F,4,FALSE)</f>
        <v>14.5</v>
      </c>
      <c r="I221" s="48">
        <f t="shared" si="22"/>
        <v>14.5</v>
      </c>
      <c r="J221" s="53"/>
    </row>
    <row r="222" customHeight="1" outlineLevel="1" spans="1:10">
      <c r="A222" s="15"/>
      <c r="B222" s="16" t="s">
        <v>86</v>
      </c>
      <c r="C222" s="16"/>
      <c r="D222" s="16"/>
      <c r="E222" s="16"/>
      <c r="F222" s="16"/>
      <c r="G222" s="16"/>
      <c r="H222" s="16"/>
      <c r="I222" s="46">
        <f>SUM(I220:I221)</f>
        <v>630.1</v>
      </c>
      <c r="J222" s="53"/>
    </row>
    <row r="223" customHeight="1" outlineLevel="1" spans="1:10">
      <c r="A223" s="15">
        <v>4</v>
      </c>
      <c r="B223" s="18" t="s">
        <v>58</v>
      </c>
      <c r="C223" s="18"/>
      <c r="D223" s="18"/>
      <c r="E223" s="18"/>
      <c r="F223" s="18"/>
      <c r="G223" s="18"/>
      <c r="H223" s="18"/>
      <c r="I223" s="48">
        <f>VLOOKUP(B223,'单价表-木门'!$B:$F,5,FALSE)</f>
        <v>570</v>
      </c>
      <c r="J223" s="53"/>
    </row>
    <row r="224" customHeight="1" outlineLevel="1" spans="1:10">
      <c r="A224" s="15">
        <v>5</v>
      </c>
      <c r="B224" s="18" t="s">
        <v>60</v>
      </c>
      <c r="C224" s="18"/>
      <c r="D224" s="18"/>
      <c r="E224" s="18"/>
      <c r="F224" s="18"/>
      <c r="G224" s="18"/>
      <c r="H224" s="18"/>
      <c r="I224" s="48">
        <f>VLOOKUP(B224,'单价表-木门'!$B:$F,5,FALSE)</f>
        <v>34</v>
      </c>
      <c r="J224" s="53"/>
    </row>
    <row r="225" customHeight="1" outlineLevel="1" spans="1:10">
      <c r="A225" s="15">
        <v>6</v>
      </c>
      <c r="B225" s="23" t="s">
        <v>88</v>
      </c>
      <c r="C225" s="26"/>
      <c r="D225" s="26"/>
      <c r="E225" s="26"/>
      <c r="F225" s="26"/>
      <c r="G225" s="24"/>
      <c r="H225" s="27"/>
      <c r="I225" s="46">
        <f>I215+I218+I222+I223+I224</f>
        <v>2930.25</v>
      </c>
      <c r="J225" s="54"/>
    </row>
    <row r="226" customHeight="1" outlineLevel="1" spans="1:10">
      <c r="A226" s="15">
        <v>7</v>
      </c>
      <c r="B226" s="23" t="s">
        <v>61</v>
      </c>
      <c r="C226" s="26"/>
      <c r="D226" s="26"/>
      <c r="E226" s="26"/>
      <c r="F226" s="26"/>
      <c r="G226" s="24"/>
      <c r="H226" s="28">
        <v>0.03</v>
      </c>
      <c r="I226" s="48">
        <f>I225*H226</f>
        <v>87.9075</v>
      </c>
      <c r="J226" s="53"/>
    </row>
    <row r="227" customHeight="1" outlineLevel="1" spans="1:10">
      <c r="A227" s="15">
        <v>8</v>
      </c>
      <c r="B227" s="23" t="s">
        <v>63</v>
      </c>
      <c r="C227" s="26"/>
      <c r="D227" s="26"/>
      <c r="E227" s="26"/>
      <c r="F227" s="26"/>
      <c r="G227" s="24"/>
      <c r="H227" s="28">
        <v>0.13</v>
      </c>
      <c r="I227" s="48">
        <f>+(I225+I226)*H227</f>
        <v>392.360475</v>
      </c>
      <c r="J227" s="53"/>
    </row>
    <row r="228" customHeight="1" spans="1:10">
      <c r="A228" s="15">
        <v>9</v>
      </c>
      <c r="B228" s="29" t="s">
        <v>76</v>
      </c>
      <c r="C228" s="30"/>
      <c r="D228" s="30"/>
      <c r="E228" s="30"/>
      <c r="F228" s="30"/>
      <c r="G228" s="31"/>
      <c r="H228" s="32"/>
      <c r="I228" s="55">
        <f>+I227+I226+I225</f>
        <v>3410.517975</v>
      </c>
      <c r="J228" s="16"/>
    </row>
    <row r="229" customHeight="1" spans="1:10">
      <c r="A229" s="15">
        <v>10</v>
      </c>
      <c r="B229" s="33" t="s">
        <v>89</v>
      </c>
      <c r="C229" s="34"/>
      <c r="D229" s="34"/>
      <c r="E229" s="34"/>
      <c r="F229" s="34"/>
      <c r="G229" s="35"/>
      <c r="H229" s="36"/>
      <c r="I229" s="55">
        <f>+I228/I209</f>
        <v>1156.89212177748</v>
      </c>
      <c r="J229" s="57"/>
    </row>
    <row r="230" customHeight="1" spans="1:10">
      <c r="A230" s="7" t="s">
        <v>112</v>
      </c>
      <c r="B230" s="7"/>
      <c r="C230" s="7"/>
      <c r="D230" s="7"/>
      <c r="E230" s="7"/>
      <c r="F230" s="7"/>
      <c r="G230" s="7"/>
      <c r="H230" s="7"/>
      <c r="I230" s="38"/>
      <c r="J230" s="7"/>
    </row>
    <row r="231" customHeight="1" spans="1:12">
      <c r="A231" s="8" t="s">
        <v>66</v>
      </c>
      <c r="B231" s="8"/>
      <c r="C231" s="9"/>
      <c r="D231" s="10"/>
      <c r="E231" s="8" t="s">
        <v>68</v>
      </c>
      <c r="F231" s="8" t="s">
        <v>113</v>
      </c>
      <c r="G231" s="8"/>
      <c r="H231" s="8" t="s">
        <v>70</v>
      </c>
      <c r="I231" s="39">
        <f>'03、（方案1）综合单价分析表'!I231</f>
        <v>3.484</v>
      </c>
      <c r="J231" s="8"/>
      <c r="K231" s="40" t="str">
        <f>_xlfn.DISPIMG("ID_3E12B6997F084F988A551E1801D4081D",1)</f>
        <v>=DISPIMG("ID_3E12B6997F084F988A551E1801D4081D",1)</v>
      </c>
      <c r="L231" s="41"/>
    </row>
    <row r="232" customHeight="1" outlineLevel="1" spans="1:12">
      <c r="A232" s="11" t="s">
        <v>0</v>
      </c>
      <c r="B232" s="12" t="s">
        <v>71</v>
      </c>
      <c r="C232" s="13" t="s">
        <v>72</v>
      </c>
      <c r="D232" s="14"/>
      <c r="E232" s="12" t="s">
        <v>73</v>
      </c>
      <c r="F232" s="12" t="s">
        <v>74</v>
      </c>
      <c r="G232" s="12" t="s">
        <v>75</v>
      </c>
      <c r="H232" s="12" t="s">
        <v>4</v>
      </c>
      <c r="I232" s="42" t="s">
        <v>76</v>
      </c>
      <c r="J232" s="43" t="s">
        <v>3</v>
      </c>
      <c r="K232" s="44"/>
      <c r="L232" s="45"/>
    </row>
    <row r="233" customHeight="1" outlineLevel="1" spans="1:12">
      <c r="A233" s="15">
        <v>1</v>
      </c>
      <c r="B233" s="16" t="s">
        <v>77</v>
      </c>
      <c r="C233" s="16"/>
      <c r="D233" s="16"/>
      <c r="E233" s="16"/>
      <c r="F233" s="16"/>
      <c r="G233" s="16"/>
      <c r="H233" s="16"/>
      <c r="I233" s="46"/>
      <c r="J233" s="47"/>
      <c r="K233" s="44"/>
      <c r="L233" s="45"/>
    </row>
    <row r="234" customHeight="1" outlineLevel="1" spans="1:12">
      <c r="A234" s="17">
        <v>1.1</v>
      </c>
      <c r="B234" s="18" t="s">
        <v>43</v>
      </c>
      <c r="C234" s="19" t="s">
        <v>44</v>
      </c>
      <c r="D234" s="20"/>
      <c r="E234" s="21"/>
      <c r="F234" s="21" t="s">
        <v>7</v>
      </c>
      <c r="G234" s="21">
        <v>3.48</v>
      </c>
      <c r="H234" s="21">
        <f>VLOOKUP(C234,'单价表-木门'!$C:$F,4,FALSE)</f>
        <v>232</v>
      </c>
      <c r="I234" s="48">
        <f t="shared" ref="I234:I236" si="23">G234*H234</f>
        <v>807.36</v>
      </c>
      <c r="J234" s="49"/>
      <c r="K234" s="44"/>
      <c r="L234" s="45"/>
    </row>
    <row r="235" customHeight="1" outlineLevel="1" spans="1:12">
      <c r="A235" s="17">
        <v>2.1</v>
      </c>
      <c r="B235" s="22" t="s">
        <v>46</v>
      </c>
      <c r="C235" s="58" t="s">
        <v>47</v>
      </c>
      <c r="D235" s="59"/>
      <c r="E235" s="21"/>
      <c r="F235" s="21" t="s">
        <v>11</v>
      </c>
      <c r="G235" s="60">
        <f>G234</f>
        <v>3.48</v>
      </c>
      <c r="H235" s="21">
        <f>VLOOKUP(C235,'单价表-木门'!$C:$F,4,FALSE)</f>
        <v>290</v>
      </c>
      <c r="I235" s="48">
        <f t="shared" si="23"/>
        <v>1009.2</v>
      </c>
      <c r="J235" s="50" t="s">
        <v>79</v>
      </c>
      <c r="K235" s="51"/>
      <c r="L235" s="52"/>
    </row>
    <row r="236" customHeight="1" outlineLevel="1" spans="1:10">
      <c r="A236" s="17">
        <v>3.1</v>
      </c>
      <c r="B236" s="18" t="s">
        <v>48</v>
      </c>
      <c r="C236" s="19" t="s">
        <v>49</v>
      </c>
      <c r="D236" s="20"/>
      <c r="E236" s="21"/>
      <c r="F236" s="21" t="s">
        <v>15</v>
      </c>
      <c r="G236" s="21">
        <v>2.58</v>
      </c>
      <c r="H236" s="21">
        <f>VLOOKUP(C236,'单价表-木门'!$C:$F,4,FALSE)</f>
        <v>33</v>
      </c>
      <c r="I236" s="48">
        <f t="shared" si="23"/>
        <v>85.14</v>
      </c>
      <c r="J236" s="49"/>
    </row>
    <row r="237" customHeight="1" outlineLevel="1" spans="1:10">
      <c r="A237" s="15"/>
      <c r="B237" s="16" t="s">
        <v>82</v>
      </c>
      <c r="C237" s="16"/>
      <c r="D237" s="16"/>
      <c r="E237" s="16"/>
      <c r="F237" s="16"/>
      <c r="G237" s="16"/>
      <c r="H237" s="16"/>
      <c r="I237" s="46">
        <f>SUM(I234:I236)</f>
        <v>1901.7</v>
      </c>
      <c r="J237" s="53"/>
    </row>
    <row r="238" customHeight="1" outlineLevel="1" spans="1:10">
      <c r="A238" s="15">
        <v>2</v>
      </c>
      <c r="B238" s="16" t="s">
        <v>83</v>
      </c>
      <c r="C238" s="16"/>
      <c r="D238" s="16"/>
      <c r="E238" s="16"/>
      <c r="F238" s="16"/>
      <c r="G238" s="16"/>
      <c r="H238" s="16"/>
      <c r="I238" s="46"/>
      <c r="J238" s="54"/>
    </row>
    <row r="239" customHeight="1" outlineLevel="1" spans="1:10">
      <c r="A239" s="17">
        <v>2.1</v>
      </c>
      <c r="B239" s="18" t="s">
        <v>104</v>
      </c>
      <c r="C239" s="19" t="s">
        <v>54</v>
      </c>
      <c r="D239" s="20"/>
      <c r="E239" s="21"/>
      <c r="F239" s="21" t="s">
        <v>24</v>
      </c>
      <c r="G239" s="21">
        <v>1</v>
      </c>
      <c r="H239" s="21">
        <f>VLOOKUP(C239,'单价表-木门'!$C:$F,4,FALSE)</f>
        <v>434</v>
      </c>
      <c r="I239" s="48">
        <f t="shared" ref="I239:I243" si="24">G239*H239</f>
        <v>434</v>
      </c>
      <c r="J239" s="53"/>
    </row>
    <row r="240" customHeight="1" outlineLevel="1" spans="1:10">
      <c r="A240" s="15"/>
      <c r="B240" s="16" t="s">
        <v>84</v>
      </c>
      <c r="C240" s="16"/>
      <c r="D240" s="16"/>
      <c r="E240" s="16"/>
      <c r="F240" s="16"/>
      <c r="G240" s="16"/>
      <c r="H240" s="16"/>
      <c r="I240" s="46">
        <f>SUM(I239:I239)</f>
        <v>434</v>
      </c>
      <c r="J240" s="53"/>
    </row>
    <row r="241" customHeight="1" outlineLevel="1" spans="1:10">
      <c r="A241" s="25">
        <v>3</v>
      </c>
      <c r="B241" s="16" t="s">
        <v>85</v>
      </c>
      <c r="C241" s="16"/>
      <c r="D241" s="16"/>
      <c r="E241" s="16"/>
      <c r="F241" s="16"/>
      <c r="G241" s="16"/>
      <c r="H241" s="16"/>
      <c r="I241" s="46"/>
      <c r="J241" s="54"/>
    </row>
    <row r="242" customHeight="1" outlineLevel="1" spans="1:10">
      <c r="A242" s="21">
        <v>3.1</v>
      </c>
      <c r="B242" s="61" t="s">
        <v>55</v>
      </c>
      <c r="C242" s="58" t="s">
        <v>56</v>
      </c>
      <c r="D242" s="59"/>
      <c r="E242" s="18"/>
      <c r="F242" s="21" t="s">
        <v>11</v>
      </c>
      <c r="G242" s="21">
        <v>3.05</v>
      </c>
      <c r="H242" s="21">
        <f>VLOOKUP(C242,'单价表-木门'!$C:$F,4,FALSE)</f>
        <v>270</v>
      </c>
      <c r="I242" s="48">
        <f t="shared" si="24"/>
        <v>823.5</v>
      </c>
      <c r="J242" s="53"/>
    </row>
    <row r="243" customHeight="1" outlineLevel="1" spans="1:10">
      <c r="A243" s="21">
        <v>3.2</v>
      </c>
      <c r="B243" s="18" t="s">
        <v>30</v>
      </c>
      <c r="C243" s="19" t="s">
        <v>38</v>
      </c>
      <c r="D243" s="20"/>
      <c r="E243" s="21"/>
      <c r="F243" s="21" t="s">
        <v>24</v>
      </c>
      <c r="G243" s="21">
        <v>1</v>
      </c>
      <c r="H243" s="21">
        <f>VLOOKUP(C243,'单价表-木门'!$C:$F,4,FALSE)</f>
        <v>14.5</v>
      </c>
      <c r="I243" s="48">
        <f t="shared" si="24"/>
        <v>14.5</v>
      </c>
      <c r="J243" s="53"/>
    </row>
    <row r="244" customHeight="1" outlineLevel="1" spans="1:10">
      <c r="A244" s="15"/>
      <c r="B244" s="16" t="s">
        <v>86</v>
      </c>
      <c r="C244" s="16"/>
      <c r="D244" s="16"/>
      <c r="E244" s="16"/>
      <c r="F244" s="16"/>
      <c r="G244" s="16"/>
      <c r="H244" s="16"/>
      <c r="I244" s="46">
        <f>SUM(I242:I243)</f>
        <v>838</v>
      </c>
      <c r="J244" s="53"/>
    </row>
    <row r="245" customHeight="1" outlineLevel="1" spans="1:10">
      <c r="A245" s="15">
        <v>4</v>
      </c>
      <c r="B245" s="18" t="s">
        <v>58</v>
      </c>
      <c r="C245" s="18"/>
      <c r="D245" s="18"/>
      <c r="E245" s="18"/>
      <c r="F245" s="18"/>
      <c r="G245" s="18"/>
      <c r="H245" s="18"/>
      <c r="I245" s="48">
        <f>VLOOKUP(B245,'单价表-木门'!$B:$F,5,FALSE)+200</f>
        <v>770</v>
      </c>
      <c r="J245" s="53"/>
    </row>
    <row r="246" customHeight="1" outlineLevel="1" spans="1:10">
      <c r="A246" s="15">
        <v>5</v>
      </c>
      <c r="B246" s="18" t="s">
        <v>60</v>
      </c>
      <c r="C246" s="18"/>
      <c r="D246" s="18"/>
      <c r="E246" s="18"/>
      <c r="F246" s="18"/>
      <c r="G246" s="18"/>
      <c r="H246" s="18"/>
      <c r="I246" s="48">
        <f>VLOOKUP(B246,'单价表-木门'!$B:$F,5,FALSE)</f>
        <v>34</v>
      </c>
      <c r="J246" s="53"/>
    </row>
    <row r="247" customHeight="1" outlineLevel="1" spans="1:10">
      <c r="A247" s="15">
        <v>6</v>
      </c>
      <c r="B247" s="23" t="s">
        <v>88</v>
      </c>
      <c r="C247" s="26"/>
      <c r="D247" s="26"/>
      <c r="E247" s="26"/>
      <c r="F247" s="26"/>
      <c r="G247" s="24"/>
      <c r="H247" s="27"/>
      <c r="I247" s="46">
        <f>I237+I240+I244+I245+I246</f>
        <v>3977.7</v>
      </c>
      <c r="J247" s="54"/>
    </row>
    <row r="248" customHeight="1" outlineLevel="1" spans="1:10">
      <c r="A248" s="15">
        <v>7</v>
      </c>
      <c r="B248" s="23" t="s">
        <v>61</v>
      </c>
      <c r="C248" s="26"/>
      <c r="D248" s="26"/>
      <c r="E248" s="26"/>
      <c r="F248" s="26"/>
      <c r="G248" s="24"/>
      <c r="H248" s="28">
        <v>0.03</v>
      </c>
      <c r="I248" s="48">
        <f>I247*H248</f>
        <v>119.331</v>
      </c>
      <c r="J248" s="53"/>
    </row>
    <row r="249" customHeight="1" outlineLevel="1" spans="1:10">
      <c r="A249" s="15">
        <v>8</v>
      </c>
      <c r="B249" s="23" t="s">
        <v>63</v>
      </c>
      <c r="C249" s="26"/>
      <c r="D249" s="26"/>
      <c r="E249" s="26"/>
      <c r="F249" s="26"/>
      <c r="G249" s="24"/>
      <c r="H249" s="28">
        <v>0.13</v>
      </c>
      <c r="I249" s="48">
        <f>+(I247+I248)*H249</f>
        <v>532.61403</v>
      </c>
      <c r="J249" s="53"/>
    </row>
    <row r="250" customHeight="1" spans="1:10">
      <c r="A250" s="15">
        <v>9</v>
      </c>
      <c r="B250" s="29" t="s">
        <v>76</v>
      </c>
      <c r="C250" s="30"/>
      <c r="D250" s="30"/>
      <c r="E250" s="30"/>
      <c r="F250" s="30"/>
      <c r="G250" s="31"/>
      <c r="H250" s="32"/>
      <c r="I250" s="55">
        <f>+I249+I248+I247</f>
        <v>4629.64503</v>
      </c>
      <c r="J250" s="16"/>
    </row>
    <row r="251" customHeight="1" spans="1:10">
      <c r="A251" s="15">
        <v>10</v>
      </c>
      <c r="B251" s="33" t="s">
        <v>89</v>
      </c>
      <c r="C251" s="34"/>
      <c r="D251" s="34"/>
      <c r="E251" s="34"/>
      <c r="F251" s="34"/>
      <c r="G251" s="35"/>
      <c r="H251" s="36"/>
      <c r="I251" s="55">
        <f>+I250/I231</f>
        <v>1328.83037600459</v>
      </c>
      <c r="J251" s="57"/>
    </row>
    <row r="252" customHeight="1" spans="1:10">
      <c r="A252" s="7" t="s">
        <v>114</v>
      </c>
      <c r="B252" s="7"/>
      <c r="C252" s="7"/>
      <c r="D252" s="7"/>
      <c r="E252" s="7"/>
      <c r="F252" s="7"/>
      <c r="G252" s="7"/>
      <c r="H252" s="7"/>
      <c r="I252" s="38"/>
      <c r="J252" s="7"/>
    </row>
    <row r="253" customHeight="1" spans="1:12">
      <c r="A253" s="8" t="s">
        <v>66</v>
      </c>
      <c r="B253" s="8"/>
      <c r="C253" s="9"/>
      <c r="D253" s="10"/>
      <c r="E253" s="8" t="s">
        <v>68</v>
      </c>
      <c r="F253" s="8" t="s">
        <v>115</v>
      </c>
      <c r="G253" s="8"/>
      <c r="H253" s="8" t="s">
        <v>70</v>
      </c>
      <c r="I253" s="39">
        <f>'03、（方案1）综合单价分析表'!I253</f>
        <v>2.88</v>
      </c>
      <c r="J253" s="8"/>
      <c r="K253" s="40"/>
      <c r="L253" s="41"/>
    </row>
    <row r="254" customHeight="1" outlineLevel="1" spans="1:12">
      <c r="A254" s="11" t="s">
        <v>0</v>
      </c>
      <c r="B254" s="12" t="s">
        <v>71</v>
      </c>
      <c r="C254" s="13" t="s">
        <v>72</v>
      </c>
      <c r="D254" s="14"/>
      <c r="E254" s="12" t="s">
        <v>73</v>
      </c>
      <c r="F254" s="12" t="s">
        <v>74</v>
      </c>
      <c r="G254" s="12" t="s">
        <v>75</v>
      </c>
      <c r="H254" s="12" t="s">
        <v>4</v>
      </c>
      <c r="I254" s="42" t="s">
        <v>76</v>
      </c>
      <c r="J254" s="43" t="s">
        <v>3</v>
      </c>
      <c r="K254" s="44"/>
      <c r="L254" s="45"/>
    </row>
    <row r="255" customHeight="1" outlineLevel="1" spans="1:12">
      <c r="A255" s="15">
        <v>1</v>
      </c>
      <c r="B255" s="16" t="s">
        <v>77</v>
      </c>
      <c r="C255" s="16"/>
      <c r="D255" s="16"/>
      <c r="E255" s="16"/>
      <c r="F255" s="16"/>
      <c r="G255" s="16"/>
      <c r="H255" s="16"/>
      <c r="I255" s="46"/>
      <c r="J255" s="47"/>
      <c r="K255" s="44"/>
      <c r="L255" s="45"/>
    </row>
    <row r="256" customHeight="1" outlineLevel="1" spans="1:12">
      <c r="A256" s="17">
        <v>1.1</v>
      </c>
      <c r="B256" s="18" t="s">
        <v>43</v>
      </c>
      <c r="C256" s="19" t="s">
        <v>44</v>
      </c>
      <c r="D256" s="20"/>
      <c r="E256" s="21"/>
      <c r="F256" s="21" t="s">
        <v>7</v>
      </c>
      <c r="G256" s="21">
        <v>2.88</v>
      </c>
      <c r="H256" s="21">
        <f>VLOOKUP(C256,'单价表-木门'!$C:$F,4,FALSE)</f>
        <v>232</v>
      </c>
      <c r="I256" s="48">
        <f t="shared" ref="I256:I258" si="25">G256*H256</f>
        <v>668.16</v>
      </c>
      <c r="J256" s="49"/>
      <c r="K256" s="44"/>
      <c r="L256" s="45"/>
    </row>
    <row r="257" customHeight="1" outlineLevel="1" spans="1:12">
      <c r="A257" s="17">
        <v>2.1</v>
      </c>
      <c r="B257" s="22" t="s">
        <v>46</v>
      </c>
      <c r="C257" s="58" t="s">
        <v>47</v>
      </c>
      <c r="D257" s="59"/>
      <c r="E257" s="21"/>
      <c r="F257" s="21" t="s">
        <v>11</v>
      </c>
      <c r="G257" s="60">
        <f>G256</f>
        <v>2.88</v>
      </c>
      <c r="H257" s="21">
        <f>VLOOKUP(C257,'单价表-木门'!$C:$F,4,FALSE)</f>
        <v>290</v>
      </c>
      <c r="I257" s="48">
        <f t="shared" si="25"/>
        <v>835.2</v>
      </c>
      <c r="J257" s="50" t="s">
        <v>79</v>
      </c>
      <c r="K257" s="51"/>
      <c r="L257" s="52"/>
    </row>
    <row r="258" customHeight="1" outlineLevel="1" spans="1:11">
      <c r="A258" s="17">
        <v>3.1</v>
      </c>
      <c r="B258" s="18" t="s">
        <v>48</v>
      </c>
      <c r="C258" s="19" t="s">
        <v>49</v>
      </c>
      <c r="D258" s="20"/>
      <c r="E258" s="21"/>
      <c r="F258" s="21" t="s">
        <v>15</v>
      </c>
      <c r="G258" s="21">
        <v>2.2</v>
      </c>
      <c r="H258" s="21">
        <f>VLOOKUP(C258,'单价表-木门'!$C:$F,4,FALSE)</f>
        <v>33</v>
      </c>
      <c r="I258" s="48">
        <f t="shared" si="25"/>
        <v>72.6</v>
      </c>
      <c r="J258" s="49"/>
      <c r="K258" s="1" t="str">
        <f>_xlfn.DISPIMG("ID_C3BF7245F7C54807AF675470706F7F2E",1)</f>
        <v>=DISPIMG("ID_C3BF7245F7C54807AF675470706F7F2E",1)</v>
      </c>
    </row>
    <row r="259" customHeight="1" outlineLevel="1" spans="1:10">
      <c r="A259" s="15"/>
      <c r="B259" s="16" t="s">
        <v>82</v>
      </c>
      <c r="C259" s="16"/>
      <c r="D259" s="16"/>
      <c r="E259" s="16"/>
      <c r="F259" s="16"/>
      <c r="G259" s="16"/>
      <c r="H259" s="16"/>
      <c r="I259" s="46">
        <f>SUM(I256:I258)</f>
        <v>1575.96</v>
      </c>
      <c r="J259" s="53"/>
    </row>
    <row r="260" customHeight="1" outlineLevel="1" spans="1:10">
      <c r="A260" s="15">
        <v>2</v>
      </c>
      <c r="B260" s="16" t="s">
        <v>83</v>
      </c>
      <c r="C260" s="16"/>
      <c r="D260" s="16"/>
      <c r="E260" s="16"/>
      <c r="F260" s="16"/>
      <c r="G260" s="16"/>
      <c r="H260" s="16"/>
      <c r="I260" s="46"/>
      <c r="J260" s="54"/>
    </row>
    <row r="261" customHeight="1" outlineLevel="1" spans="1:10">
      <c r="A261" s="17">
        <v>2.1</v>
      </c>
      <c r="B261" s="18" t="s">
        <v>104</v>
      </c>
      <c r="C261" s="19" t="s">
        <v>51</v>
      </c>
      <c r="D261" s="20"/>
      <c r="E261" s="21"/>
      <c r="F261" s="21" t="s">
        <v>24</v>
      </c>
      <c r="G261" s="21">
        <v>1</v>
      </c>
      <c r="H261" s="21">
        <f>VLOOKUP(C261,'单价表-木门'!$C:$F,4,FALSE)</f>
        <v>82</v>
      </c>
      <c r="I261" s="48">
        <f t="shared" ref="I261:I265" si="26">G261*H261</f>
        <v>82</v>
      </c>
      <c r="J261" s="53"/>
    </row>
    <row r="262" customHeight="1" outlineLevel="1" spans="1:10">
      <c r="A262" s="15"/>
      <c r="B262" s="16" t="s">
        <v>84</v>
      </c>
      <c r="C262" s="16"/>
      <c r="D262" s="16"/>
      <c r="E262" s="16"/>
      <c r="F262" s="16"/>
      <c r="G262" s="16"/>
      <c r="H262" s="16"/>
      <c r="I262" s="46">
        <f>SUM(I261:I261)</f>
        <v>82</v>
      </c>
      <c r="J262" s="53"/>
    </row>
    <row r="263" customHeight="1" outlineLevel="1" spans="1:10">
      <c r="A263" s="25">
        <v>3</v>
      </c>
      <c r="B263" s="16" t="s">
        <v>85</v>
      </c>
      <c r="C263" s="16"/>
      <c r="D263" s="16"/>
      <c r="E263" s="16"/>
      <c r="F263" s="16"/>
      <c r="G263" s="16"/>
      <c r="H263" s="16"/>
      <c r="I263" s="46"/>
      <c r="J263" s="54"/>
    </row>
    <row r="264" customHeight="1" outlineLevel="1" spans="1:10">
      <c r="A264" s="21">
        <v>3.1</v>
      </c>
      <c r="B264" s="61" t="s">
        <v>55</v>
      </c>
      <c r="C264" s="58" t="s">
        <v>56</v>
      </c>
      <c r="D264" s="59"/>
      <c r="E264" s="18"/>
      <c r="F264" s="21" t="s">
        <v>11</v>
      </c>
      <c r="G264" s="21">
        <v>2.27</v>
      </c>
      <c r="H264" s="21">
        <f>VLOOKUP(C264,'单价表-木门'!$C:$F,4,FALSE)</f>
        <v>270</v>
      </c>
      <c r="I264" s="48">
        <f t="shared" si="26"/>
        <v>612.9</v>
      </c>
      <c r="J264" s="53"/>
    </row>
    <row r="265" customHeight="1" outlineLevel="1" spans="1:10">
      <c r="A265" s="21">
        <v>3.2</v>
      </c>
      <c r="B265" s="18" t="s">
        <v>30</v>
      </c>
      <c r="C265" s="19" t="s">
        <v>38</v>
      </c>
      <c r="D265" s="20"/>
      <c r="E265" s="21"/>
      <c r="F265" s="21" t="s">
        <v>24</v>
      </c>
      <c r="G265" s="21">
        <v>1</v>
      </c>
      <c r="H265" s="21">
        <f>VLOOKUP(C265,'单价表-木门'!$C:$F,4,FALSE)</f>
        <v>14.5</v>
      </c>
      <c r="I265" s="48">
        <f t="shared" si="26"/>
        <v>14.5</v>
      </c>
      <c r="J265" s="53"/>
    </row>
    <row r="266" customHeight="1" outlineLevel="1" spans="1:10">
      <c r="A266" s="15"/>
      <c r="B266" s="16" t="s">
        <v>86</v>
      </c>
      <c r="C266" s="16"/>
      <c r="D266" s="16"/>
      <c r="E266" s="16"/>
      <c r="F266" s="16"/>
      <c r="G266" s="16"/>
      <c r="H266" s="16"/>
      <c r="I266" s="46">
        <f>SUM(I264:I265)</f>
        <v>627.4</v>
      </c>
      <c r="J266" s="53"/>
    </row>
    <row r="267" customHeight="1" outlineLevel="1" spans="1:10">
      <c r="A267" s="15">
        <v>4</v>
      </c>
      <c r="B267" s="18" t="s">
        <v>58</v>
      </c>
      <c r="C267" s="18"/>
      <c r="D267" s="18"/>
      <c r="E267" s="18"/>
      <c r="F267" s="18"/>
      <c r="G267" s="18"/>
      <c r="H267" s="18"/>
      <c r="I267" s="48">
        <f>VLOOKUP(B267,'单价表-木门'!$B:$F,5,FALSE)</f>
        <v>570</v>
      </c>
      <c r="J267" s="53"/>
    </row>
    <row r="268" customHeight="1" outlineLevel="1" spans="1:10">
      <c r="A268" s="15">
        <v>5</v>
      </c>
      <c r="B268" s="18" t="s">
        <v>60</v>
      </c>
      <c r="C268" s="18"/>
      <c r="D268" s="18"/>
      <c r="E268" s="18"/>
      <c r="F268" s="18"/>
      <c r="G268" s="18"/>
      <c r="H268" s="18"/>
      <c r="I268" s="48">
        <f>VLOOKUP(B268,'单价表-木门'!$B:$F,5,FALSE)</f>
        <v>34</v>
      </c>
      <c r="J268" s="53"/>
    </row>
    <row r="269" customHeight="1" outlineLevel="1" spans="1:10">
      <c r="A269" s="15">
        <v>6</v>
      </c>
      <c r="B269" s="23" t="s">
        <v>88</v>
      </c>
      <c r="C269" s="26"/>
      <c r="D269" s="26"/>
      <c r="E269" s="26"/>
      <c r="F269" s="26"/>
      <c r="G269" s="24"/>
      <c r="H269" s="27"/>
      <c r="I269" s="46">
        <f>I259+I262+I266+I267+I268</f>
        <v>2889.36</v>
      </c>
      <c r="J269" s="54"/>
    </row>
    <row r="270" customHeight="1" outlineLevel="1" spans="1:10">
      <c r="A270" s="15">
        <v>7</v>
      </c>
      <c r="B270" s="23" t="s">
        <v>61</v>
      </c>
      <c r="C270" s="26"/>
      <c r="D270" s="26"/>
      <c r="E270" s="26"/>
      <c r="F270" s="26"/>
      <c r="G270" s="24"/>
      <c r="H270" s="28">
        <v>0.03</v>
      </c>
      <c r="I270" s="48">
        <f>I269*H270</f>
        <v>86.6808</v>
      </c>
      <c r="J270" s="53"/>
    </row>
    <row r="271" customHeight="1" outlineLevel="1" spans="1:10">
      <c r="A271" s="15">
        <v>8</v>
      </c>
      <c r="B271" s="23" t="s">
        <v>63</v>
      </c>
      <c r="C271" s="26"/>
      <c r="D271" s="26"/>
      <c r="E271" s="26"/>
      <c r="F271" s="26"/>
      <c r="G271" s="24"/>
      <c r="H271" s="28">
        <v>0.13</v>
      </c>
      <c r="I271" s="48">
        <f>+(I269+I270)*H271</f>
        <v>386.885304</v>
      </c>
      <c r="J271" s="53"/>
    </row>
    <row r="272" customHeight="1" spans="1:10">
      <c r="A272" s="15">
        <v>9</v>
      </c>
      <c r="B272" s="29" t="s">
        <v>76</v>
      </c>
      <c r="C272" s="30"/>
      <c r="D272" s="30"/>
      <c r="E272" s="30"/>
      <c r="F272" s="30"/>
      <c r="G272" s="31"/>
      <c r="H272" s="32"/>
      <c r="I272" s="55">
        <f>+I271+I270+I269</f>
        <v>3362.926104</v>
      </c>
      <c r="J272" s="16"/>
    </row>
    <row r="273" customHeight="1" spans="1:10">
      <c r="A273" s="15">
        <v>10</v>
      </c>
      <c r="B273" s="33" t="s">
        <v>89</v>
      </c>
      <c r="C273" s="34"/>
      <c r="D273" s="34"/>
      <c r="E273" s="34"/>
      <c r="F273" s="34"/>
      <c r="G273" s="35"/>
      <c r="H273" s="36"/>
      <c r="I273" s="55">
        <f>+I272/I253</f>
        <v>1167.682675</v>
      </c>
      <c r="J273" s="5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XFC273" etc:filterBottomFollowUsedRange="0">
    <extLst/>
  </autoFilter>
  <mergeCells count="317">
    <mergeCell ref="A1:J1"/>
    <mergeCell ref="A2:J2"/>
    <mergeCell ref="A3:B3"/>
    <mergeCell ref="C3:D3"/>
    <mergeCell ref="F3:G3"/>
    <mergeCell ref="I3:J3"/>
    <mergeCell ref="C4:D4"/>
    <mergeCell ref="B5:J5"/>
    <mergeCell ref="C6:D6"/>
    <mergeCell ref="C7:D7"/>
    <mergeCell ref="C8:D8"/>
    <mergeCell ref="C9:D9"/>
    <mergeCell ref="C10:D10"/>
    <mergeCell ref="B11:H11"/>
    <mergeCell ref="B12:J12"/>
    <mergeCell ref="C13:D13"/>
    <mergeCell ref="C14:D14"/>
    <mergeCell ref="C15:D15"/>
    <mergeCell ref="C16:D16"/>
    <mergeCell ref="B17:H17"/>
    <mergeCell ref="B18:J18"/>
    <mergeCell ref="C19:D19"/>
    <mergeCell ref="C20:D20"/>
    <mergeCell ref="C21:D21"/>
    <mergeCell ref="B22:H22"/>
    <mergeCell ref="B23:H23"/>
    <mergeCell ref="B24:H24"/>
    <mergeCell ref="B25:G25"/>
    <mergeCell ref="B26:G26"/>
    <mergeCell ref="B27:G27"/>
    <mergeCell ref="B28:G28"/>
    <mergeCell ref="B29:G29"/>
    <mergeCell ref="A30:J30"/>
    <mergeCell ref="A31:B31"/>
    <mergeCell ref="C31:D31"/>
    <mergeCell ref="F31:G31"/>
    <mergeCell ref="I31:J31"/>
    <mergeCell ref="C32:D32"/>
    <mergeCell ref="B33:J33"/>
    <mergeCell ref="C34:D34"/>
    <mergeCell ref="C35:D35"/>
    <mergeCell ref="C36:D36"/>
    <mergeCell ref="C37:D37"/>
    <mergeCell ref="C38:D38"/>
    <mergeCell ref="B39:H39"/>
    <mergeCell ref="B40:J40"/>
    <mergeCell ref="C41:D41"/>
    <mergeCell ref="C42:D42"/>
    <mergeCell ref="C43:D43"/>
    <mergeCell ref="C44:D44"/>
    <mergeCell ref="B45:H45"/>
    <mergeCell ref="B46:J46"/>
    <mergeCell ref="C47:D47"/>
    <mergeCell ref="C48:D48"/>
    <mergeCell ref="C49:D49"/>
    <mergeCell ref="B50:H50"/>
    <mergeCell ref="B51:H51"/>
    <mergeCell ref="B52:H52"/>
    <mergeCell ref="B53:G53"/>
    <mergeCell ref="B54:G54"/>
    <mergeCell ref="B55:G55"/>
    <mergeCell ref="B56:G56"/>
    <mergeCell ref="B57:G57"/>
    <mergeCell ref="A58:J58"/>
    <mergeCell ref="A59:B59"/>
    <mergeCell ref="C59:D59"/>
    <mergeCell ref="F59:G59"/>
    <mergeCell ref="I59:J59"/>
    <mergeCell ref="C60:D60"/>
    <mergeCell ref="B61:J61"/>
    <mergeCell ref="C62:D62"/>
    <mergeCell ref="C63:D63"/>
    <mergeCell ref="C64:D64"/>
    <mergeCell ref="C65:D65"/>
    <mergeCell ref="C66:D66"/>
    <mergeCell ref="B67:H67"/>
    <mergeCell ref="B68:J68"/>
    <mergeCell ref="C69:D69"/>
    <mergeCell ref="C70:D70"/>
    <mergeCell ref="C71:D71"/>
    <mergeCell ref="C72:D72"/>
    <mergeCell ref="B73:H73"/>
    <mergeCell ref="B74:J74"/>
    <mergeCell ref="C75:D75"/>
    <mergeCell ref="C76:D76"/>
    <mergeCell ref="C77:D77"/>
    <mergeCell ref="B78:H78"/>
    <mergeCell ref="B79:H79"/>
    <mergeCell ref="B80:H80"/>
    <mergeCell ref="B81:G81"/>
    <mergeCell ref="B82:G82"/>
    <mergeCell ref="B83:G83"/>
    <mergeCell ref="B84:G84"/>
    <mergeCell ref="B85:G85"/>
    <mergeCell ref="A86:J86"/>
    <mergeCell ref="A87:B87"/>
    <mergeCell ref="C87:D87"/>
    <mergeCell ref="F87:G87"/>
    <mergeCell ref="I87:J87"/>
    <mergeCell ref="C88:D88"/>
    <mergeCell ref="B89:J89"/>
    <mergeCell ref="C90:D90"/>
    <mergeCell ref="C91:D91"/>
    <mergeCell ref="C92:D92"/>
    <mergeCell ref="C93:D93"/>
    <mergeCell ref="C94:D94"/>
    <mergeCell ref="B95:H95"/>
    <mergeCell ref="B96:J96"/>
    <mergeCell ref="C97:D97"/>
    <mergeCell ref="C98:D98"/>
    <mergeCell ref="C99:D99"/>
    <mergeCell ref="C100:D100"/>
    <mergeCell ref="B101:H101"/>
    <mergeCell ref="B102:J102"/>
    <mergeCell ref="C103:D103"/>
    <mergeCell ref="C104:D104"/>
    <mergeCell ref="C105:D105"/>
    <mergeCell ref="B106:H106"/>
    <mergeCell ref="B107:H107"/>
    <mergeCell ref="B108:H108"/>
    <mergeCell ref="B109:G109"/>
    <mergeCell ref="B110:G110"/>
    <mergeCell ref="B111:G111"/>
    <mergeCell ref="B112:G112"/>
    <mergeCell ref="B113:G113"/>
    <mergeCell ref="A114:J114"/>
    <mergeCell ref="A115:B115"/>
    <mergeCell ref="C115:D115"/>
    <mergeCell ref="F115:G115"/>
    <mergeCell ref="I115:J115"/>
    <mergeCell ref="C116:D116"/>
    <mergeCell ref="B117:J117"/>
    <mergeCell ref="C118:D118"/>
    <mergeCell ref="C119:D119"/>
    <mergeCell ref="C120:D120"/>
    <mergeCell ref="C121:D121"/>
    <mergeCell ref="C122:D122"/>
    <mergeCell ref="B123:H123"/>
    <mergeCell ref="B124:J124"/>
    <mergeCell ref="C125:D125"/>
    <mergeCell ref="C126:D126"/>
    <mergeCell ref="C127:D127"/>
    <mergeCell ref="C128:D128"/>
    <mergeCell ref="B129:H129"/>
    <mergeCell ref="B130:J130"/>
    <mergeCell ref="C131:D131"/>
    <mergeCell ref="C132:D132"/>
    <mergeCell ref="C133:D133"/>
    <mergeCell ref="B134:H134"/>
    <mergeCell ref="B135:H135"/>
    <mergeCell ref="B136:H136"/>
    <mergeCell ref="B137:G137"/>
    <mergeCell ref="B138:G138"/>
    <mergeCell ref="B139:G139"/>
    <mergeCell ref="B140:G140"/>
    <mergeCell ref="B141:G141"/>
    <mergeCell ref="A142:J142"/>
    <mergeCell ref="A143:B143"/>
    <mergeCell ref="C143:D143"/>
    <mergeCell ref="F143:G143"/>
    <mergeCell ref="I143:J143"/>
    <mergeCell ref="C144:D144"/>
    <mergeCell ref="B145:J145"/>
    <mergeCell ref="C146:D146"/>
    <mergeCell ref="C147:D147"/>
    <mergeCell ref="C148:D148"/>
    <mergeCell ref="B149:H149"/>
    <mergeCell ref="B150:J150"/>
    <mergeCell ref="C151:D151"/>
    <mergeCell ref="B152:H152"/>
    <mergeCell ref="B153:J153"/>
    <mergeCell ref="C154:D154"/>
    <mergeCell ref="C155:D155"/>
    <mergeCell ref="B156:H156"/>
    <mergeCell ref="B157:H157"/>
    <mergeCell ref="B158:H158"/>
    <mergeCell ref="B159:G159"/>
    <mergeCell ref="B160:G160"/>
    <mergeCell ref="B161:G161"/>
    <mergeCell ref="B162:G162"/>
    <mergeCell ref="B163:G163"/>
    <mergeCell ref="A164:J164"/>
    <mergeCell ref="A165:B165"/>
    <mergeCell ref="C165:D165"/>
    <mergeCell ref="F165:G165"/>
    <mergeCell ref="I165:J165"/>
    <mergeCell ref="C166:D166"/>
    <mergeCell ref="B167:J167"/>
    <mergeCell ref="C168:D168"/>
    <mergeCell ref="C169:D169"/>
    <mergeCell ref="C170:D170"/>
    <mergeCell ref="B171:H171"/>
    <mergeCell ref="B172:J172"/>
    <mergeCell ref="C173:D173"/>
    <mergeCell ref="B174:H174"/>
    <mergeCell ref="B175:J175"/>
    <mergeCell ref="C176:D176"/>
    <mergeCell ref="C177:D177"/>
    <mergeCell ref="B178:H178"/>
    <mergeCell ref="B179:H179"/>
    <mergeCell ref="B180:H180"/>
    <mergeCell ref="B181:G181"/>
    <mergeCell ref="B182:G182"/>
    <mergeCell ref="B183:G183"/>
    <mergeCell ref="B184:G184"/>
    <mergeCell ref="B185:G185"/>
    <mergeCell ref="A186:J186"/>
    <mergeCell ref="A187:B187"/>
    <mergeCell ref="C187:D187"/>
    <mergeCell ref="F187:G187"/>
    <mergeCell ref="I187:J187"/>
    <mergeCell ref="C188:D188"/>
    <mergeCell ref="B189:J189"/>
    <mergeCell ref="C190:D190"/>
    <mergeCell ref="C191:D191"/>
    <mergeCell ref="C192:D192"/>
    <mergeCell ref="B193:H193"/>
    <mergeCell ref="B194:J194"/>
    <mergeCell ref="C195:D195"/>
    <mergeCell ref="B196:H196"/>
    <mergeCell ref="B197:J197"/>
    <mergeCell ref="C198:D198"/>
    <mergeCell ref="C199:D199"/>
    <mergeCell ref="B200:H200"/>
    <mergeCell ref="B201:H201"/>
    <mergeCell ref="B202:H202"/>
    <mergeCell ref="B203:G203"/>
    <mergeCell ref="B204:G204"/>
    <mergeCell ref="B205:G205"/>
    <mergeCell ref="B206:G206"/>
    <mergeCell ref="B207:G207"/>
    <mergeCell ref="A208:J208"/>
    <mergeCell ref="A209:B209"/>
    <mergeCell ref="C209:D209"/>
    <mergeCell ref="F209:G209"/>
    <mergeCell ref="I209:J209"/>
    <mergeCell ref="C210:D210"/>
    <mergeCell ref="B211:J211"/>
    <mergeCell ref="C212:D212"/>
    <mergeCell ref="C213:D213"/>
    <mergeCell ref="C214:D214"/>
    <mergeCell ref="B215:H215"/>
    <mergeCell ref="B216:J216"/>
    <mergeCell ref="C217:D217"/>
    <mergeCell ref="B218:H218"/>
    <mergeCell ref="B219:J219"/>
    <mergeCell ref="C220:D220"/>
    <mergeCell ref="C221:D221"/>
    <mergeCell ref="B222:H222"/>
    <mergeCell ref="B223:H223"/>
    <mergeCell ref="B224:H224"/>
    <mergeCell ref="B225:G225"/>
    <mergeCell ref="B226:G226"/>
    <mergeCell ref="B227:G227"/>
    <mergeCell ref="B228:G228"/>
    <mergeCell ref="B229:G229"/>
    <mergeCell ref="A230:J230"/>
    <mergeCell ref="A231:B231"/>
    <mergeCell ref="C231:D231"/>
    <mergeCell ref="F231:G231"/>
    <mergeCell ref="I231:J231"/>
    <mergeCell ref="C232:D232"/>
    <mergeCell ref="B233:J233"/>
    <mergeCell ref="C234:D234"/>
    <mergeCell ref="C235:D235"/>
    <mergeCell ref="C236:D236"/>
    <mergeCell ref="B237:H237"/>
    <mergeCell ref="B238:J238"/>
    <mergeCell ref="C239:D239"/>
    <mergeCell ref="B240:H240"/>
    <mergeCell ref="B241:J241"/>
    <mergeCell ref="C242:D242"/>
    <mergeCell ref="C243:D243"/>
    <mergeCell ref="B244:H244"/>
    <mergeCell ref="B245:H245"/>
    <mergeCell ref="B246:H246"/>
    <mergeCell ref="B247:G247"/>
    <mergeCell ref="B248:G248"/>
    <mergeCell ref="B249:G249"/>
    <mergeCell ref="B250:G250"/>
    <mergeCell ref="B251:G251"/>
    <mergeCell ref="A252:J252"/>
    <mergeCell ref="A253:B253"/>
    <mergeCell ref="C253:D253"/>
    <mergeCell ref="F253:G253"/>
    <mergeCell ref="I253:J253"/>
    <mergeCell ref="C254:D254"/>
    <mergeCell ref="B255:J255"/>
    <mergeCell ref="C256:D256"/>
    <mergeCell ref="C257:D257"/>
    <mergeCell ref="C258:D258"/>
    <mergeCell ref="B259:H259"/>
    <mergeCell ref="B260:J260"/>
    <mergeCell ref="C261:D261"/>
    <mergeCell ref="B262:H262"/>
    <mergeCell ref="B263:J263"/>
    <mergeCell ref="C264:D264"/>
    <mergeCell ref="C265:D265"/>
    <mergeCell ref="B266:H266"/>
    <mergeCell ref="B267:H267"/>
    <mergeCell ref="B268:H268"/>
    <mergeCell ref="B269:G269"/>
    <mergeCell ref="B270:G270"/>
    <mergeCell ref="B271:G271"/>
    <mergeCell ref="B272:G272"/>
    <mergeCell ref="B273:G273"/>
    <mergeCell ref="K3:L8"/>
    <mergeCell ref="K31:L35"/>
    <mergeCell ref="K59:L63"/>
    <mergeCell ref="K87:L91"/>
    <mergeCell ref="K115:L119"/>
    <mergeCell ref="K143:L147"/>
    <mergeCell ref="K165:L169"/>
    <mergeCell ref="K187:L191"/>
    <mergeCell ref="K209:L213"/>
    <mergeCell ref="K231:L235"/>
    <mergeCell ref="K253:L257"/>
  </mergeCells>
  <pageMargins left="0.25" right="0.25" top="0.75" bottom="0.75" header="0.298611111111111" footer="0.298611111111111"/>
  <pageSetup paperSize="9" scale="8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8 " / > < p i x e l a t o r L i s t   s h e e t S t i d = " 3 " / > < p i x e l a t o r L i s t   s h e e t S t i d = " 1 " / > < p i x e l a t o r L i s t   s h e e t S t i d = " 5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2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WWO_wpscloud_20241121174544-e990c85573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单价表-木门</vt:lpstr>
      <vt:lpstr>03、（方案1）综合单价分析表</vt:lpstr>
      <vt:lpstr>01、（方案2）《价格汇总表》</vt:lpstr>
      <vt:lpstr>02（方案2）、《价格清单-门》</vt:lpstr>
      <vt:lpstr>03、（方案2）综合单价分析表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AA</cp:lastModifiedBy>
  <dcterms:created xsi:type="dcterms:W3CDTF">2024-08-29T10:00:00Z</dcterms:created>
  <dcterms:modified xsi:type="dcterms:W3CDTF">2024-12-31T06:15:14Z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4491F7F2D4DB4B2FA198948280CA1536_13</vt:lpwstr>
  </property>
  <property fmtid="{D5CDD505-2E9C-101B-9397-08002B2CF9AE}" pid="3" name="KSOProductBuildVer">
    <vt:lpwstr>2052-12.1.0.19770</vt:lpwstr>
  </property>
</Properties>
</file>