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、结算汇总表" sheetId="3" r:id="rId2"/>
    <sheet name="4、各月结算汇总" sheetId="10" r:id="rId3"/>
    <sheet name="07单子计算明细" sheetId="7" state="hidden" r:id="rId4"/>
    <sheet name="09单子明细" sheetId="8" state="hidden" r:id="rId5"/>
    <sheet name="计算明细" sheetId="6" state="hidden" r:id="rId6"/>
    <sheet name="Sheet1" sheetId="9" state="hidden" r:id="rId7"/>
  </sheets>
  <definedNames>
    <definedName name="_xlnm.Print_Area" localSheetId="0">'2资料存档目录'!$A$1:$F$17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<sst xmlns="http://schemas.openxmlformats.org/spreadsheetml/2006/main" count="264" uniqueCount="167">
  <si>
    <t>栾川山水文苑s1地块室内空气环境检测合同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</si>
  <si>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</si>
  <si>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</si>
  <si>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</si>
  <si>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</si>
  <si>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</si>
  <si>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</si>
  <si>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栾川山水文苑s1地块室内空气环境检测合同结算审批表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</si>
  <si>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</si>
  <si>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</si>
  <si>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</si>
  <si>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</si>
  <si>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</si>
  <si>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</si>
  <si>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</si>
  <si>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</si>
  <si>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</si>
  <si>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</si>
  <si>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</si>
  <si>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</si>
  <si>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</si>
  <si>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</si>
  <si>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</si>
  <si>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</si>
  <si>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</si>
  <si>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结算资料核对确认单</t>
  </si>
  <si>
    <t>1份2页</t>
  </si>
  <si>
    <t>第9页</t>
  </si>
  <si>
    <t>工程往来账目明细</t>
  </si>
  <si>
    <t>第10页</t>
  </si>
  <si>
    <t>验收单</t>
  </si>
  <si>
    <t>第11页</t>
  </si>
  <si>
    <t>工程结算工作交接单</t>
  </si>
  <si>
    <t>第12页</t>
  </si>
  <si>
    <t>合同</t>
  </si>
  <si>
    <t>份</t>
  </si>
  <si>
    <t>1份</t>
  </si>
  <si>
    <t>复印件</t>
  </si>
  <si>
    <t>造价师：</t>
  </si>
  <si>
    <t>日期：</t>
  </si>
  <si>
    <t>栾川山水文苑s1地块室内空气环境检测合同结算汇总表</t>
  </si>
  <si>
    <t xml:space="preserve">合同编号：LCS1-JA-072                           合同金额：37823.38元 </t>
  </si>
  <si>
    <t>合同名称：栾川山水文苑s1地块室内空气环境检测合同</t>
  </si>
  <si>
    <t>甲    方：栾川县浩德颐康文旅有限公司</t>
  </si>
  <si>
    <t>乙    方：栾川县建工材料质量检测有限公司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</si>
  <si>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</si>
  <si>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</si>
  <si>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</si>
  <si>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</si>
  <si>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</si>
  <si>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</si>
  <si>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</si>
  <si>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</si>
  <si>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</si>
  <si>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</si>
  <si>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</si>
  <si>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</si>
  <si>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</si>
  <si>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</si>
  <si>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</si>
  <si>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</si>
  <si>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</si>
  <si>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</si>
  <si>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</si>
  <si>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</si>
  <si>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</si>
  <si>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</si>
  <si>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</si>
  <si>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</si>
  <si>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</si>
  <si>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</si>
  <si>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</si>
  <si>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</si>
  <si>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</si>
  <si>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</si>
  <si>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</si>
  <si>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</si>
  <si>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</si>
  <si>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</si>
  <si>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栾川山水文苑s1地块室内空气环境检测合同结算明细表</t>
  </si>
  <si>
    <t>单位</t>
  </si>
  <si>
    <t>面积（m2）</t>
  </si>
  <si>
    <t>单价（元/m2）</t>
  </si>
  <si>
    <t>合同总价</t>
  </si>
  <si>
    <t>1#地上面积</t>
  </si>
  <si>
    <t>m2</t>
  </si>
  <si>
    <t>2#地上面积</t>
  </si>
  <si>
    <t>3#地上面积</t>
  </si>
  <si>
    <t>5#地上面积</t>
  </si>
  <si>
    <t>6#地上面积</t>
  </si>
  <si>
    <t>7#地上面积</t>
  </si>
  <si>
    <t>8#地上面积</t>
  </si>
  <si>
    <t>9#地上面积</t>
  </si>
  <si>
    <t>10#地上面积</t>
  </si>
  <si>
    <t>11#地上面积</t>
  </si>
  <si>
    <t>12#地上面积</t>
  </si>
  <si>
    <t>13#地上面积</t>
  </si>
  <si>
    <t>15#地上面积</t>
  </si>
  <si>
    <t>16#地上面积</t>
  </si>
  <si>
    <t>17#地上面积</t>
  </si>
  <si>
    <t>18#地上面积</t>
  </si>
  <si>
    <t>19#地上面积</t>
  </si>
  <si>
    <t>20#地上面积</t>
  </si>
  <si>
    <t>合计</t>
  </si>
  <si>
    <t>最终结算价</t>
  </si>
  <si>
    <t>甲方</t>
  </si>
  <si>
    <t>乙方</t>
  </si>
  <si>
    <t>派发单007-售楼部西侧化粪池及市政管网施工</t>
  </si>
  <si>
    <t>工程项目名称</t>
  </si>
  <si>
    <t>工程内容</t>
  </si>
  <si>
    <t>工程量
g</t>
  </si>
  <si>
    <t>其中：各子项构成（元）</t>
  </si>
  <si>
    <t>含税综合单价(元)
f=(a+b+c+d+e)</t>
  </si>
  <si>
    <t>合价(元)=g*f</t>
  </si>
  <si>
    <t>人工费
a</t>
  </si>
  <si>
    <t>主材费
b</t>
  </si>
  <si>
    <t>机械、辅材及其他c</t>
  </si>
  <si>
    <t>管理费及利润
d=(a+b+c)*费率</t>
  </si>
  <si>
    <t>税金
e=(a+b+c+d)*费率</t>
  </si>
  <si>
    <t>售楼部西侧化粪池及市政管网施工</t>
  </si>
  <si>
    <t>砼垫层（含管道包封）</t>
  </si>
  <si>
    <t>1.混凝土强度等级:100厚C15混凝土
2.混凝土拌合料要求：符合规范要求
3.模板安拆费用计入综合单价，支模方式综合考虑
4.其它说明：其它满足规范和设计图纸要求</t>
  </si>
  <si>
    <t>m3</t>
  </si>
  <si>
    <t>执行三方合同价</t>
  </si>
  <si>
    <t>直径500钢筋混凝土管</t>
  </si>
  <si>
    <t xml:space="preserve">1、安装部位:室外
2、介质:雨水
3、材质、规格：钢筋混凝土管 DN500
</t>
  </si>
  <si>
    <t>m</t>
  </si>
  <si>
    <t>双方协商</t>
  </si>
  <si>
    <t>砖砌井</t>
  </si>
  <si>
    <t>1、井口内径φ700，井深3.2米，井下部直径1.4米，上部直径0.7米，内粉</t>
  </si>
  <si>
    <t>座</t>
  </si>
  <si>
    <t>铸铁井盖</t>
  </si>
  <si>
    <t>1、φ700，带框（800*800）</t>
  </si>
  <si>
    <t>个</t>
  </si>
  <si>
    <t>玻璃钢化粪池</t>
  </si>
  <si>
    <t>1.名称:玻璃钢化粪池
2.型号、规格:HFRP(LWQ)-13(V=100m3)
3.详见图集12YS8，基础做法见图集14SS706第49页，含周边换填及土方</t>
  </si>
  <si>
    <t>拆除</t>
  </si>
  <si>
    <t xml:space="preserve">拆除20cm混凝土垫层
</t>
  </si>
  <si>
    <t>拆除5cm沥青，切缝15cm</t>
  </si>
  <si>
    <t>挖土方</t>
  </si>
  <si>
    <t>1、名称:土方的开挖
2、未详尽处满足图纸设计、相关规范要求</t>
  </si>
  <si>
    <t>参考南商业街补充协议，挖管沟价格</t>
  </si>
  <si>
    <t>土方回填</t>
  </si>
  <si>
    <t>因为交房，不惧回填条件，直接回填</t>
  </si>
  <si>
    <t>1、浇注砼路面</t>
  </si>
  <si>
    <t>C25砼路面厚250mm（商品混凝土价格）</t>
  </si>
  <si>
    <t>派发单009-售楼部北侧原临时管网更改接入正式管网</t>
  </si>
  <si>
    <t>排水管</t>
  </si>
  <si>
    <t>16、PVC管，DN100
含材料及安装人工，不含土方开挖、回填</t>
  </si>
  <si>
    <t>三方合同价</t>
  </si>
  <si>
    <t>17、PVC管，DN150
含材料及安装人工，不含土方开挖、回填</t>
  </si>
  <si>
    <t>1、PVC管，De50
含材料及安装人工，不含土方开挖、回填</t>
  </si>
  <si>
    <t>1、焊接钢管，DN80
含材料及安装人工，不含土方开挖、回填</t>
  </si>
  <si>
    <t>回填土</t>
  </si>
  <si>
    <t>1、名称:土方的回填
2、未详尽处满足图纸设计、相关规范要求</t>
  </si>
  <si>
    <t>派发单001草皮计算明细</t>
  </si>
  <si>
    <t>长</t>
  </si>
  <si>
    <t>宽</t>
  </si>
  <si>
    <t>3#楼前</t>
  </si>
  <si>
    <t>5#楼前</t>
  </si>
  <si>
    <t>5#楼前 边条</t>
  </si>
  <si>
    <t>变压器左侧</t>
  </si>
  <si>
    <t>梯形面积</t>
  </si>
  <si>
    <t>售楼部西侧草皮</t>
  </si>
  <si>
    <t>破坏面积</t>
  </si>
  <si>
    <t>三角</t>
  </si>
  <si>
    <t>梯形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</si>
</sst>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64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.5"/>
      <color indexed="8"/>
      <name val="宋体"/>
      <charset val="134"/>
    </font>
    <font>
      <sz val="9"/>
      <name val="Arial"/>
      <charset val="134"/>
    </font>
    <font>
      <sz val="10"/>
      <name val="Arial"/>
      <charset val="1"/>
    </font>
    <font>
      <sz val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Arial"/>
      <charset val="1"/>
    </font>
    <font>
      <b/>
      <sz val="8"/>
      <name val="宋体"/>
      <charset val="134"/>
    </font>
    <font>
      <sz val="8"/>
      <name val="Arial"/>
      <charset val="134"/>
    </font>
    <font>
      <b/>
      <sz val="9"/>
      <name val="宋体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" borderId="3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35" applyNumberFormat="0" applyAlignment="0" applyProtection="0">
      <alignment vertical="center"/>
    </xf>
    <xf numFmtId="0" fontId="37" fillId="4" borderId="36" applyNumberFormat="0" applyAlignment="0" applyProtection="0">
      <alignment vertical="center"/>
    </xf>
    <xf numFmtId="0" fontId="38" fillId="4" borderId="35" applyNumberFormat="0" applyAlignment="0" applyProtection="0">
      <alignment vertical="center"/>
    </xf>
    <xf numFmtId="0" fontId="39" fillId="5" borderId="37" applyNumberFormat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40" applyNumberFormat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51" fillId="34" borderId="41" applyNumberFormat="0" applyAlignment="0" applyProtection="0">
      <alignment vertical="center"/>
    </xf>
    <xf numFmtId="0" fontId="0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1" fillId="34" borderId="41" applyNumberFormat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34" borderId="40" applyNumberForma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3" fillId="44" borderId="42" applyNumberFormat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4" fillId="0" borderId="43" applyNumberFormat="0" applyFill="0" applyAlignment="0" applyProtection="0">
      <alignment vertical="center"/>
    </xf>
    <xf numFmtId="0" fontId="54" fillId="0" borderId="43" applyNumberFormat="0" applyFill="0" applyAlignment="0" applyProtection="0">
      <alignment vertical="center"/>
    </xf>
    <xf numFmtId="0" fontId="55" fillId="0" borderId="44" applyNumberFormat="0" applyFill="0" applyAlignment="0" applyProtection="0">
      <alignment vertical="center"/>
    </xf>
    <xf numFmtId="0" fontId="55" fillId="0" borderId="44" applyNumberFormat="0" applyFill="0" applyAlignment="0" applyProtection="0">
      <alignment vertical="center"/>
    </xf>
    <xf numFmtId="0" fontId="56" fillId="0" borderId="45" applyNumberFormat="0" applyFill="0" applyAlignment="0" applyProtection="0">
      <alignment vertical="center"/>
    </xf>
    <xf numFmtId="0" fontId="56" fillId="0" borderId="4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0" borderId="46" applyNumberFormat="0" applyFill="0" applyAlignment="0" applyProtection="0">
      <alignment vertical="center"/>
    </xf>
    <xf numFmtId="0" fontId="60" fillId="0" borderId="46" applyNumberFormat="0" applyFill="0" applyAlignment="0" applyProtection="0">
      <alignment vertical="center"/>
    </xf>
    <xf numFmtId="0" fontId="53" fillId="44" borderId="42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47" applyNumberFormat="0" applyFill="0" applyAlignment="0" applyProtection="0">
      <alignment vertical="center"/>
    </xf>
    <xf numFmtId="0" fontId="62" fillId="0" borderId="47" applyNumberFormat="0" applyFill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63" fillId="42" borderId="40" applyNumberFormat="0" applyAlignment="0" applyProtection="0">
      <alignment vertical="center"/>
    </xf>
    <xf numFmtId="0" fontId="63" fillId="42" borderId="40" applyNumberFormat="0" applyAlignment="0" applyProtection="0">
      <alignment vertical="center"/>
    </xf>
    <xf numFmtId="0" fontId="0" fillId="54" borderId="48" applyNumberFormat="0" applyFont="0" applyAlignment="0" applyProtection="0">
      <alignment vertical="center"/>
    </xf>
    <xf numFmtId="0" fontId="0" fillId="54" borderId="48" applyNumberFormat="0" applyFont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/>
      <protection locked="0"/>
    </xf>
    <xf numFmtId="176" fontId="6" fillId="0" borderId="7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/>
    <xf numFmtId="0" fontId="5" fillId="0" borderId="7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176" fontId="2" fillId="0" borderId="7" xfId="0" applyNumberFormat="1" applyFont="1" applyFill="1" applyBorder="1" applyAlignment="1" applyProtection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ont="1" applyFill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7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top" wrapText="1"/>
    </xf>
    <xf numFmtId="0" fontId="19" fillId="0" borderId="13" xfId="0" applyFont="1" applyBorder="1" applyAlignment="1">
      <alignment horizontal="justify" vertical="top" wrapText="1"/>
    </xf>
    <xf numFmtId="0" fontId="19" fillId="0" borderId="14" xfId="0" applyFont="1" applyBorder="1" applyAlignment="1">
      <alignment horizontal="justify" vertical="top" wrapText="1"/>
    </xf>
    <xf numFmtId="0" fontId="20" fillId="0" borderId="16" xfId="0" applyFont="1" applyBorder="1" applyAlignment="1">
      <alignment horizontal="justify" vertical="top" wrapText="1"/>
    </xf>
    <xf numFmtId="176" fontId="20" fillId="0" borderId="16" xfId="0" applyNumberFormat="1" applyFont="1" applyBorder="1" applyAlignment="1">
      <alignment horizontal="justify" vertical="top" wrapText="1"/>
    </xf>
    <xf numFmtId="0" fontId="20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top" wrapText="1"/>
    </xf>
    <xf numFmtId="0" fontId="20" fillId="0" borderId="14" xfId="0" applyFont="1" applyBorder="1" applyAlignment="1">
      <alignment horizontal="justify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justify" vertical="top" wrapText="1"/>
    </xf>
    <xf numFmtId="0" fontId="19" fillId="0" borderId="20" xfId="0" applyFont="1" applyBorder="1" applyAlignment="1">
      <alignment horizontal="justify" vertical="top" wrapText="1"/>
    </xf>
    <xf numFmtId="177" fontId="20" fillId="0" borderId="12" xfId="0" applyNumberFormat="1" applyFont="1" applyBorder="1" applyAlignment="1">
      <alignment horizontal="justify" vertical="top" wrapText="1"/>
    </xf>
    <xf numFmtId="177" fontId="20" fillId="0" borderId="13" xfId="0" applyNumberFormat="1" applyFont="1" applyBorder="1" applyAlignment="1">
      <alignment horizontal="justify" vertical="top" wrapText="1"/>
    </xf>
    <xf numFmtId="177" fontId="20" fillId="0" borderId="14" xfId="0" applyNumberFormat="1" applyFont="1" applyBorder="1" applyAlignment="1">
      <alignment horizontal="justify" vertical="top" wrapText="1"/>
    </xf>
    <xf numFmtId="0" fontId="19" fillId="0" borderId="21" xfId="0" applyFont="1" applyBorder="1" applyAlignment="1">
      <alignment horizontal="justify" vertical="top" wrapText="1"/>
    </xf>
    <xf numFmtId="0" fontId="19" fillId="0" borderId="16" xfId="0" applyFont="1" applyBorder="1" applyAlignment="1">
      <alignment horizontal="justify" vertical="top" wrapText="1"/>
    </xf>
    <xf numFmtId="0" fontId="20" fillId="0" borderId="16" xfId="0" applyFont="1" applyBorder="1" applyAlignment="1">
      <alignment horizontal="center" vertical="center" wrapText="1"/>
    </xf>
    <xf numFmtId="178" fontId="17" fillId="0" borderId="12" xfId="0" applyNumberFormat="1" applyFont="1" applyBorder="1" applyAlignment="1">
      <alignment horizontal="left" vertical="top" wrapText="1"/>
    </xf>
    <xf numFmtId="178" fontId="17" fillId="0" borderId="13" xfId="0" applyNumberFormat="1" applyFont="1" applyBorder="1" applyAlignment="1">
      <alignment horizontal="left" vertical="top" wrapText="1"/>
    </xf>
    <xf numFmtId="178" fontId="17" fillId="0" borderId="14" xfId="0" applyNumberFormat="1" applyFont="1" applyBorder="1" applyAlignment="1">
      <alignment horizontal="left" vertical="top" wrapText="1"/>
    </xf>
    <xf numFmtId="0" fontId="19" fillId="0" borderId="18" xfId="0" applyFont="1" applyBorder="1" applyAlignment="1">
      <alignment horizontal="justify" vertical="top" wrapText="1"/>
    </xf>
    <xf numFmtId="0" fontId="19" fillId="0" borderId="15" xfId="0" applyFont="1" applyBorder="1" applyAlignment="1">
      <alignment horizontal="justify" vertical="top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5" fillId="0" borderId="25" xfId="22" applyFont="1" applyFill="1" applyBorder="1" applyAlignment="1">
      <alignment horizontal="center" vertical="center" wrapText="1"/>
    </xf>
    <xf numFmtId="0" fontId="25" fillId="0" borderId="10" xfId="22" applyFont="1" applyFill="1" applyBorder="1" applyAlignment="1">
      <alignment vertical="center" wrapText="1"/>
    </xf>
    <xf numFmtId="0" fontId="25" fillId="0" borderId="10" xfId="22" applyFont="1" applyFill="1" applyBorder="1" applyAlignment="1">
      <alignment horizontal="center" vertical="center" wrapText="1"/>
    </xf>
    <xf numFmtId="0" fontId="25" fillId="0" borderId="26" xfId="22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5" fillId="0" borderId="10" xfId="22" applyFont="1" applyFill="1" applyBorder="1" applyAlignment="1">
      <alignment vertical="center" wrapText="1"/>
    </xf>
    <xf numFmtId="0" fontId="25" fillId="0" borderId="10" xfId="22" applyFont="1" applyFill="1" applyBorder="1" applyAlignment="1">
      <alignment horizontal="center" vertical="center" wrapText="1"/>
    </xf>
    <xf numFmtId="0" fontId="25" fillId="0" borderId="26" xfId="22" applyFont="1" applyFill="1" applyBorder="1" applyAlignment="1">
      <alignment vertical="center" wrapText="1"/>
    </xf>
    <xf numFmtId="0" fontId="0" fillId="0" borderId="2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0</xdr:row>
      <xdr:rowOff>12065</xdr:rowOff>
    </xdr:from>
    <xdr:to>
      <xdr:col>6</xdr:col>
      <xdr:colOff>287655</xdr:colOff>
      <xdr:row>24</xdr:row>
      <xdr:rowOff>115570</xdr:rowOff>
    </xdr:to>
    <xdr:pic>
      <xdr:nvPicPr>
        <xdr:cNvPr id="2" name="图片 1" descr="7a84096c8610778a9c1ea66324f940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" y="12065"/>
          <a:ext cx="3335655" cy="444690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25</xdr:row>
      <xdr:rowOff>153035</xdr:rowOff>
    </xdr:from>
    <xdr:to>
      <xdr:col>6</xdr:col>
      <xdr:colOff>365125</xdr:colOff>
      <xdr:row>46</xdr:row>
      <xdr:rowOff>120650</xdr:rowOff>
    </xdr:to>
    <xdr:pic>
      <xdr:nvPicPr>
        <xdr:cNvPr id="3" name="图片 2" descr="bb7fe07c87e5ff4e20449d66e1d48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175" y="4677410"/>
          <a:ext cx="3460750" cy="376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K13" sqref="K13"/>
    </sheetView>
  </sheetViews>
  <sheetFormatPr defaultColWidth="9" defaultRowHeight="14.25"/>
  <cols>
    <col min="1" max="1" width="6.375" style="106" customWidth="1"/>
    <col min="2" max="2" width="40.25" style="57" customWidth="1"/>
    <col min="3" max="3" width="8.875" style="106" customWidth="1"/>
    <col min="4" max="4" width="9.625" style="106" customWidth="1"/>
    <col min="5" max="5" width="11" style="57" customWidth="1"/>
    <col min="6" max="6" width="7.25" style="107" customWidth="1"/>
    <col min="7" max="7" width="8.5" style="57" customWidth="1"/>
    <col min="8" max="10" width="9" style="57"/>
    <col min="11" max="11" width="46.125" style="57" customWidth="1"/>
    <col min="12" max="12" width="9" style="57"/>
  </cols>
  <sheetData>
    <row r="1" ht="68" customHeight="1" spans="1:9">
      <c r="A1" s="108" t="s">
        <v>0</v>
      </c>
      <c r="B1" s="108"/>
      <c r="C1" s="108"/>
      <c r="D1" s="108"/>
      <c r="E1" s="108"/>
      <c r="F1" s="108"/>
      <c r="G1" s="109"/>
      <c r="H1" s="109"/>
      <c r="I1" s="109"/>
    </row>
    <row r="2" ht="30.75" customHeight="1" spans="1:6">
      <c r="A2" s="110" t="s">
        <v>1</v>
      </c>
      <c r="B2" s="111" t="s">
        <v>2</v>
      </c>
      <c r="C2" s="111" t="s">
        <v>3</v>
      </c>
      <c r="D2" s="111" t="s">
        <v>4</v>
      </c>
      <c r="E2" s="111" t="s">
        <v>5</v>
      </c>
      <c r="F2" s="112" t="s">
        <v>6</v>
      </c>
    </row>
    <row r="3" s="103" customFormat="1" ht="28" customHeight="1" spans="1:12">
      <c r="A3" s="113">
        <v>1</v>
      </c>
      <c r="B3" s="114" t="s">
        <v>7</v>
      </c>
      <c r="C3" s="115" t="s">
        <v>8</v>
      </c>
      <c r="D3" s="115" t="s">
        <v>9</v>
      </c>
      <c r="E3" s="114" t="s">
        <v>10</v>
      </c>
      <c r="F3" s="116"/>
      <c r="G3" s="117"/>
      <c r="H3" s="117"/>
      <c r="I3" s="117"/>
      <c r="J3" s="117"/>
      <c r="K3" s="117"/>
      <c r="L3" s="117"/>
    </row>
    <row r="4" s="103" customFormat="1" ht="28" customHeight="1" spans="1:12">
      <c r="A4" s="113">
        <v>2</v>
      </c>
      <c r="B4" s="114" t="s">
        <v>11</v>
      </c>
      <c r="C4" s="115" t="s">
        <v>8</v>
      </c>
      <c r="D4" s="115" t="s">
        <v>12</v>
      </c>
      <c r="E4" s="114" t="s">
        <v>10</v>
      </c>
      <c r="F4" s="116"/>
      <c r="G4" s="117"/>
      <c r="H4" s="117"/>
      <c r="I4" s="117"/>
      <c r="J4" s="117"/>
      <c r="K4" s="117"/>
      <c r="L4" s="117"/>
    </row>
    <row r="5" s="103" customFormat="1" ht="28" customHeight="1" spans="1:12">
      <c r="A5" s="113">
        <v>3</v>
      </c>
      <c r="B5" s="114" t="s">
        <v>13</v>
      </c>
      <c r="C5" s="115" t="s">
        <v>8</v>
      </c>
      <c r="D5" s="115" t="s">
        <v>14</v>
      </c>
      <c r="E5" s="114" t="s">
        <v>10</v>
      </c>
      <c r="F5" s="116"/>
      <c r="G5" s="117"/>
      <c r="H5" s="117"/>
      <c r="I5" s="117"/>
      <c r="J5" s="117"/>
      <c r="K5" s="117"/>
      <c r="L5" s="117"/>
    </row>
    <row r="6" s="103" customFormat="1" ht="27" customHeight="1" spans="1:12">
      <c r="A6" s="113">
        <v>4</v>
      </c>
      <c r="B6" s="114" t="s">
        <v>15</v>
      </c>
      <c r="C6" s="115" t="s">
        <v>8</v>
      </c>
      <c r="D6" s="115" t="s">
        <v>16</v>
      </c>
      <c r="E6" s="114" t="s">
        <v>10</v>
      </c>
      <c r="F6" s="116"/>
      <c r="G6" s="117"/>
      <c r="H6" s="117"/>
      <c r="I6" s="117"/>
      <c r="J6" s="117"/>
      <c r="K6" s="117"/>
      <c r="L6" s="117"/>
    </row>
    <row r="7" s="103" customFormat="1" ht="27" customHeight="1" spans="1:12">
      <c r="A7" s="113">
        <v>5</v>
      </c>
      <c r="B7" s="114" t="s">
        <v>17</v>
      </c>
      <c r="C7" s="115" t="s">
        <v>8</v>
      </c>
      <c r="D7" s="115" t="s">
        <v>18</v>
      </c>
      <c r="E7" s="114" t="s">
        <v>10</v>
      </c>
      <c r="F7" s="116"/>
      <c r="G7" s="117"/>
      <c r="H7" s="117"/>
      <c r="I7" s="117"/>
      <c r="J7" s="117"/>
      <c r="K7" s="117"/>
      <c r="L7" s="117"/>
    </row>
    <row r="8" s="103" customFormat="1" ht="32.1" customHeight="1" spans="1:12">
      <c r="A8" s="113">
        <v>6</v>
      </c>
      <c r="B8" s="114" t="s">
        <v>19</v>
      </c>
      <c r="C8" s="115" t="s">
        <v>8</v>
      </c>
      <c r="D8" s="115" t="s">
        <v>20</v>
      </c>
      <c r="E8" s="114" t="s">
        <v>10</v>
      </c>
      <c r="F8" s="116"/>
      <c r="G8" s="118"/>
      <c r="H8" s="117"/>
      <c r="I8" s="117"/>
      <c r="J8" s="117"/>
      <c r="K8" s="117"/>
      <c r="L8" s="117"/>
    </row>
    <row r="9" s="103" customFormat="1" ht="32.1" customHeight="1" spans="1:12">
      <c r="A9" s="113">
        <v>7</v>
      </c>
      <c r="B9" s="114" t="s">
        <v>21</v>
      </c>
      <c r="C9" s="115" t="s">
        <v>8</v>
      </c>
      <c r="D9" s="115" t="s">
        <v>22</v>
      </c>
      <c r="E9" s="114" t="s">
        <v>10</v>
      </c>
      <c r="F9" s="116"/>
      <c r="G9" s="118"/>
      <c r="H9" s="117"/>
      <c r="I9" s="117"/>
      <c r="J9" s="117"/>
      <c r="K9" s="117"/>
      <c r="L9" s="117"/>
    </row>
    <row r="10" s="104" customFormat="1" ht="32.1" customHeight="1" spans="1:12">
      <c r="A10" s="113">
        <v>8</v>
      </c>
      <c r="B10" s="114" t="s">
        <v>23</v>
      </c>
      <c r="C10" s="115" t="s">
        <v>8</v>
      </c>
      <c r="D10" s="115" t="s">
        <v>24</v>
      </c>
      <c r="E10" s="114" t="s">
        <v>10</v>
      </c>
      <c r="F10" s="116"/>
      <c r="G10" s="119"/>
      <c r="H10" s="120"/>
      <c r="I10" s="132"/>
      <c r="J10" s="132"/>
      <c r="K10" s="132"/>
      <c r="L10" s="132"/>
    </row>
    <row r="11" s="105" customFormat="1" ht="32.1" customHeight="1" spans="1:12">
      <c r="A11" s="113">
        <v>9</v>
      </c>
      <c r="B11" s="114" t="s">
        <v>25</v>
      </c>
      <c r="C11" s="115" t="s">
        <v>26</v>
      </c>
      <c r="D11" s="115" t="s">
        <v>27</v>
      </c>
      <c r="E11" s="114" t="s">
        <v>10</v>
      </c>
      <c r="F11" s="116"/>
      <c r="G11" s="121"/>
      <c r="H11" s="122"/>
      <c r="I11" s="133"/>
      <c r="J11" s="133"/>
      <c r="K11" s="133"/>
      <c r="L11" s="133"/>
    </row>
    <row r="12" s="105" customFormat="1" ht="32.1" customHeight="1" spans="1:12">
      <c r="A12" s="113">
        <v>10</v>
      </c>
      <c r="B12" s="114" t="s">
        <v>28</v>
      </c>
      <c r="C12" s="115" t="s">
        <v>8</v>
      </c>
      <c r="D12" s="115" t="s">
        <v>29</v>
      </c>
      <c r="E12" s="114" t="s">
        <v>10</v>
      </c>
      <c r="F12" s="116"/>
      <c r="G12" s="121"/>
      <c r="H12" s="122"/>
      <c r="I12" s="133"/>
      <c r="J12" s="133"/>
      <c r="K12" s="133"/>
      <c r="L12" s="133"/>
    </row>
    <row r="13" s="105" customFormat="1" ht="32.1" customHeight="1" spans="1:12">
      <c r="A13" s="113">
        <v>11</v>
      </c>
      <c r="B13" s="114" t="s">
        <v>30</v>
      </c>
      <c r="C13" s="115" t="s">
        <v>8</v>
      </c>
      <c r="D13" s="115" t="s">
        <v>31</v>
      </c>
      <c r="E13" s="114" t="s">
        <v>10</v>
      </c>
      <c r="F13" s="116"/>
      <c r="G13" s="121"/>
      <c r="H13" s="122"/>
      <c r="I13" s="133"/>
      <c r="J13" s="133"/>
      <c r="K13" s="133"/>
      <c r="L13" s="133"/>
    </row>
    <row r="14" s="105" customFormat="1" ht="32.1" customHeight="1" spans="1:12">
      <c r="A14" s="113">
        <v>12</v>
      </c>
      <c r="B14" s="114" t="s">
        <v>32</v>
      </c>
      <c r="C14" s="115" t="s">
        <v>26</v>
      </c>
      <c r="D14" s="115" t="s">
        <v>33</v>
      </c>
      <c r="E14" s="114" t="s">
        <v>10</v>
      </c>
      <c r="F14" s="116"/>
      <c r="G14" s="121"/>
      <c r="H14" s="122"/>
      <c r="I14" s="133"/>
      <c r="J14" s="133"/>
      <c r="K14" s="133"/>
      <c r="L14" s="133"/>
    </row>
    <row r="15" s="105" customFormat="1" ht="32.1" customHeight="1" spans="1:12">
      <c r="A15" s="113">
        <v>13</v>
      </c>
      <c r="B15" s="123" t="s">
        <v>34</v>
      </c>
      <c r="C15" s="124" t="s">
        <v>35</v>
      </c>
      <c r="D15" s="124" t="s">
        <v>36</v>
      </c>
      <c r="E15" s="123" t="s">
        <v>37</v>
      </c>
      <c r="F15" s="125"/>
      <c r="G15" s="121"/>
      <c r="H15" s="122"/>
      <c r="I15" s="133"/>
      <c r="J15" s="133"/>
      <c r="K15" s="133"/>
      <c r="L15" s="133"/>
    </row>
    <row r="16" ht="33.95" customHeight="1" spans="1:6">
      <c r="A16" s="126" t="s">
        <v>38</v>
      </c>
      <c r="B16" s="127"/>
      <c r="C16" s="127" t="s">
        <v>39</v>
      </c>
      <c r="D16" s="127"/>
      <c r="E16" s="127"/>
      <c r="F16" s="128"/>
    </row>
    <row r="17" ht="33.95" customHeight="1" spans="1:6">
      <c r="A17" s="129"/>
      <c r="B17" s="130"/>
      <c r="C17" s="130"/>
      <c r="D17" s="130"/>
      <c r="E17" s="130"/>
      <c r="F17" s="131"/>
    </row>
    <row r="32" ht="43.5" customHeight="1"/>
  </sheetData>
  <mergeCells count="3">
    <mergeCell ref="A1:F1"/>
    <mergeCell ref="A16:B17"/>
    <mergeCell ref="C16:F17"/>
  </mergeCells>
  <pageMargins left="0.550694444444444" right="0.590277777777778" top="0.393055555555556" bottom="0.393055555555556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H8" sqref="H8"/>
    </sheetView>
  </sheetViews>
  <sheetFormatPr defaultColWidth="9" defaultRowHeight="14.25" outlineLevelCol="7"/>
  <cols>
    <col min="3" max="3" width="3.25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66" t="s">
        <v>40</v>
      </c>
      <c r="B1" s="66"/>
      <c r="C1" s="66"/>
      <c r="D1" s="66"/>
      <c r="E1" s="66"/>
      <c r="F1" s="66"/>
      <c r="G1" s="66"/>
      <c r="H1" s="66"/>
    </row>
    <row r="2" ht="31.9" customHeight="1" spans="1:8">
      <c r="A2" s="67" t="s">
        <v>41</v>
      </c>
      <c r="B2" s="67"/>
      <c r="C2" s="67"/>
      <c r="D2" s="67"/>
      <c r="E2" s="67"/>
      <c r="F2" s="67"/>
      <c r="G2" s="67"/>
      <c r="H2" s="67"/>
    </row>
    <row r="3" ht="23.25" customHeight="1" spans="1:8">
      <c r="A3" s="67" t="s">
        <v>42</v>
      </c>
      <c r="B3" s="67"/>
      <c r="C3" s="67"/>
      <c r="D3" s="67"/>
      <c r="E3" s="67"/>
      <c r="F3" s="67"/>
      <c r="G3" s="67"/>
      <c r="H3" s="67"/>
    </row>
    <row r="4" ht="25.5" customHeight="1" spans="1:8">
      <c r="A4" s="67" t="s">
        <v>43</v>
      </c>
      <c r="B4" s="67"/>
      <c r="C4" s="67"/>
      <c r="D4" s="67"/>
      <c r="E4" s="67"/>
      <c r="F4" s="67"/>
      <c r="G4" s="67"/>
      <c r="H4" s="67"/>
    </row>
    <row r="5" ht="30" customHeight="1" spans="1:8">
      <c r="A5" s="68" t="s">
        <v>44</v>
      </c>
      <c r="B5" s="68"/>
      <c r="C5" s="68"/>
      <c r="D5" s="68"/>
      <c r="E5" s="68"/>
      <c r="F5" s="68"/>
      <c r="G5" s="68"/>
      <c r="H5" s="68"/>
    </row>
    <row r="6" ht="20.25" customHeight="1" spans="1:8">
      <c r="A6" s="69" t="s">
        <v>1</v>
      </c>
      <c r="B6" s="70" t="s">
        <v>45</v>
      </c>
      <c r="C6" s="71"/>
      <c r="D6" s="72"/>
      <c r="E6" s="72" t="s">
        <v>46</v>
      </c>
      <c r="F6" s="72" t="s">
        <v>47</v>
      </c>
      <c r="G6" s="72" t="s">
        <v>48</v>
      </c>
      <c r="H6" s="72" t="s">
        <v>49</v>
      </c>
    </row>
    <row r="7" ht="20.25" customHeight="1" spans="1:8">
      <c r="A7" s="73" t="s">
        <v>50</v>
      </c>
      <c r="B7" s="74" t="s">
        <v>51</v>
      </c>
      <c r="C7" s="75"/>
      <c r="D7" s="76"/>
      <c r="E7" s="77">
        <f>E8+E9+E10+E11</f>
        <v>0</v>
      </c>
      <c r="F7" s="77">
        <v>0</v>
      </c>
      <c r="G7" s="77">
        <f>G8+G9+G10+G11</f>
        <v>0</v>
      </c>
      <c r="H7" s="78">
        <f>H8+H10+H11+H12</f>
        <v>37700</v>
      </c>
    </row>
    <row r="8" ht="20.25" customHeight="1" spans="1:8">
      <c r="A8" s="79">
        <v>1.1</v>
      </c>
      <c r="B8" s="80" t="s">
        <v>52</v>
      </c>
      <c r="C8" s="81"/>
      <c r="D8" s="82"/>
      <c r="E8" s="77">
        <v>0</v>
      </c>
      <c r="F8" s="77">
        <v>0</v>
      </c>
      <c r="G8" s="77">
        <v>0</v>
      </c>
      <c r="H8" s="78">
        <f>'4、各月结算汇总'!F21</f>
        <v>37779.71</v>
      </c>
    </row>
    <row r="9" ht="20.25" customHeight="1" spans="1:8">
      <c r="A9" s="79">
        <v>1.2</v>
      </c>
      <c r="B9" s="80" t="s">
        <v>53</v>
      </c>
      <c r="C9" s="81"/>
      <c r="D9" s="82"/>
      <c r="E9" s="77">
        <v>0</v>
      </c>
      <c r="F9" s="77">
        <v>0</v>
      </c>
      <c r="G9" s="77">
        <v>0</v>
      </c>
      <c r="H9" s="77"/>
    </row>
    <row r="10" ht="20.25" customHeight="1" spans="1:8">
      <c r="A10" s="79">
        <v>1.3</v>
      </c>
      <c r="B10" s="80" t="s">
        <v>54</v>
      </c>
      <c r="C10" s="81"/>
      <c r="D10" s="82"/>
      <c r="E10" s="77">
        <v>0</v>
      </c>
      <c r="F10" s="77">
        <v>0</v>
      </c>
      <c r="G10" s="77">
        <v>0</v>
      </c>
      <c r="H10" s="77"/>
    </row>
    <row r="11" ht="20.25" customHeight="1" spans="1:8">
      <c r="A11" s="79">
        <v>1.4</v>
      </c>
      <c r="B11" s="80" t="s">
        <v>55</v>
      </c>
      <c r="C11" s="81"/>
      <c r="D11" s="82"/>
      <c r="E11" s="77">
        <v>0</v>
      </c>
      <c r="F11" s="77">
        <v>0</v>
      </c>
      <c r="G11" s="77">
        <v>0</v>
      </c>
      <c r="H11" s="78"/>
    </row>
    <row r="12" ht="20.25" customHeight="1" spans="1:8">
      <c r="A12" s="79">
        <v>1.5</v>
      </c>
      <c r="B12" s="80" t="s">
        <v>56</v>
      </c>
      <c r="C12" s="81"/>
      <c r="D12" s="82"/>
      <c r="E12" s="83"/>
      <c r="F12" s="84"/>
      <c r="G12" s="77"/>
      <c r="H12" s="78">
        <f>'4、各月结算汇总'!F22-'4、各月结算汇总'!F21</f>
        <v>-79.71</v>
      </c>
    </row>
    <row r="13" ht="20.25" customHeight="1" spans="1:8">
      <c r="A13" s="73" t="s">
        <v>57</v>
      </c>
      <c r="B13" s="74" t="s">
        <v>58</v>
      </c>
      <c r="C13" s="75"/>
      <c r="D13" s="76"/>
      <c r="E13" s="80">
        <v>0</v>
      </c>
      <c r="F13" s="82"/>
      <c r="G13" s="77">
        <v>0</v>
      </c>
      <c r="H13" s="77">
        <v>0</v>
      </c>
    </row>
    <row r="14" ht="20.25" customHeight="1" spans="1:8">
      <c r="A14" s="79">
        <v>2.1</v>
      </c>
      <c r="B14" s="80" t="s">
        <v>59</v>
      </c>
      <c r="C14" s="81"/>
      <c r="D14" s="82"/>
      <c r="E14" s="80">
        <v>0</v>
      </c>
      <c r="F14" s="82"/>
      <c r="G14" s="77">
        <v>0</v>
      </c>
      <c r="H14" s="77">
        <v>0</v>
      </c>
    </row>
    <row r="15" ht="20.25" customHeight="1" spans="1:8">
      <c r="A15" s="79">
        <v>2.2</v>
      </c>
      <c r="B15" s="80" t="s">
        <v>59</v>
      </c>
      <c r="C15" s="81"/>
      <c r="D15" s="82"/>
      <c r="E15" s="80">
        <v>0</v>
      </c>
      <c r="F15" s="82"/>
      <c r="G15" s="77">
        <v>0</v>
      </c>
      <c r="H15" s="77">
        <v>0</v>
      </c>
    </row>
    <row r="16" ht="20.25" customHeight="1" spans="1:8">
      <c r="A16" s="85" t="s">
        <v>60</v>
      </c>
      <c r="B16" s="86" t="s">
        <v>61</v>
      </c>
      <c r="C16" s="87"/>
      <c r="D16" s="77" t="s">
        <v>62</v>
      </c>
      <c r="E16" s="88">
        <f>H7</f>
        <v>37700</v>
      </c>
      <c r="F16" s="89"/>
      <c r="G16" s="89"/>
      <c r="H16" s="90"/>
    </row>
    <row r="17" ht="20.25" customHeight="1" spans="1:8">
      <c r="A17" s="73"/>
      <c r="B17" s="91"/>
      <c r="C17" s="92"/>
      <c r="D17" s="93" t="s">
        <v>63</v>
      </c>
      <c r="E17" s="94">
        <f>E16</f>
        <v>37700</v>
      </c>
      <c r="F17" s="95"/>
      <c r="G17" s="95"/>
      <c r="H17" s="96"/>
    </row>
    <row r="18" ht="20.25" customHeight="1" spans="1:8">
      <c r="A18" s="73" t="s">
        <v>64</v>
      </c>
      <c r="B18" s="74" t="s">
        <v>65</v>
      </c>
      <c r="C18" s="75"/>
      <c r="D18" s="76"/>
      <c r="E18" s="80">
        <v>0</v>
      </c>
      <c r="F18" s="81"/>
      <c r="G18" s="81"/>
      <c r="H18" s="82"/>
    </row>
    <row r="19" ht="20.25" customHeight="1" spans="1:8">
      <c r="A19" s="79">
        <v>4.1</v>
      </c>
      <c r="B19" s="80" t="s">
        <v>66</v>
      </c>
      <c r="C19" s="81"/>
      <c r="D19" s="82"/>
      <c r="E19" s="80">
        <v>0</v>
      </c>
      <c r="F19" s="81"/>
      <c r="G19" s="81"/>
      <c r="H19" s="82"/>
    </row>
    <row r="20" ht="20.25" customHeight="1" spans="1:8">
      <c r="A20" s="79">
        <v>4.2</v>
      </c>
      <c r="B20" s="80" t="s">
        <v>67</v>
      </c>
      <c r="C20" s="81"/>
      <c r="D20" s="82"/>
      <c r="E20" s="80">
        <v>0</v>
      </c>
      <c r="F20" s="81"/>
      <c r="G20" s="81"/>
      <c r="H20" s="82"/>
    </row>
    <row r="21" ht="20.25" customHeight="1" spans="1:8">
      <c r="A21" s="73" t="s">
        <v>68</v>
      </c>
      <c r="B21" s="74" t="s">
        <v>69</v>
      </c>
      <c r="C21" s="75"/>
      <c r="D21" s="76"/>
      <c r="E21" s="80">
        <v>0</v>
      </c>
      <c r="F21" s="81"/>
      <c r="G21" s="81"/>
      <c r="H21" s="82"/>
    </row>
    <row r="22" ht="20.25" customHeight="1" spans="1:8">
      <c r="A22" s="79">
        <v>5.1</v>
      </c>
      <c r="B22" s="80" t="s">
        <v>70</v>
      </c>
      <c r="C22" s="81"/>
      <c r="D22" s="82"/>
      <c r="E22" s="80" t="s">
        <v>71</v>
      </c>
      <c r="F22" s="81"/>
      <c r="G22" s="81"/>
      <c r="H22" s="82"/>
    </row>
    <row r="23" ht="20.25" customHeight="1" spans="1:8">
      <c r="A23" s="79">
        <v>5.2</v>
      </c>
      <c r="B23" s="80" t="s">
        <v>72</v>
      </c>
      <c r="C23" s="81"/>
      <c r="D23" s="82"/>
      <c r="E23" s="80" t="s">
        <v>71</v>
      </c>
      <c r="F23" s="81"/>
      <c r="G23" s="81"/>
      <c r="H23" s="82"/>
    </row>
    <row r="24" ht="20.25" customHeight="1" spans="1:8">
      <c r="A24" s="85" t="s">
        <v>73</v>
      </c>
      <c r="B24" s="97" t="s">
        <v>74</v>
      </c>
      <c r="C24" s="80" t="s">
        <v>62</v>
      </c>
      <c r="D24" s="82"/>
      <c r="E24" s="88">
        <f>E16</f>
        <v>37700</v>
      </c>
      <c r="F24" s="81"/>
      <c r="G24" s="81"/>
      <c r="H24" s="82"/>
    </row>
    <row r="25" ht="20.25" customHeight="1" spans="1:8">
      <c r="A25" s="73"/>
      <c r="B25" s="98"/>
      <c r="C25" s="80" t="s">
        <v>63</v>
      </c>
      <c r="D25" s="82"/>
      <c r="E25" s="94">
        <f>E17</f>
        <v>37700</v>
      </c>
      <c r="F25" s="95"/>
      <c r="G25" s="95"/>
      <c r="H25" s="96"/>
    </row>
    <row r="26" ht="20.25" customHeight="1" spans="1:8">
      <c r="A26" s="85" t="s">
        <v>75</v>
      </c>
      <c r="B26" s="97" t="s">
        <v>76</v>
      </c>
      <c r="C26" s="80" t="s">
        <v>62</v>
      </c>
      <c r="D26" s="82"/>
      <c r="E26" s="88">
        <f>E24</f>
        <v>37700</v>
      </c>
      <c r="F26" s="81"/>
      <c r="G26" s="81"/>
      <c r="H26" s="82"/>
    </row>
    <row r="27" ht="20.25" customHeight="1" spans="1:8">
      <c r="A27" s="73"/>
      <c r="B27" s="98"/>
      <c r="C27" s="80" t="s">
        <v>63</v>
      </c>
      <c r="D27" s="82"/>
      <c r="E27" s="94">
        <f>E17</f>
        <v>37700</v>
      </c>
      <c r="F27" s="95"/>
      <c r="G27" s="95"/>
      <c r="H27" s="96"/>
    </row>
    <row r="28" spans="1:8">
      <c r="A28" s="99"/>
      <c r="B28" s="99"/>
      <c r="C28" s="99"/>
      <c r="D28" s="99"/>
      <c r="E28" s="99"/>
      <c r="F28" s="99"/>
      <c r="G28" s="99"/>
      <c r="H28" s="99"/>
    </row>
    <row r="29" spans="1:8">
      <c r="A29" s="100" t="s">
        <v>77</v>
      </c>
      <c r="B29" s="100"/>
      <c r="C29" s="100"/>
      <c r="D29" s="100"/>
      <c r="E29" s="100"/>
      <c r="F29" s="100"/>
      <c r="G29" s="100"/>
      <c r="H29" s="100"/>
    </row>
    <row r="30" spans="1:1">
      <c r="A30" s="101"/>
    </row>
    <row r="31" spans="1:1">
      <c r="A31" s="101"/>
    </row>
    <row r="32" spans="1:8">
      <c r="A32" s="100" t="s">
        <v>78</v>
      </c>
      <c r="B32" s="100"/>
      <c r="C32" s="100"/>
      <c r="D32" s="100"/>
      <c r="E32" s="100"/>
      <c r="F32" s="100"/>
      <c r="G32" s="100"/>
      <c r="H32" s="100"/>
    </row>
    <row r="33" spans="1:1">
      <c r="A33" s="101"/>
    </row>
    <row r="34" ht="27" customHeight="1" spans="1:8">
      <c r="A34" s="102"/>
      <c r="B34" s="102"/>
      <c r="C34" s="102"/>
      <c r="D34" s="102"/>
      <c r="E34" s="102"/>
      <c r="F34" s="102"/>
      <c r="G34" s="102"/>
      <c r="H34" s="102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G7" sqref="G7"/>
    </sheetView>
  </sheetViews>
  <sheetFormatPr defaultColWidth="9" defaultRowHeight="14.25" outlineLevelCol="6"/>
  <cols>
    <col min="1" max="1" width="6.25" style="1" customWidth="1"/>
    <col min="2" max="2" width="16.25" customWidth="1"/>
    <col min="3" max="3" width="6.25" style="57" customWidth="1"/>
    <col min="4" max="4" width="12" customWidth="1"/>
    <col min="5" max="5" width="12.25" customWidth="1"/>
    <col min="6" max="6" width="15.625" customWidth="1"/>
    <col min="7" max="7" width="12.375" customWidth="1"/>
  </cols>
  <sheetData>
    <row r="1" ht="39" customHeight="1" spans="1:7">
      <c r="A1" s="58" t="s">
        <v>79</v>
      </c>
      <c r="B1" s="58"/>
      <c r="C1" s="58"/>
      <c r="D1" s="58"/>
      <c r="E1" s="58"/>
      <c r="F1" s="58"/>
      <c r="G1" s="58"/>
    </row>
    <row r="2" ht="28" customHeight="1" spans="1:7">
      <c r="A2" s="59" t="s">
        <v>1</v>
      </c>
      <c r="B2" s="59" t="s">
        <v>45</v>
      </c>
      <c r="C2" s="59" t="s">
        <v>80</v>
      </c>
      <c r="D2" s="59" t="s">
        <v>81</v>
      </c>
      <c r="E2" s="59" t="s">
        <v>82</v>
      </c>
      <c r="F2" s="59" t="s">
        <v>83</v>
      </c>
      <c r="G2" s="60" t="s">
        <v>6</v>
      </c>
    </row>
    <row r="3" customFormat="1" ht="24" customHeight="1" spans="1:7">
      <c r="A3" s="59">
        <v>1</v>
      </c>
      <c r="B3" s="59" t="s">
        <v>84</v>
      </c>
      <c r="C3" s="59" t="s">
        <v>85</v>
      </c>
      <c r="D3" s="59">
        <v>4064.76</v>
      </c>
      <c r="E3" s="59">
        <v>0.4</v>
      </c>
      <c r="F3" s="61">
        <f>E3*D3</f>
        <v>1625.9</v>
      </c>
      <c r="G3" s="60"/>
    </row>
    <row r="4" customFormat="1" ht="24" customHeight="1" spans="1:7">
      <c r="A4" s="59">
        <v>2</v>
      </c>
      <c r="B4" s="59" t="s">
        <v>86</v>
      </c>
      <c r="C4" s="59" t="s">
        <v>85</v>
      </c>
      <c r="D4" s="59">
        <v>5621.34</v>
      </c>
      <c r="E4" s="59">
        <v>0.4</v>
      </c>
      <c r="F4" s="61">
        <f t="shared" ref="F4:F21" si="0">E4*D4</f>
        <v>2248.54</v>
      </c>
      <c r="G4" s="60"/>
    </row>
    <row r="5" customFormat="1" ht="24" customHeight="1" spans="1:7">
      <c r="A5" s="59">
        <v>3</v>
      </c>
      <c r="B5" s="59" t="s">
        <v>87</v>
      </c>
      <c r="C5" s="59" t="s">
        <v>85</v>
      </c>
      <c r="D5" s="59">
        <v>5625.85</v>
      </c>
      <c r="E5" s="59">
        <v>0.4</v>
      </c>
      <c r="F5" s="61">
        <f t="shared" si="0"/>
        <v>2250.34</v>
      </c>
      <c r="G5" s="60"/>
    </row>
    <row r="6" customFormat="1" ht="24" customHeight="1" spans="1:7">
      <c r="A6" s="59">
        <v>4</v>
      </c>
      <c r="B6" s="59" t="s">
        <v>88</v>
      </c>
      <c r="C6" s="59" t="s">
        <v>85</v>
      </c>
      <c r="D6" s="59">
        <v>4065.31</v>
      </c>
      <c r="E6" s="59">
        <v>0.4</v>
      </c>
      <c r="F6" s="61">
        <f t="shared" si="0"/>
        <v>1626.12</v>
      </c>
      <c r="G6" s="60"/>
    </row>
    <row r="7" customFormat="1" ht="24" customHeight="1" spans="1:7">
      <c r="A7" s="59">
        <v>5</v>
      </c>
      <c r="B7" s="59" t="s">
        <v>89</v>
      </c>
      <c r="C7" s="59" t="s">
        <v>85</v>
      </c>
      <c r="D7" s="59">
        <v>4568.35</v>
      </c>
      <c r="E7" s="59">
        <v>0.4</v>
      </c>
      <c r="F7" s="61">
        <f t="shared" si="0"/>
        <v>1827.34</v>
      </c>
      <c r="G7" s="60"/>
    </row>
    <row r="8" customFormat="1" ht="24" customHeight="1" spans="1:7">
      <c r="A8" s="59">
        <v>6</v>
      </c>
      <c r="B8" s="59" t="s">
        <v>90</v>
      </c>
      <c r="C8" s="59" t="s">
        <v>85</v>
      </c>
      <c r="D8" s="59">
        <v>4592.73</v>
      </c>
      <c r="E8" s="59">
        <v>0.4</v>
      </c>
      <c r="F8" s="61">
        <f t="shared" si="0"/>
        <v>1837.09</v>
      </c>
      <c r="G8" s="60"/>
    </row>
    <row r="9" customFormat="1" ht="24" customHeight="1" spans="1:7">
      <c r="A9" s="59">
        <v>7</v>
      </c>
      <c r="B9" s="59" t="s">
        <v>91</v>
      </c>
      <c r="C9" s="59" t="s">
        <v>85</v>
      </c>
      <c r="D9" s="59">
        <v>4380.56</v>
      </c>
      <c r="E9" s="59">
        <v>0.4</v>
      </c>
      <c r="F9" s="61">
        <f t="shared" si="0"/>
        <v>1752.22</v>
      </c>
      <c r="G9" s="60"/>
    </row>
    <row r="10" s="1" customFormat="1" ht="24" customHeight="1" spans="1:7">
      <c r="A10" s="59">
        <v>8</v>
      </c>
      <c r="B10" s="59" t="s">
        <v>92</v>
      </c>
      <c r="C10" s="59" t="s">
        <v>85</v>
      </c>
      <c r="D10" s="62">
        <v>4570.98</v>
      </c>
      <c r="E10" s="59">
        <v>0.4</v>
      </c>
      <c r="F10" s="61">
        <f t="shared" si="0"/>
        <v>1828.39</v>
      </c>
      <c r="G10" s="62"/>
    </row>
    <row r="11" ht="24" customHeight="1" spans="1:7">
      <c r="A11" s="59">
        <v>9</v>
      </c>
      <c r="B11" s="59" t="s">
        <v>93</v>
      </c>
      <c r="C11" s="59" t="s">
        <v>85</v>
      </c>
      <c r="D11" s="62">
        <v>4382.56</v>
      </c>
      <c r="E11" s="59">
        <v>0.4</v>
      </c>
      <c r="F11" s="61">
        <f t="shared" si="0"/>
        <v>1753.02</v>
      </c>
      <c r="G11" s="63"/>
    </row>
    <row r="12" ht="24" customHeight="1" spans="1:7">
      <c r="A12" s="59">
        <v>10</v>
      </c>
      <c r="B12" s="59" t="s">
        <v>94</v>
      </c>
      <c r="C12" s="59" t="s">
        <v>85</v>
      </c>
      <c r="D12" s="62">
        <v>4570.98</v>
      </c>
      <c r="E12" s="59">
        <v>0.4</v>
      </c>
      <c r="F12" s="61">
        <f t="shared" si="0"/>
        <v>1828.39</v>
      </c>
      <c r="G12" s="63"/>
    </row>
    <row r="13" ht="24" customHeight="1" spans="1:7">
      <c r="A13" s="59">
        <v>11</v>
      </c>
      <c r="B13" s="59" t="s">
        <v>95</v>
      </c>
      <c r="C13" s="59" t="s">
        <v>85</v>
      </c>
      <c r="D13" s="62">
        <v>6416.86</v>
      </c>
      <c r="E13" s="59">
        <v>0.4</v>
      </c>
      <c r="F13" s="61">
        <f t="shared" si="0"/>
        <v>2566.74</v>
      </c>
      <c r="G13" s="63"/>
    </row>
    <row r="14" ht="24" customHeight="1" spans="1:7">
      <c r="A14" s="59">
        <v>12</v>
      </c>
      <c r="B14" s="59" t="s">
        <v>96</v>
      </c>
      <c r="C14" s="59" t="s">
        <v>85</v>
      </c>
      <c r="D14" s="62">
        <v>5167.05</v>
      </c>
      <c r="E14" s="59">
        <v>0.4</v>
      </c>
      <c r="F14" s="61">
        <f t="shared" si="0"/>
        <v>2066.82</v>
      </c>
      <c r="G14" s="63"/>
    </row>
    <row r="15" ht="24" customHeight="1" spans="1:7">
      <c r="A15" s="59">
        <v>13</v>
      </c>
      <c r="B15" s="63" t="s">
        <v>97</v>
      </c>
      <c r="C15" s="59" t="s">
        <v>85</v>
      </c>
      <c r="D15" s="62">
        <v>4733.1</v>
      </c>
      <c r="E15" s="59">
        <v>0.4</v>
      </c>
      <c r="F15" s="61">
        <f t="shared" si="0"/>
        <v>1893.24</v>
      </c>
      <c r="G15" s="63"/>
    </row>
    <row r="16" ht="24" customHeight="1" spans="1:7">
      <c r="A16" s="59">
        <v>14</v>
      </c>
      <c r="B16" s="63" t="s">
        <v>98</v>
      </c>
      <c r="C16" s="59" t="s">
        <v>85</v>
      </c>
      <c r="D16" s="62">
        <v>7482.6</v>
      </c>
      <c r="E16" s="59">
        <v>0.4</v>
      </c>
      <c r="F16" s="61">
        <f t="shared" si="0"/>
        <v>2993.04</v>
      </c>
      <c r="G16" s="63"/>
    </row>
    <row r="17" ht="24" customHeight="1" spans="1:7">
      <c r="A17" s="59">
        <v>15</v>
      </c>
      <c r="B17" s="63" t="s">
        <v>99</v>
      </c>
      <c r="C17" s="59" t="s">
        <v>85</v>
      </c>
      <c r="D17" s="62">
        <v>5658.05</v>
      </c>
      <c r="E17" s="59">
        <v>0.4</v>
      </c>
      <c r="F17" s="61">
        <f t="shared" si="0"/>
        <v>2263.22</v>
      </c>
      <c r="G17" s="63"/>
    </row>
    <row r="18" ht="24" customHeight="1" spans="1:7">
      <c r="A18" s="59">
        <v>16</v>
      </c>
      <c r="B18" s="63" t="s">
        <v>100</v>
      </c>
      <c r="C18" s="59" t="s">
        <v>85</v>
      </c>
      <c r="D18" s="62">
        <v>6380.98</v>
      </c>
      <c r="E18" s="59">
        <v>0.4</v>
      </c>
      <c r="F18" s="61">
        <f t="shared" si="0"/>
        <v>2552.39</v>
      </c>
      <c r="G18" s="63"/>
    </row>
    <row r="19" ht="24" customHeight="1" spans="1:7">
      <c r="A19" s="59">
        <v>17</v>
      </c>
      <c r="B19" s="63" t="s">
        <v>101</v>
      </c>
      <c r="C19" s="59" t="s">
        <v>85</v>
      </c>
      <c r="D19" s="62">
        <v>6327.42</v>
      </c>
      <c r="E19" s="59">
        <v>0.4</v>
      </c>
      <c r="F19" s="61">
        <f t="shared" si="0"/>
        <v>2530.97</v>
      </c>
      <c r="G19" s="63"/>
    </row>
    <row r="20" ht="24" customHeight="1" spans="1:7">
      <c r="A20" s="59">
        <v>18</v>
      </c>
      <c r="B20" s="63" t="s">
        <v>102</v>
      </c>
      <c r="C20" s="59" t="s">
        <v>85</v>
      </c>
      <c r="D20" s="62">
        <v>5839.85</v>
      </c>
      <c r="E20" s="59">
        <v>0.4</v>
      </c>
      <c r="F20" s="61">
        <f t="shared" si="0"/>
        <v>2335.94</v>
      </c>
      <c r="G20" s="63"/>
    </row>
    <row r="21" ht="24" customHeight="1" spans="1:7">
      <c r="A21" s="59">
        <v>19</v>
      </c>
      <c r="B21" s="63" t="s">
        <v>103</v>
      </c>
      <c r="C21" s="64"/>
      <c r="D21" s="62">
        <f>SUM(D3:D20)</f>
        <v>94449.33</v>
      </c>
      <c r="E21" s="63"/>
      <c r="F21" s="65">
        <f>SUM(F3:F20)</f>
        <v>37779.71</v>
      </c>
      <c r="G21" s="63"/>
    </row>
    <row r="22" ht="24" customHeight="1" spans="1:7">
      <c r="A22" s="59">
        <v>20</v>
      </c>
      <c r="B22" s="63" t="s">
        <v>104</v>
      </c>
      <c r="C22" s="64"/>
      <c r="D22" s="63"/>
      <c r="E22" s="63"/>
      <c r="F22" s="62">
        <v>37700</v>
      </c>
      <c r="G22" s="63"/>
    </row>
    <row r="23" ht="35" customHeight="1" spans="2:5">
      <c r="B23" t="s">
        <v>105</v>
      </c>
      <c r="E23" t="s">
        <v>106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N9" sqref="N9"/>
    </sheetView>
  </sheetViews>
  <sheetFormatPr defaultColWidth="9" defaultRowHeight="14.25"/>
  <cols>
    <col min="1" max="1" width="3.875" style="2" customWidth="1"/>
    <col min="2" max="2" width="8.875" style="2" customWidth="1"/>
    <col min="3" max="3" width="24.375" style="2" customWidth="1"/>
    <col min="4" max="4" width="3.875" style="2" customWidth="1"/>
    <col min="5" max="5" width="7.5" style="2" customWidth="1"/>
    <col min="6" max="6" width="7.375" style="3" customWidth="1"/>
    <col min="7" max="8" width="7.625" style="3" customWidth="1"/>
    <col min="9" max="9" width="9.5" style="3" customWidth="1"/>
    <col min="10" max="10" width="8.75" style="3" customWidth="1"/>
    <col min="11" max="11" width="9.75" style="3"/>
    <col min="12" max="12" width="11.375" style="2"/>
    <col min="13" max="13" width="11.375" style="2" customWidth="1"/>
    <col min="14" max="14" width="12.75" style="2"/>
    <col min="15" max="15" width="12.5416666666667" style="2"/>
    <col min="16" max="16" width="9" style="2"/>
    <col min="17" max="17" width="12.9333333333333" style="2" customWidth="1"/>
    <col min="18" max="18" width="12.5416666666667" style="2"/>
    <col min="19" max="19" width="9" style="2"/>
    <col min="20" max="20" width="12.5416666666667" style="2"/>
    <col min="21" max="16384" width="9" style="2"/>
  </cols>
  <sheetData>
    <row r="1" s="2" customFormat="1" ht="24" customHeight="1" spans="1:13">
      <c r="A1" s="4" t="s">
        <v>107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2.95" customHeight="1" spans="1:13">
      <c r="A2" s="5" t="s">
        <v>1</v>
      </c>
      <c r="B2" s="6" t="s">
        <v>108</v>
      </c>
      <c r="C2" s="6" t="s">
        <v>109</v>
      </c>
      <c r="D2" s="6" t="s">
        <v>80</v>
      </c>
      <c r="E2" s="7" t="s">
        <v>110</v>
      </c>
      <c r="F2" s="8" t="s">
        <v>111</v>
      </c>
      <c r="G2" s="9"/>
      <c r="H2" s="9"/>
      <c r="I2" s="9"/>
      <c r="J2" s="25"/>
      <c r="K2" s="13" t="s">
        <v>112</v>
      </c>
      <c r="L2" s="13" t="s">
        <v>113</v>
      </c>
      <c r="M2" s="13" t="s">
        <v>6</v>
      </c>
    </row>
    <row r="3" s="2" customFormat="1" ht="53" customHeight="1" spans="1:13">
      <c r="A3" s="10"/>
      <c r="B3" s="11"/>
      <c r="C3" s="11"/>
      <c r="D3" s="11"/>
      <c r="E3" s="12"/>
      <c r="F3" s="13" t="s">
        <v>114</v>
      </c>
      <c r="G3" s="13" t="s">
        <v>115</v>
      </c>
      <c r="H3" s="13" t="s">
        <v>116</v>
      </c>
      <c r="I3" s="26" t="s">
        <v>117</v>
      </c>
      <c r="J3" s="26" t="s">
        <v>118</v>
      </c>
      <c r="K3" s="27"/>
      <c r="L3" s="27"/>
      <c r="M3" s="27"/>
    </row>
    <row r="4" s="2" customFormat="1" ht="23" customHeight="1" spans="1:13">
      <c r="A4" s="14" t="s">
        <v>50</v>
      </c>
      <c r="B4" s="37" t="s">
        <v>119</v>
      </c>
      <c r="C4" s="37"/>
      <c r="D4" s="14"/>
      <c r="E4" s="14"/>
      <c r="F4" s="17"/>
      <c r="G4" s="20"/>
      <c r="H4" s="17"/>
      <c r="I4" s="23"/>
      <c r="J4" s="49"/>
      <c r="K4" s="35"/>
      <c r="L4" s="36"/>
      <c r="M4" s="36"/>
    </row>
    <row r="5" s="2" customFormat="1" ht="63" spans="1:13">
      <c r="A5" s="14">
        <v>1</v>
      </c>
      <c r="B5" s="38" t="s">
        <v>120</v>
      </c>
      <c r="C5" s="38" t="s">
        <v>121</v>
      </c>
      <c r="D5" s="39" t="s">
        <v>122</v>
      </c>
      <c r="E5" s="40">
        <f>(30+8)*1.2*0.1+(30+22+30)*2.1*0.1+((30+8)*1.2+(30+22+30)*2.1)*0.375-3.14*0.32*0.32*202/2</f>
        <v>70.98</v>
      </c>
      <c r="F5" s="17">
        <v>60</v>
      </c>
      <c r="G5" s="20">
        <v>400</v>
      </c>
      <c r="H5" s="41">
        <v>50</v>
      </c>
      <c r="I5" s="50">
        <f>(F5+G5+H5)*0.12</f>
        <v>61.2</v>
      </c>
      <c r="J5" s="50">
        <f>SUM(F5:I5)*0.03</f>
        <v>17.14</v>
      </c>
      <c r="K5" s="32">
        <f>F5+G5+H5+I5+J5</f>
        <v>588.34</v>
      </c>
      <c r="L5" s="51">
        <f t="shared" ref="L5:L14" si="0">K5*E5</f>
        <v>41760.37</v>
      </c>
      <c r="M5" s="36" t="s">
        <v>123</v>
      </c>
    </row>
    <row r="6" s="2" customFormat="1" ht="48" customHeight="1" spans="1:15">
      <c r="A6" s="14">
        <v>2</v>
      </c>
      <c r="B6" s="14" t="s">
        <v>124</v>
      </c>
      <c r="C6" s="15" t="s">
        <v>125</v>
      </c>
      <c r="D6" s="16" t="s">
        <v>126</v>
      </c>
      <c r="E6" s="42">
        <v>202</v>
      </c>
      <c r="F6" s="43">
        <v>55</v>
      </c>
      <c r="G6" s="43">
        <v>155</v>
      </c>
      <c r="H6" s="43">
        <v>35</v>
      </c>
      <c r="I6" s="52">
        <f>((F6+G6+H6)*0.06)*0.7103839320882</f>
        <v>10.44</v>
      </c>
      <c r="J6" s="32">
        <f>(F6+G6+H6+I6)*0.03</f>
        <v>7.66</v>
      </c>
      <c r="K6" s="32">
        <f>SUM(F6:J6)</f>
        <v>263.1</v>
      </c>
      <c r="L6" s="51">
        <f t="shared" si="0"/>
        <v>53146.2</v>
      </c>
      <c r="M6" s="31" t="s">
        <v>127</v>
      </c>
      <c r="N6" s="3"/>
      <c r="O6" s="53"/>
    </row>
    <row r="7" s="2" customFormat="1" ht="39" customHeight="1" spans="1:18">
      <c r="A7" s="14">
        <v>3</v>
      </c>
      <c r="B7" s="44" t="s">
        <v>128</v>
      </c>
      <c r="C7" s="37" t="s">
        <v>129</v>
      </c>
      <c r="D7" s="23" t="s">
        <v>130</v>
      </c>
      <c r="E7" s="23">
        <v>3</v>
      </c>
      <c r="F7" s="23"/>
      <c r="G7" s="23"/>
      <c r="H7" s="17"/>
      <c r="I7" s="23"/>
      <c r="J7" s="49"/>
      <c r="K7" s="32">
        <v>2050</v>
      </c>
      <c r="L7" s="32">
        <f t="shared" si="0"/>
        <v>6150</v>
      </c>
      <c r="M7" s="31" t="s">
        <v>127</v>
      </c>
      <c r="R7" s="56"/>
    </row>
    <row r="8" s="2" customFormat="1" spans="1:18">
      <c r="A8" s="14">
        <v>4</v>
      </c>
      <c r="B8" s="44" t="s">
        <v>131</v>
      </c>
      <c r="C8" s="44" t="s">
        <v>132</v>
      </c>
      <c r="D8" s="23" t="s">
        <v>133</v>
      </c>
      <c r="E8" s="23">
        <v>2</v>
      </c>
      <c r="F8" s="23">
        <v>100</v>
      </c>
      <c r="G8" s="23">
        <v>370</v>
      </c>
      <c r="H8" s="17">
        <v>50</v>
      </c>
      <c r="I8" s="23">
        <v>53</v>
      </c>
      <c r="J8" s="49">
        <v>17.49</v>
      </c>
      <c r="K8" s="32">
        <f>SUM(F8:J8)</f>
        <v>590.49</v>
      </c>
      <c r="L8" s="32">
        <f t="shared" si="0"/>
        <v>1180.98</v>
      </c>
      <c r="M8" s="31" t="s">
        <v>127</v>
      </c>
      <c r="R8" s="56"/>
    </row>
    <row r="9" s="2" customFormat="1" ht="61" customHeight="1" spans="1:18">
      <c r="A9" s="14">
        <v>5</v>
      </c>
      <c r="B9" s="37" t="s">
        <v>134</v>
      </c>
      <c r="C9" s="15" t="s">
        <v>135</v>
      </c>
      <c r="D9" s="16" t="s">
        <v>130</v>
      </c>
      <c r="E9" s="17">
        <v>1</v>
      </c>
      <c r="F9" s="21">
        <v>1000</v>
      </c>
      <c r="G9" s="22">
        <v>35000</v>
      </c>
      <c r="H9" s="17">
        <v>11500</v>
      </c>
      <c r="I9" s="28">
        <v>9000</v>
      </c>
      <c r="J9" s="32">
        <v>1695</v>
      </c>
      <c r="K9" s="54">
        <f>F9+G9+H9+I9+J9</f>
        <v>58195</v>
      </c>
      <c r="L9" s="32">
        <f t="shared" si="0"/>
        <v>58195</v>
      </c>
      <c r="M9" s="31" t="s">
        <v>127</v>
      </c>
      <c r="R9" s="56"/>
    </row>
    <row r="10" s="2" customFormat="1" ht="18" customHeight="1" spans="1:18">
      <c r="A10" s="45">
        <v>6</v>
      </c>
      <c r="B10" s="46" t="s">
        <v>136</v>
      </c>
      <c r="C10" s="37" t="s">
        <v>137</v>
      </c>
      <c r="D10" s="23" t="s">
        <v>85</v>
      </c>
      <c r="E10" s="23">
        <f>52*2.1+(15+8)*1.2</f>
        <v>136.8</v>
      </c>
      <c r="F10" s="23"/>
      <c r="G10" s="23"/>
      <c r="H10" s="17"/>
      <c r="I10" s="23"/>
      <c r="J10" s="49"/>
      <c r="K10" s="32">
        <v>150</v>
      </c>
      <c r="L10" s="32">
        <f t="shared" si="0"/>
        <v>20520</v>
      </c>
      <c r="M10" s="31"/>
      <c r="R10" s="56"/>
    </row>
    <row r="11" s="2" customFormat="1" ht="18" customHeight="1" spans="1:18">
      <c r="A11" s="47"/>
      <c r="B11" s="48"/>
      <c r="C11" s="37" t="s">
        <v>138</v>
      </c>
      <c r="D11" s="23" t="s">
        <v>126</v>
      </c>
      <c r="E11" s="23">
        <v>140</v>
      </c>
      <c r="F11" s="23"/>
      <c r="G11" s="23"/>
      <c r="H11" s="17"/>
      <c r="I11" s="23"/>
      <c r="J11" s="49"/>
      <c r="K11" s="32">
        <f>20*1.03</f>
        <v>20.6</v>
      </c>
      <c r="L11" s="32">
        <f t="shared" si="0"/>
        <v>2884</v>
      </c>
      <c r="M11" s="31"/>
      <c r="R11" s="56"/>
    </row>
    <row r="12" s="2" customFormat="1" ht="33.75" spans="1:18">
      <c r="A12" s="14">
        <v>7</v>
      </c>
      <c r="B12" s="16" t="s">
        <v>139</v>
      </c>
      <c r="C12" s="16" t="s">
        <v>140</v>
      </c>
      <c r="D12" s="16" t="s">
        <v>122</v>
      </c>
      <c r="E12" s="40">
        <f>(30+52)*2.1*3.05+(8+30)*1.2*3.05</f>
        <v>664.29</v>
      </c>
      <c r="F12" s="21"/>
      <c r="G12" s="22"/>
      <c r="H12" s="17"/>
      <c r="I12" s="28"/>
      <c r="J12" s="32"/>
      <c r="K12" s="54">
        <v>26.9</v>
      </c>
      <c r="L12" s="54">
        <f t="shared" si="0"/>
        <v>17869.4</v>
      </c>
      <c r="M12" s="55" t="s">
        <v>141</v>
      </c>
      <c r="R12" s="56"/>
    </row>
    <row r="13" s="2" customFormat="1" ht="29" customHeight="1" spans="1:18">
      <c r="A13" s="14">
        <v>8</v>
      </c>
      <c r="B13" s="44" t="s">
        <v>142</v>
      </c>
      <c r="C13" s="37"/>
      <c r="D13" s="39" t="s">
        <v>122</v>
      </c>
      <c r="E13" s="40">
        <f>(30+52)*2.1*2.625+(8+30)*1.2*2.625+15*1.2*0.2+30*2.1*0.2</f>
        <v>587.93</v>
      </c>
      <c r="G13" s="22"/>
      <c r="H13" s="17"/>
      <c r="I13" s="28"/>
      <c r="J13" s="32"/>
      <c r="K13" s="32">
        <v>8.5</v>
      </c>
      <c r="L13" s="32">
        <f t="shared" si="0"/>
        <v>4997.41</v>
      </c>
      <c r="M13" s="55" t="s">
        <v>143</v>
      </c>
      <c r="R13" s="56"/>
    </row>
    <row r="14" s="2" customFormat="1" ht="27" customHeight="1" spans="1:18">
      <c r="A14" s="14">
        <v>9</v>
      </c>
      <c r="B14" s="44" t="s">
        <v>144</v>
      </c>
      <c r="C14" s="37" t="s">
        <v>145</v>
      </c>
      <c r="D14" s="23" t="s">
        <v>122</v>
      </c>
      <c r="E14" s="40">
        <f>((15+8)*1.2+(30+22)*2.1)*0.25</f>
        <v>34.2</v>
      </c>
      <c r="F14" s="17">
        <v>60</v>
      </c>
      <c r="G14" s="20">
        <v>420</v>
      </c>
      <c r="H14" s="41">
        <v>50</v>
      </c>
      <c r="I14" s="50">
        <f>(F14+G14+H14)*0.12</f>
        <v>63.6</v>
      </c>
      <c r="J14" s="50">
        <f>SUM(F14:I14)*0.03</f>
        <v>17.81</v>
      </c>
      <c r="K14" s="32">
        <f>F14+G14+H14+I14+J14</f>
        <v>611.41</v>
      </c>
      <c r="L14" s="32">
        <f t="shared" si="0"/>
        <v>20910.22</v>
      </c>
      <c r="M14" s="36" t="s">
        <v>123</v>
      </c>
      <c r="R14" s="56"/>
    </row>
    <row r="15" s="2" customFormat="1" ht="24" customHeight="1" spans="1:18">
      <c r="A15" s="23" t="s">
        <v>48</v>
      </c>
      <c r="B15" s="23"/>
      <c r="C15" s="23"/>
      <c r="D15" s="23"/>
      <c r="E15" s="23"/>
      <c r="F15" s="23"/>
      <c r="G15" s="23"/>
      <c r="H15" s="17"/>
      <c r="I15" s="23"/>
      <c r="J15" s="49"/>
      <c r="K15" s="35"/>
      <c r="L15" s="54">
        <f>SUM(L5:L14)</f>
        <v>227613.58</v>
      </c>
      <c r="M15" s="36"/>
      <c r="R15" s="56"/>
    </row>
    <row r="16" s="2" customFormat="1" spans="6:18">
      <c r="F16" s="3"/>
      <c r="G16" s="3"/>
      <c r="H16" s="3"/>
      <c r="I16" s="3"/>
      <c r="J16" s="3"/>
      <c r="K16" s="3"/>
      <c r="R16" s="56"/>
    </row>
    <row r="17" s="2" customFormat="1" spans="6:18">
      <c r="F17" s="3"/>
      <c r="G17" s="3"/>
      <c r="H17" s="3"/>
      <c r="I17" s="3"/>
      <c r="J17" s="3"/>
      <c r="K17" s="3"/>
      <c r="R17" s="56"/>
    </row>
    <row r="18" s="2" customFormat="1" spans="6:18">
      <c r="F18" s="3"/>
      <c r="G18" s="3"/>
      <c r="H18" s="3"/>
      <c r="I18" s="3"/>
      <c r="J18" s="3"/>
      <c r="K18" s="3"/>
      <c r="R18" s="56"/>
    </row>
    <row r="19" s="2" customFormat="1" spans="6:11">
      <c r="F19" s="3"/>
      <c r="G19" s="3"/>
      <c r="H19" s="3"/>
      <c r="I19" s="3"/>
      <c r="J19" s="3"/>
      <c r="K19" s="3"/>
    </row>
    <row r="20" s="2" customFormat="1" spans="6:11">
      <c r="F20" s="3"/>
      <c r="G20" s="3"/>
      <c r="H20" s="3"/>
      <c r="I20" s="3"/>
      <c r="J20" s="3"/>
      <c r="K20" s="3"/>
    </row>
    <row r="21" s="2" customFormat="1" spans="6:11">
      <c r="F21" s="3"/>
      <c r="G21" s="3"/>
      <c r="H21" s="3"/>
      <c r="I21" s="3"/>
      <c r="J21" s="3"/>
      <c r="K21" s="3"/>
    </row>
    <row r="22" s="2" customFormat="1" spans="5:11">
      <c r="E22" s="24"/>
      <c r="F22" s="3"/>
      <c r="G22" s="3"/>
      <c r="H22" s="3"/>
      <c r="I22" s="3"/>
      <c r="J22" s="3"/>
      <c r="K22" s="3"/>
    </row>
    <row r="23" s="2" customFormat="1" spans="5:11">
      <c r="E23" s="24"/>
      <c r="F23" s="3"/>
      <c r="G23" s="3"/>
      <c r="H23" s="3"/>
      <c r="I23" s="3"/>
      <c r="J23" s="3"/>
      <c r="K23" s="3"/>
    </row>
    <row r="24" s="2" customFormat="1" spans="5:11">
      <c r="E24" s="24"/>
      <c r="F24" s="3"/>
      <c r="G24" s="3"/>
      <c r="H24" s="3"/>
      <c r="I24" s="3"/>
      <c r="J24" s="3"/>
      <c r="K24" s="3"/>
    </row>
  </sheetData>
  <mergeCells count="14">
    <mergeCell ref="A1:M1"/>
    <mergeCell ref="F2:J2"/>
    <mergeCell ref="B4:C4"/>
    <mergeCell ref="A15:G15"/>
    <mergeCell ref="A2:A3"/>
    <mergeCell ref="A10:A11"/>
    <mergeCell ref="B2:B3"/>
    <mergeCell ref="B10:B11"/>
    <mergeCell ref="C2:C3"/>
    <mergeCell ref="D2:D3"/>
    <mergeCell ref="E2:E3"/>
    <mergeCell ref="K2:K3"/>
    <mergeCell ref="L2:L3"/>
    <mergeCell ref="M2:M3"/>
  </mergeCells>
  <pageMargins left="0.751388888888889" right="0.751388888888889" top="0.60625" bottom="0.409027777777778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11" sqref="L11"/>
    </sheetView>
  </sheetViews>
  <sheetFormatPr defaultColWidth="9" defaultRowHeight="14.25"/>
  <cols>
    <col min="1" max="1" width="3.875" style="2" customWidth="1"/>
    <col min="2" max="2" width="8.875" style="2" customWidth="1"/>
    <col min="3" max="3" width="20.625" style="2" customWidth="1"/>
    <col min="4" max="4" width="3.875" style="2" customWidth="1"/>
    <col min="5" max="6" width="7.5" style="2" customWidth="1"/>
    <col min="7" max="7" width="7.625" style="2" customWidth="1"/>
    <col min="8" max="8" width="10.125" style="2" customWidth="1"/>
    <col min="9" max="9" width="11.125" style="2" customWidth="1"/>
    <col min="10" max="10" width="10.375" style="2" customWidth="1"/>
    <col min="11" max="11" width="9" style="3"/>
    <col min="12" max="16384" width="9" style="2"/>
  </cols>
  <sheetData>
    <row r="1" s="2" customFormat="1" ht="33.95" customHeight="1" spans="1:13">
      <c r="A1" s="4" t="s">
        <v>146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1" customHeight="1" spans="1:13">
      <c r="A2" s="5" t="s">
        <v>1</v>
      </c>
      <c r="B2" s="6" t="s">
        <v>108</v>
      </c>
      <c r="C2" s="6" t="s">
        <v>109</v>
      </c>
      <c r="D2" s="6" t="s">
        <v>80</v>
      </c>
      <c r="E2" s="7" t="s">
        <v>110</v>
      </c>
      <c r="F2" s="8" t="s">
        <v>111</v>
      </c>
      <c r="G2" s="9"/>
      <c r="H2" s="9"/>
      <c r="I2" s="9"/>
      <c r="J2" s="25"/>
      <c r="K2" s="13" t="s">
        <v>112</v>
      </c>
      <c r="L2" s="13" t="s">
        <v>113</v>
      </c>
      <c r="M2" s="13" t="s">
        <v>6</v>
      </c>
    </row>
    <row r="3" s="2" customFormat="1" ht="48" customHeight="1" spans="1:13">
      <c r="A3" s="10"/>
      <c r="B3" s="11"/>
      <c r="C3" s="11"/>
      <c r="D3" s="11"/>
      <c r="E3" s="12"/>
      <c r="F3" s="13" t="s">
        <v>114</v>
      </c>
      <c r="G3" s="13" t="s">
        <v>115</v>
      </c>
      <c r="H3" s="13" t="s">
        <v>116</v>
      </c>
      <c r="I3" s="26" t="s">
        <v>117</v>
      </c>
      <c r="J3" s="26" t="s">
        <v>118</v>
      </c>
      <c r="K3" s="27"/>
      <c r="L3" s="27"/>
      <c r="M3" s="27"/>
    </row>
    <row r="4" s="2" customFormat="1" ht="33" customHeight="1" spans="1:13">
      <c r="A4" s="14">
        <v>1</v>
      </c>
      <c r="B4" s="14" t="s">
        <v>147</v>
      </c>
      <c r="C4" s="15" t="s">
        <v>148</v>
      </c>
      <c r="D4" s="16" t="s">
        <v>126</v>
      </c>
      <c r="E4" s="17">
        <f>1.4+3+4.1+5</f>
        <v>13.5</v>
      </c>
      <c r="F4" s="18"/>
      <c r="G4" s="18"/>
      <c r="H4" s="17"/>
      <c r="I4" s="28"/>
      <c r="J4" s="29"/>
      <c r="K4" s="30">
        <v>25</v>
      </c>
      <c r="L4" s="30">
        <f t="shared" ref="L4:L9" si="0">K4*E4</f>
        <v>337.5</v>
      </c>
      <c r="M4" s="31" t="s">
        <v>149</v>
      </c>
    </row>
    <row r="5" s="2" customFormat="1" ht="33.75" spans="1:13">
      <c r="A5" s="14">
        <v>2</v>
      </c>
      <c r="B5" s="14" t="s">
        <v>147</v>
      </c>
      <c r="C5" s="15" t="s">
        <v>150</v>
      </c>
      <c r="D5" s="16" t="s">
        <v>126</v>
      </c>
      <c r="E5" s="17">
        <f>4.4+5.8+5+9</f>
        <v>24.2</v>
      </c>
      <c r="F5" s="18"/>
      <c r="G5" s="18"/>
      <c r="H5" s="17"/>
      <c r="I5" s="28"/>
      <c r="J5" s="29"/>
      <c r="K5" s="30">
        <v>30</v>
      </c>
      <c r="L5" s="30">
        <f t="shared" si="0"/>
        <v>726</v>
      </c>
      <c r="M5" s="31" t="s">
        <v>149</v>
      </c>
    </row>
    <row r="6" s="2" customFormat="1" ht="33.75" spans="1:13">
      <c r="A6" s="14">
        <v>3</v>
      </c>
      <c r="B6" s="14" t="s">
        <v>147</v>
      </c>
      <c r="C6" s="15" t="s">
        <v>151</v>
      </c>
      <c r="D6" s="16" t="s">
        <v>126</v>
      </c>
      <c r="E6" s="17">
        <v>4</v>
      </c>
      <c r="F6" s="19"/>
      <c r="G6" s="19"/>
      <c r="H6" s="17"/>
      <c r="I6" s="28"/>
      <c r="J6" s="29"/>
      <c r="K6" s="30">
        <v>14.54</v>
      </c>
      <c r="L6" s="30">
        <f t="shared" si="0"/>
        <v>58.16</v>
      </c>
      <c r="M6" s="31" t="s">
        <v>127</v>
      </c>
    </row>
    <row r="7" s="2" customFormat="1" ht="33.75" spans="1:13">
      <c r="A7" s="14">
        <v>4</v>
      </c>
      <c r="B7" s="14" t="s">
        <v>147</v>
      </c>
      <c r="C7" s="15" t="s">
        <v>152</v>
      </c>
      <c r="D7" s="16" t="s">
        <v>126</v>
      </c>
      <c r="E7" s="17">
        <f>6.5+6.5</f>
        <v>13</v>
      </c>
      <c r="F7" s="19"/>
      <c r="G7" s="19"/>
      <c r="H7" s="17"/>
      <c r="I7" s="28"/>
      <c r="J7" s="29"/>
      <c r="K7" s="30">
        <f>36.65+20</f>
        <v>56.65</v>
      </c>
      <c r="L7" s="30">
        <f t="shared" si="0"/>
        <v>736.45</v>
      </c>
      <c r="M7" s="31" t="s">
        <v>127</v>
      </c>
    </row>
    <row r="8" s="2" customFormat="1" ht="33.75" spans="1:13">
      <c r="A8" s="14">
        <v>5</v>
      </c>
      <c r="B8" s="20" t="s">
        <v>139</v>
      </c>
      <c r="C8" s="16" t="s">
        <v>140</v>
      </c>
      <c r="D8" s="16" t="s">
        <v>122</v>
      </c>
      <c r="E8" s="17">
        <f>(13.5+24.2+4+13)*0.7*0.6</f>
        <v>22.97</v>
      </c>
      <c r="F8" s="21">
        <v>3</v>
      </c>
      <c r="G8" s="22"/>
      <c r="H8" s="17">
        <v>20</v>
      </c>
      <c r="I8" s="28">
        <v>2.76</v>
      </c>
      <c r="J8" s="32">
        <v>0.77</v>
      </c>
      <c r="K8" s="30">
        <f>F8+G8+H8+I8+J8</f>
        <v>26.53</v>
      </c>
      <c r="L8" s="30">
        <f t="shared" si="0"/>
        <v>609.39</v>
      </c>
      <c r="M8" s="31"/>
    </row>
    <row r="9" s="2" customFormat="1" ht="40" customHeight="1" spans="1:13">
      <c r="A9" s="14">
        <v>6</v>
      </c>
      <c r="B9" s="20" t="s">
        <v>153</v>
      </c>
      <c r="C9" s="16" t="s">
        <v>154</v>
      </c>
      <c r="D9" s="16" t="s">
        <v>122</v>
      </c>
      <c r="E9" s="17">
        <f>(13.5+24.2+4+13)*0.7*0.6</f>
        <v>22.97</v>
      </c>
      <c r="F9" s="21">
        <v>3</v>
      </c>
      <c r="G9" s="22"/>
      <c r="H9" s="17">
        <v>20</v>
      </c>
      <c r="I9" s="28">
        <v>2.76</v>
      </c>
      <c r="J9" s="32">
        <v>0.77</v>
      </c>
      <c r="K9" s="30">
        <f>F9+G9+H9+I9+J9</f>
        <v>26.53</v>
      </c>
      <c r="L9" s="30">
        <f t="shared" si="0"/>
        <v>609.39</v>
      </c>
      <c r="M9" s="31"/>
    </row>
    <row r="10" s="2" customFormat="1" ht="19" customHeight="1" spans="1:13">
      <c r="A10" s="23" t="s">
        <v>48</v>
      </c>
      <c r="B10" s="23"/>
      <c r="C10" s="23"/>
      <c r="D10" s="23"/>
      <c r="E10" s="23"/>
      <c r="F10" s="23"/>
      <c r="G10" s="23"/>
      <c r="H10" s="17"/>
      <c r="I10" s="33"/>
      <c r="J10" s="34"/>
      <c r="K10" s="35"/>
      <c r="L10" s="30">
        <f>SUM(L4:L9)</f>
        <v>3076.89</v>
      </c>
      <c r="M10" s="36"/>
    </row>
    <row r="11" s="2" customFormat="1" spans="11:11">
      <c r="K11" s="3"/>
    </row>
    <row r="12" s="2" customFormat="1" spans="11:11">
      <c r="K12" s="3"/>
    </row>
    <row r="13" s="2" customFormat="1" spans="11:11">
      <c r="K13" s="3"/>
    </row>
    <row r="14" s="2" customFormat="1" spans="11:11">
      <c r="K14" s="3"/>
    </row>
    <row r="15" s="2" customFormat="1" spans="11:11">
      <c r="K15" s="3"/>
    </row>
    <row r="16" s="2" customFormat="1" spans="11:11">
      <c r="K16" s="3"/>
    </row>
    <row r="17" s="2" customFormat="1" spans="5:11">
      <c r="E17" s="24"/>
      <c r="K17" s="3"/>
    </row>
    <row r="18" s="2" customFormat="1" spans="5:11">
      <c r="E18" s="24"/>
      <c r="K18" s="3"/>
    </row>
    <row r="19" s="2" customFormat="1" spans="5:11">
      <c r="E19" s="24"/>
      <c r="K19" s="3"/>
    </row>
  </sheetData>
  <mergeCells count="11">
    <mergeCell ref="A1:M1"/>
    <mergeCell ref="F2:J2"/>
    <mergeCell ref="A10:G10"/>
    <mergeCell ref="A2:A3"/>
    <mergeCell ref="B2:B3"/>
    <mergeCell ref="C2:C3"/>
    <mergeCell ref="D2:D3"/>
    <mergeCell ref="E2:E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K22" sqref="K22:K23"/>
    </sheetView>
  </sheetViews>
  <sheetFormatPr defaultColWidth="9" defaultRowHeight="14.25" outlineLevelCol="5"/>
  <cols>
    <col min="1" max="1" width="6.25" customWidth="1"/>
    <col min="2" max="2" width="16.375" customWidth="1"/>
    <col min="3" max="3" width="14.75" customWidth="1"/>
    <col min="7" max="7" width="7.5" customWidth="1"/>
    <col min="9" max="10" width="9.375"/>
    <col min="11" max="11" width="21.25" customWidth="1"/>
  </cols>
  <sheetData>
    <row r="1" ht="39" customHeight="1" spans="1:6">
      <c r="A1" s="1" t="s">
        <v>155</v>
      </c>
      <c r="B1" s="1"/>
      <c r="C1" s="1"/>
      <c r="D1" s="1"/>
      <c r="E1" s="1"/>
      <c r="F1" s="1"/>
    </row>
    <row r="2" spans="1:6">
      <c r="A2" t="s">
        <v>1</v>
      </c>
      <c r="B2" t="s">
        <v>45</v>
      </c>
      <c r="C2" t="s">
        <v>156</v>
      </c>
      <c r="D2" t="s">
        <v>157</v>
      </c>
      <c r="E2" t="s">
        <v>103</v>
      </c>
      <c r="F2" t="s">
        <v>6</v>
      </c>
    </row>
    <row r="3" spans="1:5">
      <c r="A3">
        <v>1</v>
      </c>
      <c r="B3" t="s">
        <v>158</v>
      </c>
      <c r="C3">
        <v>48</v>
      </c>
      <c r="D3">
        <f>(8.3+8.3+8.5+8.1)/4</f>
        <v>8.3</v>
      </c>
      <c r="E3">
        <f t="shared" ref="E3:E8" si="0">C3*D3</f>
        <v>398.4</v>
      </c>
    </row>
    <row r="4" spans="1:5">
      <c r="A4">
        <v>2</v>
      </c>
      <c r="B4" t="s">
        <v>159</v>
      </c>
      <c r="C4">
        <f>(64+64.5+63.1+64.4)/4</f>
        <v>64</v>
      </c>
      <c r="D4">
        <f>(47.2+48+47+46.6)/4</f>
        <v>47.2</v>
      </c>
      <c r="E4">
        <f t="shared" si="0"/>
        <v>3020.8</v>
      </c>
    </row>
    <row r="5" spans="1:5">
      <c r="A5">
        <v>3</v>
      </c>
      <c r="B5" t="s">
        <v>160</v>
      </c>
      <c r="C5">
        <v>25.6</v>
      </c>
      <c r="D5">
        <v>3.8</v>
      </c>
      <c r="E5">
        <f t="shared" si="0"/>
        <v>97.28</v>
      </c>
    </row>
    <row r="6" spans="1:5">
      <c r="A6">
        <v>4</v>
      </c>
      <c r="B6" t="s">
        <v>161</v>
      </c>
      <c r="C6">
        <f>(13.1+13+13.2+13.1)/4</f>
        <v>13.1</v>
      </c>
      <c r="D6">
        <v>22.1</v>
      </c>
      <c r="E6">
        <f t="shared" si="0"/>
        <v>289.51</v>
      </c>
    </row>
    <row r="7" spans="1:5">
      <c r="A7">
        <v>5</v>
      </c>
      <c r="B7" t="s">
        <v>162</v>
      </c>
      <c r="C7">
        <f>(10+17.5)/2</f>
        <v>13.75</v>
      </c>
      <c r="D7">
        <v>11</v>
      </c>
      <c r="E7">
        <f t="shared" si="0"/>
        <v>151.25</v>
      </c>
    </row>
    <row r="8" spans="1:5">
      <c r="A8">
        <v>6</v>
      </c>
      <c r="B8" t="s">
        <v>163</v>
      </c>
      <c r="C8">
        <f>(8+4.5)/2</f>
        <v>6.25</v>
      </c>
      <c r="D8">
        <v>13.4</v>
      </c>
      <c r="E8">
        <f t="shared" si="0"/>
        <v>83.75</v>
      </c>
    </row>
    <row r="9" spans="2:5">
      <c r="B9" t="s">
        <v>103</v>
      </c>
      <c r="E9">
        <f>SUM(E3:E8)</f>
        <v>4040.99</v>
      </c>
    </row>
    <row r="10" spans="2:2">
      <c r="B10" t="s">
        <v>164</v>
      </c>
    </row>
    <row r="11" spans="2:5">
      <c r="B11" t="s">
        <v>165</v>
      </c>
      <c r="C11">
        <v>11.3</v>
      </c>
      <c r="D11">
        <v>21</v>
      </c>
      <c r="E11">
        <f>C11*D11/2</f>
        <v>118.65</v>
      </c>
    </row>
    <row r="12" spans="2:5">
      <c r="B12" t="s">
        <v>166</v>
      </c>
      <c r="C12">
        <f>(7.8+19)/2</f>
        <v>13.4</v>
      </c>
      <c r="D12">
        <v>17</v>
      </c>
      <c r="E12">
        <f>C12*D12</f>
        <v>227.8</v>
      </c>
    </row>
    <row r="13" spans="5:5">
      <c r="E13">
        <f>SUM(E11:E12)</f>
        <v>346.45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9" defaultRowHeight="14.2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2资料存档目录</vt:lpstr>
      <vt:lpstr>3、结算汇总表</vt:lpstr>
      <vt:lpstr>4、各月结算汇总</vt:lpstr>
      <vt:lpstr>07单子计算明细</vt:lpstr>
      <vt:lpstr>09单子明细</vt:lpstr>
      <vt:lpstr>计算明细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2025-02-12T09:29:36Z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4EA3C307227743AA807097C2548033F0</vt:lpwstr>
  </property>
</Properties>
</file>