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610" windowHeight="11385" tabRatio="785" activeTab="1"/>
  </bookViews>
  <sheets>
    <sheet name="编制说明" sheetId="9" r:id="rId1"/>
    <sheet name="汇总标" sheetId="6" r:id="rId2"/>
    <sheet name="精装大堂" sheetId="3" r:id="rId3"/>
    <sheet name="一层大堂及地下入口-安装" sheetId="12" r:id="rId4"/>
    <sheet name="单元门头装饰" sheetId="5" r:id="rId5"/>
    <sheet name="公共区域装修" sheetId="7" r:id="rId6"/>
    <sheet name="下客区部门（硬质铺装）" sheetId="11" r:id="rId7"/>
    <sheet name="下客区（安装）" sheetId="13" r:id="rId8"/>
    <sheet name="答疑" sheetId="10" r:id="rId9"/>
    <sheet name="标准层及地下计算式" sheetId="1" r:id="rId10"/>
    <sheet name="门头石材铝板工程量计算式" sheetId="4" r:id="rId11"/>
    <sheet name="灯具" sheetId="14" r:id="rId12"/>
    <sheet name="Sheet1" sheetId="15" r:id="rId13"/>
  </sheets>
  <definedNames>
    <definedName name="_xlnm._FilterDatabase" localSheetId="2" hidden="1">精装大堂!$A$3:$S$142</definedName>
    <definedName name="_xlnm._FilterDatabase" localSheetId="3" hidden="1">'一层大堂及地下入口-安装'!$A$5:$O$177</definedName>
    <definedName name="_xlnm._FilterDatabase" localSheetId="4" hidden="1">单元门头装饰!$A$3:$M$68</definedName>
    <definedName name="_xlnm._FilterDatabase" localSheetId="5" hidden="1">公共区域装修!$A$4:$S$19</definedName>
    <definedName name="_xlnm._FilterDatabase" localSheetId="6" hidden="1">'下客区部门（硬质铺装）'!$A$3:$S$132</definedName>
    <definedName name="_xlnm._FilterDatabase" localSheetId="7" hidden="1">'下客区（安装）'!$A$5:$R$116</definedName>
    <definedName name="_xlnm._FilterDatabase" localSheetId="9" hidden="1">标准层及地下计算式!$A$2:$J$242</definedName>
    <definedName name="_xlnm._FilterDatabase" localSheetId="10" hidden="1">门头石材铝板工程量计算式!$A$2:$E$13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<sst xmlns="http://schemas.openxmlformats.org/spreadsheetml/2006/main" count="3153" uniqueCount="431">
  <si>
    <t>工程量清单报价说明</t>
  </si>
  <si>
    <t>一、工程概况:</t>
  </si>
  <si>
    <t>工程概况:</t>
  </si>
  <si>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</si>
  <si>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</si>
  <si>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</si>
  <si>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洛阳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</si>
  <si>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</si>
  <si>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</si>
  <si>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</si>
  <si>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</si>
  <si>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工程量等投标人如确认有明显错误或漏项时需在投标答疑时以书面形式提出，经招标人确认书面回复后统一调整；若无异议，本次工程量清单无论是否存在缺项、漏项、工程量偏差，均视为乙方已综合考虑在固定合同总价内，结算时均不调整。</t>
  </si>
  <si>
    <t>投标人填报的综合单价包含人工费、材料费、机械费、管理费、利润、规费、措施费、风险、增值税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</si>
  <si>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</si>
  <si>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</si>
  <si>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工程量计算依据本次提供招标图纸</t>
  </si>
  <si>
    <t>公区装修中踏步计算规则按照水平投影面积计算</t>
  </si>
  <si>
    <t>四、其他计价说明</t>
  </si>
  <si>
    <t xml:space="preserve">精装修安装施工范围：施工图纸范围内所包含的地上地下大堂、下客区灯具、开关及电气配管配线、配线按图引至指定配电箱等安装及调试工程；与机电工程划分：不含应急照明，装修单位配合应急照明开孔，消防负责配管配线及安装灯具。
</t>
  </si>
  <si>
    <t>图纸中所包含的大堂门头、地上地下大堂、下客区及公区墙面、地面、楼梯踏步砖、天花的装饰、电梯门套、墙砖地砖同色美逢等装饰工程；与土建工程划分：地上11层的28#楼顶棚乳胶漆由总包施工，其他楼栋的电梯前室顶棚乳胶漆含在本次招标范围内，楼梯间的墙及顶棚乳胶漆由总包施工。电梯前室消防管道包管及消防箱体内嵌由装修单位负责施工。</t>
  </si>
  <si>
    <t>不含软装；不含应急照明，装修单位配合应急照明开孔，消防负责配管配线及安装灯具。</t>
  </si>
  <si>
    <t>以下内容为空白。</t>
  </si>
  <si>
    <t>栾川山水文苑s地块28-31#、36-50#楼大堂、 门头、公区精装施工工程造价汇总表（单位：元）</t>
  </si>
  <si>
    <t>序 号</t>
  </si>
  <si>
    <t>项目名称</t>
  </si>
  <si>
    <t>单位</t>
  </si>
  <si>
    <t>单元数量</t>
  </si>
  <si>
    <t>金额 
(元)</t>
  </si>
  <si>
    <t>合计</t>
  </si>
  <si>
    <t>备注</t>
  </si>
  <si>
    <t>一</t>
  </si>
  <si>
    <t>精装大堂部分</t>
  </si>
  <si>
    <t>个</t>
  </si>
  <si>
    <t>二</t>
  </si>
  <si>
    <t>精装大堂（安装部分）</t>
  </si>
  <si>
    <t>三</t>
  </si>
  <si>
    <t>门头部分</t>
  </si>
  <si>
    <t>四</t>
  </si>
  <si>
    <t>公共区域精装修</t>
  </si>
  <si>
    <t>项</t>
  </si>
  <si>
    <t>五</t>
  </si>
  <si>
    <t>下客区</t>
  </si>
  <si>
    <t>六</t>
  </si>
  <si>
    <t>下客区（安装）</t>
  </si>
  <si>
    <t>合计(元)</t>
  </si>
  <si>
    <t>一层精装大堂装修工程-装饰</t>
  </si>
  <si>
    <t>序号</t>
  </si>
  <si>
    <t>工程项目名称</t>
  </si>
  <si>
    <t>工程内容</t>
  </si>
  <si>
    <t>工程量
g</t>
  </si>
  <si>
    <t>其中：各子项构成（元）</t>
  </si>
  <si>
    <t>含税综合单价(元)
f=(a+b+c+d+e)</t>
  </si>
  <si>
    <t>合价(元)=g*f</t>
  </si>
  <si>
    <t>人工费
a</t>
  </si>
  <si>
    <t>主材费
b</t>
  </si>
  <si>
    <t>机械、辅材及其他c</t>
  </si>
  <si>
    <t>管理费及利润
d=(a+b+c)*费率</t>
  </si>
  <si>
    <t>税金
e=(a+b+c+d)*费率</t>
  </si>
  <si>
    <t>28#楼精装大堂硬质装修部分</t>
  </si>
  <si>
    <t>一个单元工程量清单，</t>
  </si>
  <si>
    <t>共2单元</t>
  </si>
  <si>
    <t>地面</t>
  </si>
  <si>
    <t xml:space="preserve">瓷砖地面 </t>
  </si>
  <si>
    <t>1、清理施工表面；
2、素水泥结合层一道                         
3、100-150mm1:3干硬性水泥砂浆结合层；
4、砖充分浸水                               
5、ct1瓷砖铺贴、1.0mm美缝处理,同砖色美缝。
6、满足施工规范及设计图纸要求；</t>
  </si>
  <si>
    <t>m2</t>
  </si>
  <si>
    <t>含过门砖通铺、金意陶、合格产品</t>
  </si>
  <si>
    <t>墙面</t>
  </si>
  <si>
    <t>瓷砖墙面</t>
  </si>
  <si>
    <t>1. 面砖CT3,1.0mm美缝处理,同砖色美缝。
2. 4~5厚1∶1水泥砂浆加水重20%%%建筑胶(或配套专用胶粘剂)粘结层
3. 素水泥浆一道(用专用胶粘剂粘贴时无此道工序)
4. 详见施工图及节点详图TD-03/01图（含消防管子包管处理）；</t>
  </si>
  <si>
    <t xml:space="preserve"> 合格产品</t>
  </si>
  <si>
    <t>格栅造型</t>
  </si>
  <si>
    <t>1、金属格栅1.2mm厚造型
2、MT01金属收边</t>
  </si>
  <si>
    <t>楼梯侧面白色无机涂料</t>
  </si>
  <si>
    <t>基层清理；
2、满刮腻子两道、砂纸磨平；
3、白色无极涂料；
4、满足施工规范及设计图纸要求；
5、格栅造型后楼梯侧面</t>
  </si>
  <si>
    <t>镜面墙面</t>
  </si>
  <si>
    <t>1、18mm阻燃版基层
2、GL01银镜面层
3、MT01金属收边
4、详见施工图；</t>
  </si>
  <si>
    <t>MT01不锈钢腰线</t>
  </si>
  <si>
    <t>1、MT01不锈钢腰线 宽度20mm
2、详见施工图；</t>
  </si>
  <si>
    <t>m</t>
  </si>
  <si>
    <t>金属M01洞口门套</t>
  </si>
  <si>
    <t>1、金属M01洞口金属条收口 厚度1.2mm  宽度240mm
2、具体做法详见节点详图TD-03/04图及施工图。
3、部位：大堂</t>
  </si>
  <si>
    <t>单元门</t>
  </si>
  <si>
    <t>1、规格：DYM4832  4800*3200
2、材质：MT01不锈钢造型门框、8mm厚钢化玻璃
3、详见幕墙设计图</t>
  </si>
  <si>
    <t>电梯门套</t>
  </si>
  <si>
    <t>1、规格：1140*2500
2、材质：1.2mm厚MT-01金属
3、基层：18mm阻燃胶合板</t>
  </si>
  <si>
    <t>樘</t>
  </si>
  <si>
    <t>天花</t>
  </si>
  <si>
    <t>大堂吊顶</t>
  </si>
  <si>
    <t xml:space="preserve">
1.9.5厚纸面石膏板,用自攻螺丝固定间距 ≤200
2. U型轻钢龙骨横撑CB50*20中距800-1200
3. U型轻钢龙骨CB50*20中距400
4. 8号热镀锌低碳钢丝吊杆,中距横向800-1200,吊杆上部与预留钢筋连接
5、具体做法18mm阻燃胶合板+PT01无机涂料(9.5mm厚双层石膏板吊顶)
6、金属M01吊顶金属条收口 厚度1.2mm
7、具体做法详见节点详图TD-01/01图；
8、部位：大堂</t>
  </si>
  <si>
    <t>M2</t>
  </si>
  <si>
    <t>平吊天花</t>
  </si>
  <si>
    <t xml:space="preserve">
1.PT01无机涂料(9.5mm厚双层石膏板吊顶),用自攻螺丝固定间距 ≤200
2. U型轻钢龙骨横撑CB50*20中距800-1200
3. U型轻钢龙骨CB50*20中距400
4. 8号热镀锌低碳钢丝吊杆,中距横向800-1200,吊杆上部与预留钢筋连接
5、具体做法详见施工图</t>
  </si>
  <si>
    <t>白色无机涂料原顶</t>
  </si>
  <si>
    <t>基层清理；
2、满刮腻子两道、砂纸磨平；
3、白色无极涂料天棚；
4、满足施工规范及设计图纸要求；
5、侯梯厅</t>
  </si>
  <si>
    <t>04天花造型</t>
  </si>
  <si>
    <t>1、白色无机涂料
2、石膏板造型
3、18mm阻燃胶合板
4、具体做法详见节点详图TD-01/04图及施工图；
5、部位：侯梯厅</t>
  </si>
  <si>
    <t>小计</t>
  </si>
  <si>
    <t>元</t>
  </si>
  <si>
    <t>29#楼精装大堂硬质装修部分</t>
  </si>
  <si>
    <t>一个单元工程量清单</t>
  </si>
  <si>
    <t xml:space="preserve">  金意陶、合格产品  </t>
  </si>
  <si>
    <r>
      <rPr>
        <sz val="9"/>
        <rFont val="宋体"/>
        <charset val="134"/>
      </rPr>
      <t>1、规格：3500*3200
2、材质</t>
    </r>
    <r>
      <rPr>
        <sz val="9"/>
        <rFont val="宋体"/>
        <charset val="134"/>
      </rPr>
      <t>MT01</t>
    </r>
    <r>
      <rPr>
        <sz val="9"/>
        <rFont val="宋体"/>
        <charset val="134"/>
      </rPr>
      <t>不锈钢造型门框、8mm钢化玻璃
3、详见幕墙设计图</t>
    </r>
  </si>
  <si>
    <t>30#楼精装大堂硬质装修部分</t>
  </si>
  <si>
    <r>
      <rPr>
        <sz val="9"/>
        <rFont val="宋体"/>
        <charset val="134"/>
      </rPr>
      <t>1、规格：4300*3200、1440*2400
2、材质：</t>
    </r>
    <r>
      <rPr>
        <sz val="9"/>
        <rFont val="宋体"/>
        <charset val="134"/>
      </rPr>
      <t>MT01</t>
    </r>
    <r>
      <rPr>
        <sz val="9"/>
        <rFont val="宋体"/>
        <charset val="134"/>
      </rPr>
      <t>不锈钢造型门框、8mm厚钢化玻璃
3、详见幕墙设计图</t>
    </r>
  </si>
  <si>
    <t>基层清理；
2、满刮腻子两道、砂纸磨平；
3、白色无极涂料天棚；
4、满足施工规范及设计图纸要求；
5、部位、侯梯厅、走道</t>
  </si>
  <si>
    <t>1、白色无机涂料
2、石膏板造型
3、18mm阻燃胶合板
4、具体做法详见节点详图TD-01/04图及施工图；
5、部位：侯梯厅、侯梯厅</t>
  </si>
  <si>
    <t>31#楼精装大堂硬质装修部分</t>
  </si>
  <si>
    <r>
      <rPr>
        <sz val="9"/>
        <rFont val="宋体"/>
        <charset val="134"/>
      </rPr>
      <t>1、规格：1800*2550、1200*2550
2、材质：</t>
    </r>
    <r>
      <rPr>
        <sz val="9"/>
        <rFont val="宋体"/>
        <charset val="134"/>
      </rPr>
      <t>MT01</t>
    </r>
    <r>
      <rPr>
        <sz val="9"/>
        <rFont val="宋体"/>
        <charset val="134"/>
      </rPr>
      <t>不锈钢造型门框、8mm厚钢化玻璃
3、详见幕墙设计图</t>
    </r>
  </si>
  <si>
    <t xml:space="preserve">
1.PT01无机涂料(9.5mm厚双层石膏板吊顶),用自攻螺丝固定间距 ≤200
2. U型轻钢龙骨横撑CB50*20中距800-1200
3. U型轻钢龙骨CB50*20中距400
4. 8号热镀锌低碳钢丝吊杆,中距横向800-1200,吊杆上部与预留钢筋连接
5、标高2350mm，具体做法详见施工图</t>
  </si>
  <si>
    <t>基层清理；
2、满刮腻子两道、砂纸磨平；
3、白色无极涂料天棚；
4、满足施工规范及设计图纸要求；
5、楼梯板顶面、侯梯厅</t>
  </si>
  <si>
    <t>36#楼西单元、38#楼西单元精装大堂硬质装修部分、37#楼东西单元</t>
  </si>
  <si>
    <t>共4单元</t>
  </si>
  <si>
    <t xml:space="preserve">含楼梯下面里面墙、金意陶、合格产品  </t>
  </si>
  <si>
    <t>36#楼东单元、38#楼东单元精装大堂硬质装修部分、</t>
  </si>
  <si>
    <t>38#楼东单元共2单元</t>
  </si>
  <si>
    <t>七</t>
  </si>
  <si>
    <t>39#楼精装大堂硬质装修部分</t>
  </si>
  <si>
    <r>
      <rPr>
        <sz val="9"/>
        <rFont val="宋体"/>
        <charset val="134"/>
      </rPr>
      <t>1、规格：5500*5400
2、材质：</t>
    </r>
    <r>
      <rPr>
        <sz val="9"/>
        <rFont val="宋体"/>
        <charset val="134"/>
      </rPr>
      <t>MT01</t>
    </r>
    <r>
      <rPr>
        <sz val="9"/>
        <rFont val="宋体"/>
        <charset val="134"/>
      </rPr>
      <t>不锈钢造型门框、8mm厚钢化玻璃
3、详见幕墙设计图</t>
    </r>
  </si>
  <si>
    <t>八</t>
  </si>
  <si>
    <t>50#楼精装大堂硬质装修部分</t>
  </si>
  <si>
    <r>
      <rPr>
        <sz val="9"/>
        <rFont val="宋体"/>
        <charset val="134"/>
      </rPr>
      <t>1、规格：5550*5550
2、材质：</t>
    </r>
    <r>
      <rPr>
        <sz val="9"/>
        <rFont val="宋体"/>
        <charset val="134"/>
      </rPr>
      <t>MT01</t>
    </r>
    <r>
      <rPr>
        <sz val="9"/>
        <rFont val="宋体"/>
        <charset val="134"/>
      </rPr>
      <t>不锈钢造型门框、8mm厚钢化玻璃
3、详见幕墙设计图</t>
    </r>
  </si>
  <si>
    <t>价格清单（28-31#、36-50#楼一层大堂及车库入口精装工程-安装）</t>
  </si>
  <si>
    <t>含税综合单价
f=(a+b+c+d+e)</t>
  </si>
  <si>
    <t>备 注
（品牌/厂家）</t>
  </si>
  <si>
    <t>主材费</t>
  </si>
  <si>
    <t>其中主材单价</t>
  </si>
  <si>
    <t>其中主材损耗率</t>
  </si>
  <si>
    <t>b=x*（1+y）</t>
  </si>
  <si>
    <t>x</t>
  </si>
  <si>
    <t xml:space="preserve"> y</t>
  </si>
  <si>
    <t>%</t>
  </si>
  <si>
    <t>28#大堂及地下安装</t>
  </si>
  <si>
    <t>LED声光控吸顶灯</t>
  </si>
  <si>
    <t xml:space="preserve">1、名称:LED声光控吸顶灯
2、规格:,2.5W/LED自带电池
正常时12W
3、未详尽处满足图纸设计、相关规范要求                    </t>
  </si>
  <si>
    <t>装饰吊灯</t>
  </si>
  <si>
    <t xml:space="preserve">1、名称:装饰吊灯
2、规格:详见图纸要求
3、未详尽处满足图纸设计、相关规范要求                    </t>
  </si>
  <si>
    <t>室外防水壁灯</t>
  </si>
  <si>
    <t xml:space="preserve">1、名称:室外防水壁灯
2、规格:详见图纸要求
3、未详尽处满足图纸设计、相关规范要求                    </t>
  </si>
  <si>
    <t>射灯</t>
  </si>
  <si>
    <t xml:space="preserve">1、名称:射灯
2、规格:4000k
3、未详尽处满足图纸设计、相关规范要求                    </t>
  </si>
  <si>
    <t>雷士</t>
  </si>
  <si>
    <t>筒灯</t>
  </si>
  <si>
    <t xml:space="preserve">1、名称:筒灯
2、规格:4000k
3、未详尽处满足图纸设计、相关规范要求                    </t>
  </si>
  <si>
    <t>灯带</t>
  </si>
  <si>
    <t xml:space="preserve">1、名称:灯带
2、规格:4000k
3、未详尽处满足图纸设计、相关规范要求                    </t>
  </si>
  <si>
    <t>线性灯</t>
  </si>
  <si>
    <t xml:space="preserve">1、名称:线性灯（一层）
2、规格:详见图纸要求
3、未详尽处满足图纸设计、相关规范要求                    </t>
  </si>
  <si>
    <t>三联单控开关</t>
  </si>
  <si>
    <t xml:space="preserve">1、名称:三联单控开关
2、安装位置:底边距地1300mm
3、未详尽处满足图纸设计、相关规范要求                    </t>
  </si>
  <si>
    <t>双联单控开关</t>
  </si>
  <si>
    <t xml:space="preserve">1、名称:双联单控开关
2、安装位置:底边距地1300mm
3、未详尽处满足图纸设计、相关规范要求                    </t>
  </si>
  <si>
    <t>单项安全型二、三孔插座</t>
  </si>
  <si>
    <t xml:space="preserve">1、名称:单项安全型二、三孔插座
2、距地1.3m
3、未详尽处满足图纸设计、相关规范要求                    </t>
  </si>
  <si>
    <t>单网络插座</t>
  </si>
  <si>
    <t xml:space="preserve">1、名称:单网络插座
2、H=1300MM
3、未详尽处满足图纸设计、相关规范要求                    </t>
  </si>
  <si>
    <t>配管</t>
  </si>
  <si>
    <t xml:space="preserve">1、名称:配管
2、PC20
3、吊顶内敷设
4、未详尽处满足图纸设计、相关规范要求                    </t>
  </si>
  <si>
    <t xml:space="preserve">1、名称:配管
2、PC16
3、吊顶内敷设
4、未详尽处满足图纸设计、相关规范要求                    </t>
  </si>
  <si>
    <t>网线</t>
  </si>
  <si>
    <t xml:space="preserve">1、名称:网线
2、管内敷设
3、未详尽处满足图纸设计、相关规范要求                    </t>
  </si>
  <si>
    <t>电线</t>
  </si>
  <si>
    <t xml:space="preserve">1、名称:电线BV4
2、管内敷设
3、未详尽处满足图纸设计、相关规范要求                    </t>
  </si>
  <si>
    <t xml:space="preserve">1、名称:电线WDZ-BYJ2.5
2、管内敷设
3、未详尽处满足图纸设计、相关规范要求                    </t>
  </si>
  <si>
    <t>29#一层大堂安装</t>
  </si>
  <si>
    <t>30#大堂及地下安装</t>
  </si>
  <si>
    <t>单联单控开关</t>
  </si>
  <si>
    <t xml:space="preserve">1、名称:单联单控开关
2、安装位置:底边距地1300mm
3、未详尽处满足图纸设计、相关规范要求                    </t>
  </si>
  <si>
    <t>31#大堂及地下安装</t>
  </si>
  <si>
    <t>36、38#东单元大堂及地下安装</t>
  </si>
  <si>
    <t>东单元工程量清单</t>
  </si>
  <si>
    <t>36、38#西单元大堂及地下安装</t>
  </si>
  <si>
    <t>西单元工程量清单</t>
  </si>
  <si>
    <t>37#大堂及地下安装</t>
  </si>
  <si>
    <t>东、西单元工程量清单（一个单元）</t>
  </si>
  <si>
    <t>39#一层大堂及地下室安装</t>
  </si>
  <si>
    <t>应急照明筒灯(不常亮)</t>
  </si>
  <si>
    <t xml:space="preserve">1、名称:应急照明筒灯(不常亮)
2、规格:4000k
3、未详尽处满足图纸设计、相关规范要求                    </t>
  </si>
  <si>
    <t>九</t>
  </si>
  <si>
    <t>50#一层大堂及地下室安装</t>
  </si>
  <si>
    <t>东、西单元工程量清单</t>
  </si>
  <si>
    <t>单元门头装饰部分工程-装饰</t>
  </si>
  <si>
    <t>28#楼门头部分</t>
  </si>
  <si>
    <t>1单元工程量</t>
  </si>
  <si>
    <t>柱面石材</t>
  </si>
  <si>
    <t>1、25mm厚花岗岩（芝麻黑，冷色系石材）
2、M8x30不锈钢螺栓组
3、泡沫棒&amp;硅酮耐候密封胶
4、不锈钢石材挂件
5、钢架及预埋件等
6、其它满足规范和设计图纸要求</t>
  </si>
  <si>
    <t xml:space="preserve">A版、 合格产品  </t>
  </si>
  <si>
    <t>造型铝板</t>
  </si>
  <si>
    <t>1、2.5mm铝单板氟碳喷涂
2、门头立面造型部分
3、钢架及预埋件等
4、其它满足规范和设计图纸要求</t>
  </si>
  <si>
    <t>铝方管造型</t>
  </si>
  <si>
    <t>1、40*2铝方管(氟碳喷涂)@220mm布置
2、成品延长米</t>
  </si>
  <si>
    <t>铝方管造型回型纹</t>
  </si>
  <si>
    <t>1、20*2铝方管（氟碳漆喷刷）
2、其它满足规范和设计图纸要求</t>
  </si>
  <si>
    <t>1、20*2铝方管（氟碳漆喷刷） 规格242*880
2、其它满足规范和设计图纸要求 JD-14</t>
  </si>
  <si>
    <t>楼栋牌匾</t>
  </si>
  <si>
    <t>铝板+不锈钢成品加工+字体透光</t>
  </si>
  <si>
    <t>包含灯安装接线等</t>
  </si>
  <si>
    <t>29#楼门头部分</t>
  </si>
  <si>
    <t>1、25mm厚花岗岩（芝麻黑，冷色系石材，含石刻纹）
2、M8x30不锈钢螺栓组
3、泡沫棒&amp;硅酮耐候密封胶
4、不锈钢石材挂件
5、钢架及预埋件等
6、其它满足规范和设计图纸要求</t>
  </si>
  <si>
    <t xml:space="preserve">A版、合格产品  </t>
  </si>
  <si>
    <t>30#楼门头部分</t>
  </si>
  <si>
    <t>31#楼门头部分</t>
  </si>
  <si>
    <t>36#楼东单元、38#楼东单元门头部分</t>
  </si>
  <si>
    <t xml:space="preserve"> A版、合格产品  </t>
  </si>
  <si>
    <t>36#楼西单元、38#楼西单元、37#楼两单元门头部分</t>
  </si>
  <si>
    <t>39#楼两单元门头部分</t>
  </si>
  <si>
    <t xml:space="preserve">A版、合格产品 </t>
  </si>
  <si>
    <t>50#楼两单元门头部分</t>
  </si>
  <si>
    <t xml:space="preserve">A版、合格产品品  </t>
  </si>
  <si>
    <t>栾川山水文苑项目s7地块28-31#、36-50#楼公共区域装修工程量清单</t>
  </si>
  <si>
    <t>侯梯厅、前室、走廊</t>
  </si>
  <si>
    <t>1、清理施工表面；
2、素水泥结合层一道                           3、40-60厚1:3干硬性水泥砂浆结合层；
3、砖充分浸水                               
4、ct1瓷砖铺贴、留1mm分封，同色美缝剂美缝; 含部分楼栋坡道防滑刻痕。
6、满足施工规范及设计图纸要求；</t>
  </si>
  <si>
    <t xml:space="preserve"> 合格产品  、地砖通铺，取消过门石</t>
  </si>
  <si>
    <t>楼梯间</t>
  </si>
  <si>
    <t xml:space="preserve">楼梯平台地面 </t>
  </si>
  <si>
    <r>
      <rPr>
        <sz val="9"/>
        <rFont val="宋体"/>
        <charset val="134"/>
      </rPr>
      <t>1、清理施工表面；
2、素水泥结合层一道                           3、40-60厚1:3干硬性水泥砂浆结合层；
3、砖充分浸水                               
4、ct1瓷砖铺贴、留1mm分封，同色美缝剂美缝</t>
    </r>
    <r>
      <rPr>
        <sz val="9"/>
        <rFont val="宋体"/>
        <charset val="134"/>
      </rPr>
      <t>;</t>
    </r>
    <r>
      <rPr>
        <sz val="9"/>
        <rFont val="宋体"/>
        <charset val="134"/>
      </rPr>
      <t xml:space="preserve">
6、满足施工规范及设计图纸要求；</t>
    </r>
  </si>
  <si>
    <t xml:space="preserve"> 、合格产品  </t>
  </si>
  <si>
    <t>楼梯踏步地面</t>
  </si>
  <si>
    <r>
      <rPr>
        <sz val="9"/>
        <rFont val="宋体"/>
        <charset val="134"/>
      </rPr>
      <t xml:space="preserve">1、清理施工表面；
2、素水泥结合层一道                           3、40-60厚1:3干硬性水泥砂浆结合层；（含楼梯踏步侧面粉刷及楼梯底板边缘滴水线粉刷）
3、砖充分浸水                               
4、ct5瓷砖铺贴(开防滑槽)，同色美缝剂美缝;
</t>
    </r>
    <r>
      <rPr>
        <sz val="9"/>
        <color rgb="FFFF0000"/>
        <rFont val="宋体"/>
        <charset val="134"/>
      </rPr>
      <t>5、计算规则：按水平投影面积计算</t>
    </r>
    <r>
      <rPr>
        <sz val="9"/>
        <rFont val="宋体"/>
        <charset val="134"/>
      </rPr>
      <t xml:space="preserve">
6、满足施工规范及设计图纸要求；</t>
    </r>
  </si>
  <si>
    <t xml:space="preserve">金意陶、合格产品  </t>
  </si>
  <si>
    <t xml:space="preserve">楼梯踢脚线 </t>
  </si>
  <si>
    <t>1、清理施工表面；
2、素水泥结合层一道                           3、40-60厚1:3干硬性水泥砂浆结合层；
3、砖充分浸水                               
4、ct1瓷砖铺贴、留1mm分封，同色填料剂处理;
6、满足施工规范及设计图纸要求；</t>
  </si>
  <si>
    <t>取消</t>
  </si>
  <si>
    <t>1. 5~7厚面砖CT05,同色美缝剂美缝;
2. 4~5厚1∶1水泥砂浆加水重20%%%建筑胶(或配套专用胶粘剂)粘结层
3. 素水泥浆一道(用专用胶粘剂粘贴时无此道工序)
4、包含消防管包管、消防箱内嵌等工序
5. 详见施工图及节点详图TD-03/01图；</t>
  </si>
  <si>
    <r>
      <rPr>
        <sz val="9"/>
        <rFont val="宋体"/>
        <charset val="134"/>
      </rPr>
      <t>1、规格：1040*2350</t>
    </r>
    <r>
      <rPr>
        <sz val="9"/>
        <rFont val="宋体"/>
        <charset val="134"/>
      </rPr>
      <t>/2800</t>
    </r>
    <r>
      <rPr>
        <sz val="9"/>
        <rFont val="宋体"/>
        <charset val="134"/>
      </rPr>
      <t xml:space="preserve">
2、材质：1.2mm厚MT-01金属
3、基层：18mm阻燃胶合板</t>
    </r>
  </si>
  <si>
    <t>石膏线</t>
  </si>
  <si>
    <t>1、成品石膏线
2、部位：侯梯厅</t>
  </si>
  <si>
    <t>隐形集水坑盖板</t>
  </si>
  <si>
    <t>1、304钢盖板+地板砖
2、详见图纸及技术规范要求</t>
  </si>
  <si>
    <r>
      <rPr>
        <sz val="9"/>
        <rFont val="宋体"/>
        <charset val="134"/>
      </rPr>
      <t>m</t>
    </r>
    <r>
      <rPr>
        <sz val="9"/>
        <rFont val="宋体"/>
        <charset val="134"/>
      </rPr>
      <t>2</t>
    </r>
  </si>
  <si>
    <t>注：1.综合单价包括且不限于人工、材料、机械、措施、检验检测、规费、管理费、利润、税金(增值税专用发票)、赶工措施、安全防护、现场文明施工措施、风险等全部费用。
 2.本工程清单，无论是否存在缺项、漏项、工程量偏差，均视为乙方已综合考虑在固定合同总价内。</t>
  </si>
  <si>
    <t>栾川山水文苑项目s7地块28-31#、36-50#楼车库下客区域装修工程量清单</t>
  </si>
  <si>
    <t>28#楼下客区精装</t>
  </si>
  <si>
    <t>一个单元工程量</t>
  </si>
  <si>
    <t>铝板吊顶</t>
  </si>
  <si>
    <t>1、MT02铝板平顶，含周边侧面铝板。CH2500
2、含轻钢龙骨详见图纸
3、计算规则：铝板平面投影面积
4、满足施工规范及设计图纸要求；</t>
  </si>
  <si>
    <t>铝格栅吊顶</t>
  </si>
  <si>
    <t>1、MT02铝格栅40*8@100MM，含周边侧面铝板造型
2、含轻钢龙骨详见图纸
3、计算规则：铝格栅外轮廓平面投影面积
4、满足施工规范及设计图纸要求；</t>
  </si>
  <si>
    <r>
      <rPr>
        <sz val="11"/>
        <color theme="1"/>
        <rFont val="宋体"/>
        <charset val="134"/>
        <scheme val="minor"/>
      </rPr>
      <t>m</t>
    </r>
    <r>
      <rPr>
        <sz val="11"/>
        <color theme="1"/>
        <rFont val="宋体"/>
        <charset val="134"/>
        <scheme val="minor"/>
      </rPr>
      <t>2</t>
    </r>
  </si>
  <si>
    <t>地下单元门</t>
  </si>
  <si>
    <t>1、地弹门、玻璃及门框周边不锈钢造型等成活
2、材质：MT01不锈钢造型门框、8mm钢化玻璃
3、详见设计图及施工规范
4、计算规则：按门及周边框投影面积计算</t>
  </si>
  <si>
    <t>地下单元门头上不锈钢</t>
  </si>
  <si>
    <t>1、材质：MT01不锈钢造型及30*30*3镀锌方管钢架等成活
2、详见设计图及施工规范
3、计算规则：投影面积计算</t>
  </si>
  <si>
    <t>陶瓷大砖墙面</t>
  </si>
  <si>
    <t>1、CT1陶瓷大板砖、同色美缝剂美缝及不锈钢分割条
2、含钢架及基础等
3、详见设计图及施工规范
4、计算规则：投影面积计算</t>
  </si>
  <si>
    <t>不锈钢踢脚线</t>
  </si>
  <si>
    <t>1、材质：MT01不锈钢造等成活
3、详见设计图及施工规范
4、计算规则：延长米计算</t>
  </si>
  <si>
    <t>不锈钢造型墙</t>
  </si>
  <si>
    <t>1、材质：MT01不锈钢造、30*30*3镀锌方管钢架、10MM埃特板基层等成活
2、部位：发光字处造型墙
3、详见设计图及施工规范
4、计算规则：投影面积计算</t>
  </si>
  <si>
    <t>29#楼西单元下客区精装</t>
  </si>
  <si>
    <r>
      <rPr>
        <sz val="9"/>
        <rFont val="宋体"/>
        <charset val="134"/>
      </rPr>
      <t>1、地弹门、玻璃及门框周边不锈钢造型等成活
2、材质：MT01不锈钢造型门框</t>
    </r>
    <r>
      <rPr>
        <sz val="9"/>
        <rFont val="宋体"/>
        <charset val="134"/>
      </rPr>
      <t xml:space="preserve">、8mm钢化玻璃
3、详见设计图及施工规范
</t>
    </r>
    <r>
      <rPr>
        <sz val="9"/>
        <rFont val="宋体"/>
        <charset val="134"/>
      </rPr>
      <t>4、计算规则：按门及周边框投影面积计算</t>
    </r>
  </si>
  <si>
    <t>29#楼东单元下客区精装</t>
  </si>
  <si>
    <t>30#楼东单元下客区精装</t>
  </si>
  <si>
    <t>30#楼西单元下客区精装</t>
  </si>
  <si>
    <t>31#楼下客区精装</t>
  </si>
  <si>
    <t>36#楼西单元下客区精装</t>
  </si>
  <si>
    <t>36#楼东单元下客区精装</t>
  </si>
  <si>
    <t>37#楼西单元下客区精装</t>
  </si>
  <si>
    <t>十</t>
  </si>
  <si>
    <t>37#楼东单元下客区精装</t>
  </si>
  <si>
    <t>1、MT02铝格栅40*8@100MM，含周边侧面铝板造型
2含轻钢龙骨详见图纸
3、计算规则：铝格栅外轮廓平面投影面积
4、满足施工规范及设计图纸要求；</t>
  </si>
  <si>
    <t>十一</t>
  </si>
  <si>
    <t>38#楼西单元下客区精装</t>
  </si>
  <si>
    <t>十二</t>
  </si>
  <si>
    <t>38#楼东单元下客区精装</t>
  </si>
  <si>
    <t>十三</t>
  </si>
  <si>
    <t>39#楼西单元下客区精装</t>
  </si>
  <si>
    <t>十四</t>
  </si>
  <si>
    <t>39#楼东单元下客区精装</t>
  </si>
  <si>
    <t>十五</t>
  </si>
  <si>
    <t>50#楼西单元下客区精装</t>
  </si>
  <si>
    <t>十六</t>
  </si>
  <si>
    <t>50#楼东单元下客区精装</t>
  </si>
  <si>
    <t>价格清单（28-31#、36-50#楼下客区精装工程-安装）</t>
  </si>
  <si>
    <t>28#落客区安装</t>
  </si>
  <si>
    <t>LED-软灯带</t>
  </si>
  <si>
    <t xml:space="preserve">1、名称:LED-软灯带
2、规格:功率：5W/M
色温：4000K，详见灯具表
3、未详尽处满足图纸设计、相关规范要求                    </t>
  </si>
  <si>
    <t>米</t>
  </si>
  <si>
    <t>LED筒灯</t>
  </si>
  <si>
    <t xml:space="preserve">1、名称:装饰吊灯
2、规格:NLED9314AIR（红外感应款）；NLED9204(普通款)功率：10/8W色温：4000K
开孔尺寸：φ110/100mm，详见灯具表
3、未详尽处满足图纸设计、相关规范要求                    </t>
  </si>
  <si>
    <t>定制顶面灯条</t>
  </si>
  <si>
    <t xml:space="preserve">1、名称:落客区定制顶面灯条
2、规格:9.6W/米 色温4000K ，详见灯具表
3、未详尽处满足图纸设计、相关规范要求                    </t>
  </si>
  <si>
    <t>墙面发光字</t>
  </si>
  <si>
    <t xml:space="preserve">1、名称:墙面发光字
2、规格:4000k
3、未详尽处满足图纸设计、相关规范要求                    </t>
  </si>
  <si>
    <t>套</t>
  </si>
  <si>
    <t>29##落客区安装</t>
  </si>
  <si>
    <t>30##落客区安装</t>
  </si>
  <si>
    <t>31##落客区安装</t>
  </si>
  <si>
    <t>36#东单元落客区安装</t>
  </si>
  <si>
    <t>36#西单元落客区安装</t>
  </si>
  <si>
    <t>37#西单元落客区安装</t>
  </si>
  <si>
    <t>37#东单元落客区安装</t>
  </si>
  <si>
    <t>38#西单元落客区安装</t>
  </si>
  <si>
    <t>38#东单元落客区安装</t>
  </si>
  <si>
    <t>39#西单元落客区安装</t>
  </si>
  <si>
    <t>39#东单元落客区安装</t>
  </si>
  <si>
    <t>50#西单元落客区安装</t>
  </si>
  <si>
    <t>50#东单元落客区安装</t>
  </si>
  <si>
    <t>答疑及回复</t>
  </si>
  <si>
    <t>问题描述</t>
  </si>
  <si>
    <t>回复</t>
  </si>
  <si>
    <t>材料表中金属MT-01、MT-02厚度均为1.2mm厚，是否可以调整</t>
  </si>
  <si>
    <t>调整1.0mm厚，室内不锈钢均为201不锈钢，</t>
  </si>
  <si>
    <t>过门石建议通铺地砖取消过门石</t>
  </si>
  <si>
    <t>同意</t>
  </si>
  <si>
    <t>28#、30#、31#负一层吊顶是否取消，按照标准层做法施工</t>
  </si>
  <si>
    <t>是，按照标准层做法施工</t>
  </si>
  <si>
    <t>29#楼地下大堂东单元需要重新出图，招标暂时按29#西单元计算</t>
  </si>
  <si>
    <t>可以</t>
  </si>
  <si>
    <t>50#地下室未出图，暂时参照37#楼地下室计算</t>
  </si>
  <si>
    <t>各楼公共区域普通照明回路电源均就近引至电井内的公区照明箱或就近回路接入，下客区照明电源按照图纸说明接入</t>
  </si>
  <si>
    <t>36V应急照明及疏散照明部分不在本次招标范围</t>
  </si>
  <si>
    <t>是</t>
  </si>
  <si>
    <r>
      <rPr>
        <b/>
        <sz val="12"/>
        <color theme="1"/>
        <rFont val="宋体"/>
        <charset val="134"/>
        <scheme val="minor"/>
      </rPr>
      <t>山水文苑S7地块28-</t>
    </r>
    <r>
      <rPr>
        <b/>
        <sz val="12"/>
        <color theme="1"/>
        <rFont val="宋体"/>
        <charset val="134"/>
        <scheme val="minor"/>
      </rPr>
      <t>50</t>
    </r>
    <r>
      <rPr>
        <b/>
        <sz val="12"/>
        <color theme="1"/>
        <rFont val="宋体"/>
        <charset val="134"/>
        <scheme val="minor"/>
      </rPr>
      <t>号楼公共区域装修</t>
    </r>
  </si>
  <si>
    <t>楼号</t>
  </si>
  <si>
    <t>地面、墙面</t>
  </si>
  <si>
    <t>部位</t>
  </si>
  <si>
    <t>规格</t>
  </si>
  <si>
    <t>面积</t>
  </si>
  <si>
    <t>层数</t>
  </si>
  <si>
    <t>单元数</t>
  </si>
  <si>
    <t>标准层</t>
  </si>
  <si>
    <t>地上部分</t>
  </si>
  <si>
    <t>28#</t>
  </si>
  <si>
    <t>楼梯平台</t>
  </si>
  <si>
    <t>CT1  800*800</t>
  </si>
  <si>
    <t>梯段</t>
  </si>
  <si>
    <t>CT5</t>
  </si>
  <si>
    <t>踢脚</t>
  </si>
  <si>
    <t xml:space="preserve">CT1 </t>
  </si>
  <si>
    <t>过门石</t>
  </si>
  <si>
    <t>CT2</t>
  </si>
  <si>
    <t>变更为ct1，工程量已包含在ct1</t>
  </si>
  <si>
    <t>金属线条收口</t>
  </si>
  <si>
    <t>原顶乳胶漆</t>
  </si>
  <si>
    <t>洋房乳胶漆在总包</t>
  </si>
  <si>
    <t>29#</t>
  </si>
  <si>
    <t>ct2过门石取消，工程量已包含在ct1</t>
  </si>
  <si>
    <t>楼梯门框内侧贴砖</t>
  </si>
  <si>
    <t>金属线条</t>
  </si>
  <si>
    <t>30#</t>
  </si>
  <si>
    <t>通铺，已包含在地面中</t>
  </si>
  <si>
    <t>31#</t>
  </si>
  <si>
    <t>36#东单元</t>
  </si>
  <si>
    <t>入户门下部砖已经包含</t>
  </si>
  <si>
    <t>含墙面包消防管</t>
  </si>
  <si>
    <t>36#西单元</t>
  </si>
  <si>
    <t>37#</t>
  </si>
  <si>
    <t>38#东单元</t>
  </si>
  <si>
    <t>38#西单元</t>
  </si>
  <si>
    <t>39#</t>
  </si>
  <si>
    <t>50#</t>
  </si>
  <si>
    <t>地下</t>
  </si>
  <si>
    <t>28#地下一层</t>
  </si>
  <si>
    <t>取消并入ct1中</t>
  </si>
  <si>
    <t>招标图不一致，需要调整图纸</t>
  </si>
  <si>
    <t>平顶改为原顶</t>
  </si>
  <si>
    <t>28#地下二层</t>
  </si>
  <si>
    <t>侯梯厅、前室、楼梯间地面</t>
  </si>
  <si>
    <t>石膏板吊顶乳胶漆</t>
  </si>
  <si>
    <r>
      <rPr>
        <sz val="10"/>
        <color theme="1"/>
        <rFont val="宋体"/>
        <charset val="134"/>
        <scheme val="minor"/>
      </rPr>
      <t>m</t>
    </r>
    <r>
      <rPr>
        <sz val="10"/>
        <color theme="1"/>
        <rFont val="宋体"/>
        <charset val="134"/>
        <scheme val="minor"/>
      </rPr>
      <t>2</t>
    </r>
  </si>
  <si>
    <r>
      <rPr>
        <sz val="10"/>
        <color theme="1"/>
        <rFont val="宋体"/>
        <charset val="134"/>
        <scheme val="minor"/>
      </rPr>
      <t>2</t>
    </r>
    <r>
      <rPr>
        <sz val="10"/>
        <color theme="1"/>
        <rFont val="宋体"/>
        <charset val="134"/>
        <scheme val="minor"/>
      </rPr>
      <t>.8m高</t>
    </r>
  </si>
  <si>
    <t>29#地下层</t>
  </si>
  <si>
    <t>含坡道刻痕</t>
  </si>
  <si>
    <r>
      <rPr>
        <sz val="10"/>
        <color theme="1"/>
        <rFont val="宋体"/>
        <charset val="134"/>
        <scheme val="minor"/>
      </rPr>
      <t>3</t>
    </r>
    <r>
      <rPr>
        <sz val="10"/>
        <color theme="1"/>
        <rFont val="宋体"/>
        <charset val="134"/>
        <scheme val="minor"/>
      </rPr>
      <t>0</t>
    </r>
    <r>
      <rPr>
        <sz val="10"/>
        <color theme="1"/>
        <rFont val="宋体"/>
        <charset val="134"/>
        <scheme val="minor"/>
      </rPr>
      <t>#地下一层</t>
    </r>
  </si>
  <si>
    <r>
      <rPr>
        <sz val="10"/>
        <color theme="1"/>
        <rFont val="宋体"/>
        <charset val="134"/>
        <scheme val="minor"/>
      </rPr>
      <t>30</t>
    </r>
    <r>
      <rPr>
        <sz val="10"/>
        <color theme="1"/>
        <rFont val="宋体"/>
        <charset val="134"/>
        <scheme val="minor"/>
      </rPr>
      <t>#地下二层西单元</t>
    </r>
  </si>
  <si>
    <t>隐形集水坑井盖</t>
  </si>
  <si>
    <t>不锈钢+地板</t>
  </si>
  <si>
    <r>
      <rPr>
        <sz val="10"/>
        <color theme="1"/>
        <rFont val="宋体"/>
        <charset val="134"/>
        <scheme val="minor"/>
      </rPr>
      <t>30</t>
    </r>
    <r>
      <rPr>
        <sz val="10"/>
        <color theme="1"/>
        <rFont val="宋体"/>
        <charset val="134"/>
        <scheme val="minor"/>
      </rPr>
      <t>#地下二层东单元</t>
    </r>
  </si>
  <si>
    <t>31#地下一层</t>
  </si>
  <si>
    <t>31#地下二层</t>
  </si>
  <si>
    <t>36#、38#楼地下一层东单元</t>
  </si>
  <si>
    <t>36#、38#楼地下一层西单元</t>
  </si>
  <si>
    <t>37#楼地下一层西单元</t>
  </si>
  <si>
    <t>37#楼地下一层东单元</t>
  </si>
  <si>
    <t>39#楼地下西单元一层</t>
  </si>
  <si>
    <t>39#楼地下东单元一层</t>
  </si>
  <si>
    <t>50#楼地下一层</t>
  </si>
  <si>
    <r>
      <rPr>
        <sz val="20"/>
        <rFont val="Arial"/>
        <charset val="134"/>
      </rPr>
      <t>28#</t>
    </r>
    <r>
      <rPr>
        <sz val="20"/>
        <rFont val="宋体"/>
        <charset val="134"/>
      </rPr>
      <t>楼门计算工程量</t>
    </r>
  </si>
  <si>
    <t>工程量</t>
  </si>
  <si>
    <r>
      <rPr>
        <sz val="10"/>
        <color rgb="FFFF0000"/>
        <rFont val="Arial"/>
        <charset val="134"/>
      </rPr>
      <t>1</t>
    </r>
    <r>
      <rPr>
        <sz val="10"/>
        <color rgb="FFFF0000"/>
        <rFont val="宋体"/>
        <charset val="134"/>
      </rPr>
      <t>、铝板平面</t>
    </r>
  </si>
  <si>
    <t>屋面下翻</t>
  </si>
  <si>
    <t>侧墙立面</t>
  </si>
  <si>
    <t>主体头与墙面交界处</t>
  </si>
  <si>
    <r>
      <rPr>
        <sz val="10"/>
        <rFont val="宋体"/>
        <charset val="134"/>
      </rPr>
      <t>柱子头部</t>
    </r>
    <r>
      <rPr>
        <sz val="10"/>
        <rFont val="Arial"/>
        <charset val="134"/>
      </rPr>
      <t xml:space="preserve"> </t>
    </r>
    <r>
      <rPr>
        <sz val="10"/>
        <rFont val="宋体"/>
        <charset val="134"/>
      </rPr>
      <t>三角部分（正、背面）</t>
    </r>
  </si>
  <si>
    <t>柱子头部 三角部分（侧面）</t>
  </si>
  <si>
    <t>柱子头上</t>
  </si>
  <si>
    <t>门头正面</t>
  </si>
  <si>
    <t>门边造型</t>
  </si>
  <si>
    <t>门头室内上翻</t>
  </si>
  <si>
    <t>灯带灯槽u</t>
  </si>
  <si>
    <r>
      <rPr>
        <sz val="20"/>
        <rFont val="Arial"/>
        <charset val="134"/>
      </rPr>
      <t>29#</t>
    </r>
    <r>
      <rPr>
        <sz val="20"/>
        <rFont val="宋体"/>
        <charset val="134"/>
      </rPr>
      <t>楼门计算工程量</t>
    </r>
  </si>
  <si>
    <r>
      <rPr>
        <sz val="20"/>
        <rFont val="Arial"/>
        <charset val="134"/>
      </rPr>
      <t>30#</t>
    </r>
    <r>
      <rPr>
        <sz val="20"/>
        <rFont val="宋体"/>
        <charset val="134"/>
      </rPr>
      <t>楼门计算工程量</t>
    </r>
  </si>
  <si>
    <r>
      <rPr>
        <sz val="20"/>
        <rFont val="Arial"/>
        <charset val="134"/>
      </rPr>
      <t>31#</t>
    </r>
    <r>
      <rPr>
        <sz val="20"/>
        <rFont val="宋体"/>
        <charset val="134"/>
      </rPr>
      <t>楼门计算工程量</t>
    </r>
  </si>
  <si>
    <r>
      <rPr>
        <sz val="20"/>
        <rFont val="Arial"/>
        <charset val="134"/>
      </rPr>
      <t>36#</t>
    </r>
    <r>
      <rPr>
        <sz val="20"/>
        <rFont val="宋体"/>
        <charset val="134"/>
      </rPr>
      <t>楼东单元、</t>
    </r>
    <r>
      <rPr>
        <sz val="20"/>
        <rFont val="Arial"/>
        <charset val="134"/>
      </rPr>
      <t>38#</t>
    </r>
    <r>
      <rPr>
        <sz val="20"/>
        <rFont val="宋体"/>
        <charset val="134"/>
      </rPr>
      <t>楼东单元门计算工程量</t>
    </r>
  </si>
  <si>
    <r>
      <rPr>
        <sz val="12"/>
        <rFont val="Arial"/>
        <charset val="134"/>
      </rPr>
      <t>36#</t>
    </r>
    <r>
      <rPr>
        <sz val="12"/>
        <rFont val="宋体"/>
        <charset val="134"/>
      </rPr>
      <t>楼西单元、</t>
    </r>
    <r>
      <rPr>
        <sz val="12"/>
        <rFont val="Arial"/>
        <charset val="134"/>
      </rPr>
      <t>38#</t>
    </r>
    <r>
      <rPr>
        <sz val="12"/>
        <rFont val="宋体"/>
        <charset val="134"/>
      </rPr>
      <t>楼西单元、</t>
    </r>
    <r>
      <rPr>
        <sz val="12"/>
        <rFont val="Arial"/>
        <charset val="134"/>
      </rPr>
      <t>37#</t>
    </r>
    <r>
      <rPr>
        <sz val="12"/>
        <rFont val="宋体"/>
        <charset val="134"/>
      </rPr>
      <t>楼两单元门计算工程量</t>
    </r>
  </si>
  <si>
    <r>
      <rPr>
        <sz val="12"/>
        <rFont val="Arial"/>
        <charset val="134"/>
      </rPr>
      <t>39#</t>
    </r>
    <r>
      <rPr>
        <sz val="12"/>
        <rFont val="宋体"/>
        <charset val="134"/>
      </rPr>
      <t>楼两单元门计算工程量</t>
    </r>
  </si>
  <si>
    <r>
      <rPr>
        <sz val="12"/>
        <rFont val="Arial"/>
        <charset val="134"/>
      </rPr>
      <t>50#</t>
    </r>
    <r>
      <rPr>
        <sz val="12"/>
        <rFont val="宋体"/>
        <charset val="134"/>
      </rPr>
      <t>楼两单元门计算工程量</t>
    </r>
  </si>
  <si>
    <t>材料表</t>
  </si>
  <si>
    <t>MATERIAL  TABLE</t>
  </si>
  <si>
    <t>项目名称
Project Name</t>
  </si>
  <si>
    <t>中浩德·山水文苑S7地块
公共区域装饰装修工程</t>
  </si>
  <si>
    <t>修订
Revision</t>
  </si>
  <si>
    <t>类型</t>
  </si>
  <si>
    <t>编号</t>
  </si>
  <si>
    <t>材料图片</t>
  </si>
  <si>
    <t>产品资料</t>
  </si>
  <si>
    <t>使用空间</t>
  </si>
  <si>
    <t>规范</t>
  </si>
  <si>
    <t>Types</t>
  </si>
  <si>
    <t>Number</t>
  </si>
  <si>
    <t>Pictures</t>
  </si>
  <si>
    <t>Product Materials</t>
  </si>
  <si>
    <t>Location</t>
  </si>
  <si>
    <t>Specification</t>
  </si>
  <si>
    <t>Remarks</t>
  </si>
  <si>
    <t>灯具</t>
  </si>
  <si>
    <t>LT-01</t>
  </si>
  <si>
    <t>LED射灯</t>
  </si>
  <si>
    <t xml:space="preserve">品牌：雷士型号：NLED5851A功率： 9W色温：4000K开孔尺寸：100*100mm</t>
  </si>
  <si>
    <t>LT-02</t>
  </si>
  <si>
    <t>LED灯带</t>
  </si>
  <si>
    <t xml:space="preserve">品牌：雷士（高压）
型号：LED-软灯带
功率：5W/M
色温：4000K
</t>
  </si>
  <si>
    <t>LT-03</t>
  </si>
  <si>
    <t xml:space="preserve">品牌：雷士
型号：NLED9314AIR（红外感应款）；
NLED9204(普通款)
功率：10/8W
色温：4000K
开孔尺寸：φ110/100mm
</t>
  </si>
  <si>
    <t>LT-04</t>
  </si>
  <si>
    <t>吸顶灯</t>
  </si>
  <si>
    <t>LED人体红外感应+光控2.5W/LED自带电池正常时12W</t>
  </si>
  <si>
    <t>LT-05</t>
  </si>
  <si>
    <t>落客区定制顶面灯条</t>
  </si>
  <si>
    <t>落客区天花</t>
  </si>
  <si>
    <t>9.6W/米 色温4000K</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</si>
</sst>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57">
    <font>
      <sz val="11"/>
      <color theme="1"/>
      <name val="宋体"/>
      <charset val="134"/>
      <scheme val="minor"/>
    </font>
    <font>
      <sz val="12"/>
      <name val="黑体"/>
      <charset val="134"/>
    </font>
    <font>
      <sz val="12"/>
      <name val="宋体"/>
      <charset val="134"/>
    </font>
    <font>
      <sz val="9"/>
      <name val="黑体"/>
      <charset val="134"/>
    </font>
    <font>
      <sz val="6.5"/>
      <name val="华文细黑"/>
      <charset val="134"/>
    </font>
    <font>
      <sz val="12"/>
      <name val="幼圆"/>
      <charset val="134"/>
    </font>
    <font>
      <b/>
      <sz val="15"/>
      <name val="黑体"/>
      <charset val="134"/>
    </font>
    <font>
      <b/>
      <sz val="12"/>
      <name val="黑体"/>
      <charset val="134"/>
    </font>
    <font>
      <sz val="8"/>
      <name val="华文细黑"/>
      <charset val="134"/>
    </font>
    <font>
      <b/>
      <sz val="9"/>
      <name val="黑体"/>
      <charset val="134"/>
    </font>
    <font>
      <sz val="20"/>
      <name val="Arial"/>
      <charset val="134"/>
    </font>
    <font>
      <sz val="10"/>
      <name val="宋体"/>
      <charset val="134"/>
    </font>
    <font>
      <sz val="10"/>
      <name val="Arial"/>
      <charset val="134"/>
    </font>
    <font>
      <sz val="10"/>
      <color rgb="FFFF0000"/>
      <name val="Arial"/>
      <charset val="134"/>
    </font>
    <font>
      <sz val="10"/>
      <color rgb="FFFF0000"/>
      <name val="宋体"/>
      <charset val="134"/>
    </font>
    <font>
      <sz val="12"/>
      <name val="Arial"/>
      <charset val="134"/>
    </font>
    <font>
      <sz val="10"/>
      <color theme="1"/>
      <name val="宋体"/>
      <charset val="134"/>
      <scheme val="minor"/>
    </font>
    <font>
      <b/>
      <sz val="12"/>
      <color theme="1"/>
      <name val="宋体"/>
      <charset val="134"/>
      <scheme val="minor"/>
    </font>
    <font>
      <sz val="9"/>
      <name val="宋体"/>
      <charset val="134"/>
    </font>
    <font>
      <sz val="10"/>
      <name val="宋体"/>
      <charset val="134"/>
      <scheme val="minor"/>
    </font>
    <font>
      <sz val="10"/>
      <color rgb="FFFF0000"/>
      <name val="宋体"/>
      <charset val="134"/>
      <scheme val="minor"/>
    </font>
    <font>
      <sz val="11"/>
      <name val="宋体"/>
      <charset val="134"/>
      <scheme val="minor"/>
    </font>
    <font>
      <sz val="8"/>
      <name val="宋体"/>
      <charset val="134"/>
      <scheme val="minor"/>
    </font>
    <font>
      <b/>
      <sz val="14"/>
      <name val="宋体"/>
      <charset val="134"/>
      <scheme val="minor"/>
    </font>
    <font>
      <sz val="8"/>
      <name val="宋体"/>
      <charset val="134"/>
    </font>
    <font>
      <b/>
      <sz val="18"/>
      <name val="宋体"/>
      <charset val="134"/>
    </font>
    <font>
      <sz val="11"/>
      <name val="宋体"/>
      <charset val="134"/>
    </font>
    <font>
      <sz val="9"/>
      <color rgb="FFFF0000"/>
      <name val="宋体"/>
      <charset val="134"/>
    </font>
    <font>
      <b/>
      <sz val="16"/>
      <name val="宋体"/>
      <charset val="134"/>
    </font>
    <font>
      <sz val="10"/>
      <color theme="1"/>
      <name val="微软雅黑"/>
      <charset val="134"/>
    </font>
    <font>
      <sz val="10"/>
      <name val="微软雅黑"/>
      <charset val="134"/>
    </font>
    <font>
      <b/>
      <sz val="16"/>
      <name val="楷体_GB2312"/>
      <charset val="134"/>
    </font>
    <font>
      <b/>
      <sz val="11"/>
      <name val="宋体"/>
      <charset val="134"/>
    </font>
    <font>
      <sz val="10.5"/>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9"/>
      <color theme="1"/>
      <name val="宋体"/>
      <charset val="134"/>
      <scheme val="minor"/>
    </font>
    <font>
      <sz val="20"/>
      <name val="宋体"/>
      <charset val="134"/>
    </font>
  </fonts>
  <fills count="4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9" tint="0.399975585192419"/>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indexed="9"/>
        <bgColor indexed="1"/>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hair">
        <color auto="1"/>
      </right>
      <top style="hair">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11" borderId="13"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4" applyNumberFormat="0" applyFill="0" applyAlignment="0" applyProtection="0">
      <alignment vertical="center"/>
    </xf>
    <xf numFmtId="0" fontId="40" fillId="0" borderId="14" applyNumberFormat="0" applyFill="0" applyAlignment="0" applyProtection="0">
      <alignment vertical="center"/>
    </xf>
    <xf numFmtId="0" fontId="41" fillId="0" borderId="15" applyNumberFormat="0" applyFill="0" applyAlignment="0" applyProtection="0">
      <alignment vertical="center"/>
    </xf>
    <xf numFmtId="0" fontId="41" fillId="0" borderId="0" applyNumberFormat="0" applyFill="0" applyBorder="0" applyAlignment="0" applyProtection="0">
      <alignment vertical="center"/>
    </xf>
    <xf numFmtId="0" fontId="42" fillId="12" borderId="16" applyNumberFormat="0" applyAlignment="0" applyProtection="0">
      <alignment vertical="center"/>
    </xf>
    <xf numFmtId="0" fontId="43" fillId="13" borderId="17" applyNumberFormat="0" applyAlignment="0" applyProtection="0">
      <alignment vertical="center"/>
    </xf>
    <xf numFmtId="0" fontId="44" fillId="13" borderId="16" applyNumberFormat="0" applyAlignment="0" applyProtection="0">
      <alignment vertical="center"/>
    </xf>
    <xf numFmtId="0" fontId="45" fillId="14" borderId="18" applyNumberFormat="0" applyAlignment="0" applyProtection="0">
      <alignment vertical="center"/>
    </xf>
    <xf numFmtId="0" fontId="46" fillId="0" borderId="19" applyNumberFormat="0" applyFill="0" applyAlignment="0" applyProtection="0">
      <alignment vertical="center"/>
    </xf>
    <xf numFmtId="0" fontId="47" fillId="0" borderId="20" applyNumberFormat="0" applyFill="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1" fillId="10"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51" fillId="37" borderId="0" applyNumberFormat="0" applyBorder="0" applyAlignment="0" applyProtection="0">
      <alignment vertical="center"/>
    </xf>
    <xf numFmtId="0" fontId="52" fillId="38" borderId="0" applyNumberFormat="0" applyBorder="0" applyAlignment="0" applyProtection="0">
      <alignment vertical="center"/>
    </xf>
    <xf numFmtId="0" fontId="52" fillId="39" borderId="0" applyNumberFormat="0" applyBorder="0" applyAlignment="0" applyProtection="0">
      <alignment vertical="center"/>
    </xf>
    <xf numFmtId="0" fontId="51" fillId="5" borderId="0" applyNumberFormat="0" applyBorder="0" applyAlignment="0" applyProtection="0">
      <alignment vertical="center"/>
    </xf>
    <xf numFmtId="0" fontId="53" fillId="0" borderId="0" applyProtection="0">
      <alignment vertical="center"/>
    </xf>
    <xf numFmtId="0" fontId="2" fillId="0" borderId="0">
      <alignment vertical="center"/>
    </xf>
    <xf numFmtId="0" fontId="2" fillId="0" borderId="0">
      <alignment vertical="center"/>
    </xf>
    <xf numFmtId="176" fontId="53" fillId="0" borderId="1">
      <alignment horizontal="right" vertical="center" wrapText="1"/>
    </xf>
    <xf numFmtId="176" fontId="53" fillId="0" borderId="1">
      <alignment horizontal="right" vertical="center" wrapText="1"/>
    </xf>
    <xf numFmtId="0" fontId="54" fillId="0" borderId="0">
      <alignment vertical="center"/>
    </xf>
    <xf numFmtId="0" fontId="2" fillId="0" borderId="0"/>
    <xf numFmtId="0" fontId="0" fillId="0" borderId="0">
      <alignment vertical="center"/>
    </xf>
    <xf numFmtId="0" fontId="5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55" fillId="0" borderId="0"/>
  </cellStyleXfs>
  <cellXfs count="239">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xf>
    <xf numFmtId="0" fontId="4" fillId="0" borderId="0" xfId="0" applyFont="1" applyFill="1" applyBorder="1" applyAlignment="1">
      <alignment horizontal="center" vertical="top"/>
    </xf>
    <xf numFmtId="0" fontId="5" fillId="0" borderId="0" xfId="0" applyFont="1" applyFill="1" applyBorder="1" applyAlignment="1"/>
    <xf numFmtId="0" fontId="6"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1" fillId="0" borderId="2" xfId="0" applyNumberFormat="1" applyFont="1" applyFill="1" applyBorder="1" applyAlignment="1"/>
    <xf numFmtId="0" fontId="8" fillId="0" borderId="1" xfId="0" applyNumberFormat="1" applyFont="1" applyFill="1" applyBorder="1" applyAlignment="1">
      <alignment horizontal="center" vertical="center"/>
    </xf>
    <xf numFmtId="0" fontId="2" fillId="0" borderId="0" xfId="0" applyNumberFormat="1" applyFont="1" applyFill="1" applyBorder="1" applyAlignment="1"/>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4"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5" fillId="0" borderId="1" xfId="0" applyFont="1" applyFill="1" applyBorder="1" applyAlignment="1"/>
    <xf numFmtId="0" fontId="3" fillId="0" borderId="5"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0" fillId="0" borderId="0" xfId="0" applyAlignment="1">
      <alignment horizontal="center" vertical="center"/>
    </xf>
    <xf numFmtId="0" fontId="10" fillId="0" borderId="0" xfId="0" applyFont="1" applyFill="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xf>
    <xf numFmtId="0" fontId="13" fillId="0" borderId="1" xfId="0" applyFont="1" applyFill="1" applyBorder="1" applyAlignment="1"/>
    <xf numFmtId="0" fontId="13" fillId="0" borderId="1" xfId="0" applyFont="1" applyFill="1" applyBorder="1" applyAlignment="1">
      <alignment horizontal="center"/>
    </xf>
    <xf numFmtId="0" fontId="13" fillId="2" borderId="1" xfId="0" applyFont="1" applyFill="1" applyBorder="1" applyAlignment="1"/>
    <xf numFmtId="0" fontId="12" fillId="0" borderId="1" xfId="0" applyFont="1" applyFill="1" applyBorder="1" applyAlignment="1"/>
    <xf numFmtId="0" fontId="14" fillId="0" borderId="1" xfId="0" applyFont="1" applyFill="1" applyBorder="1" applyAlignment="1"/>
    <xf numFmtId="0" fontId="11" fillId="0" borderId="1" xfId="0" applyFont="1" applyFill="1" applyBorder="1" applyAlignment="1"/>
    <xf numFmtId="0" fontId="14" fillId="3" borderId="1" xfId="0" applyFont="1" applyFill="1" applyBorder="1" applyAlignment="1"/>
    <xf numFmtId="0" fontId="0" fillId="0" borderId="1" xfId="0" applyBorder="1">
      <alignment vertical="center"/>
    </xf>
    <xf numFmtId="0" fontId="0" fillId="0" borderId="1" xfId="0" applyBorder="1" applyAlignment="1">
      <alignment horizontal="center" vertical="center"/>
    </xf>
    <xf numFmtId="0" fontId="13" fillId="4" borderId="1" xfId="0" applyFont="1" applyFill="1" applyBorder="1" applyAlignment="1"/>
    <xf numFmtId="0" fontId="13" fillId="3" borderId="1" xfId="0" applyFont="1" applyFill="1" applyBorder="1" applyAlignment="1"/>
    <xf numFmtId="0" fontId="15" fillId="0" borderId="0" xfId="0" applyFont="1" applyFill="1" applyAlignment="1">
      <alignment horizontal="center" vertical="center"/>
    </xf>
    <xf numFmtId="176" fontId="13" fillId="3" borderId="1" xfId="0" applyNumberFormat="1" applyFont="1" applyFill="1" applyBorder="1" applyAlignment="1"/>
    <xf numFmtId="176" fontId="13" fillId="0" borderId="1" xfId="0" applyNumberFormat="1" applyFont="1" applyFill="1" applyBorder="1" applyAlignment="1"/>
    <xf numFmtId="0" fontId="16" fillId="0" borderId="0" xfId="0" applyFon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0" fontId="17"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5" borderId="1" xfId="0" applyFill="1" applyBorder="1" applyAlignment="1">
      <alignment horizontal="center" vertical="center" wrapText="1"/>
    </xf>
    <xf numFmtId="0" fontId="0" fillId="5" borderId="3" xfId="0" applyFill="1" applyBorder="1" applyAlignment="1">
      <alignment horizontal="center" vertical="center" wrapText="1"/>
    </xf>
    <xf numFmtId="0" fontId="16" fillId="0" borderId="1" xfId="0" applyFont="1" applyBorder="1" applyAlignment="1">
      <alignment horizontal="center" vertical="center" wrapText="1"/>
    </xf>
    <xf numFmtId="0" fontId="16" fillId="0" borderId="3" xfId="0" applyFont="1" applyBorder="1" applyAlignment="1">
      <alignment vertical="center" wrapText="1"/>
    </xf>
    <xf numFmtId="0" fontId="16" fillId="0" borderId="3" xfId="0" applyFont="1" applyBorder="1" applyAlignment="1">
      <alignment horizontal="center" vertical="center" wrapText="1"/>
    </xf>
    <xf numFmtId="0" fontId="16" fillId="0" borderId="1" xfId="0" applyFont="1" applyBorder="1" applyAlignment="1">
      <alignment horizontal="left" vertical="center" wrapText="1"/>
    </xf>
    <xf numFmtId="0" fontId="16" fillId="0" borderId="1" xfId="64" applyFont="1" applyFill="1" applyBorder="1" applyAlignment="1">
      <alignment horizontal="left" vertical="center" wrapText="1"/>
    </xf>
    <xf numFmtId="0" fontId="16" fillId="0" borderId="1" xfId="64" applyFont="1" applyFill="1" applyBorder="1" applyAlignment="1">
      <alignment horizontal="center" vertical="center" wrapText="1"/>
    </xf>
    <xf numFmtId="0" fontId="16" fillId="0" borderId="3" xfId="64" applyFont="1" applyFill="1" applyBorder="1" applyAlignment="1">
      <alignment vertical="center" wrapText="1"/>
    </xf>
    <xf numFmtId="0" fontId="16" fillId="0" borderId="3" xfId="64" applyFont="1" applyFill="1" applyBorder="1" applyAlignment="1">
      <alignment horizontal="center" vertical="center" wrapText="1"/>
    </xf>
    <xf numFmtId="176" fontId="18" fillId="0" borderId="1" xfId="64" applyNumberFormat="1" applyFont="1" applyFill="1" applyBorder="1" applyAlignment="1" applyProtection="1">
      <alignment horizontal="center" vertical="center" wrapText="1"/>
    </xf>
    <xf numFmtId="0" fontId="16" fillId="0" borderId="3" xfId="64" applyFont="1" applyFill="1" applyBorder="1" applyAlignment="1">
      <alignment horizontal="left" vertical="center" wrapText="1"/>
    </xf>
    <xf numFmtId="176" fontId="16" fillId="0" borderId="1" xfId="64" applyNumberFormat="1" applyFont="1" applyFill="1" applyBorder="1" applyAlignment="1">
      <alignment horizontal="center" vertical="center" wrapText="1"/>
    </xf>
    <xf numFmtId="0" fontId="19" fillId="0" borderId="1" xfId="64" applyFont="1" applyFill="1" applyBorder="1" applyAlignment="1">
      <alignment horizontal="center" vertical="center" wrapText="1"/>
    </xf>
    <xf numFmtId="0" fontId="19"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6" fillId="3"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176" fontId="16" fillId="3" borderId="1" xfId="0"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5" xfId="0" applyFont="1" applyFill="1" applyBorder="1" applyAlignment="1">
      <alignment vertical="center" wrapText="1"/>
    </xf>
    <xf numFmtId="0" fontId="16" fillId="4" borderId="1" xfId="0" applyFont="1" applyFill="1" applyBorder="1" applyAlignment="1">
      <alignment horizontal="center" vertical="center" wrapText="1"/>
    </xf>
    <xf numFmtId="0" fontId="16" fillId="4" borderId="3" xfId="0" applyFont="1" applyFill="1" applyBorder="1" applyAlignment="1">
      <alignment vertical="center" wrapText="1"/>
    </xf>
    <xf numFmtId="0" fontId="16" fillId="4" borderId="3" xfId="0" applyFont="1" applyFill="1" applyBorder="1" applyAlignment="1">
      <alignment horizontal="center" vertical="center" wrapText="1"/>
    </xf>
    <xf numFmtId="0" fontId="16" fillId="4" borderId="1" xfId="0" applyFont="1" applyFill="1" applyBorder="1" applyAlignment="1">
      <alignment horizontal="left" vertical="center" wrapText="1"/>
    </xf>
    <xf numFmtId="0" fontId="16" fillId="3" borderId="0" xfId="0" applyFont="1" applyFill="1" applyAlignment="1">
      <alignment horizontal="center" vertical="center" wrapText="1"/>
    </xf>
    <xf numFmtId="0" fontId="16" fillId="7" borderId="1" xfId="0" applyFont="1" applyFill="1" applyBorder="1" applyAlignment="1">
      <alignment horizontal="left" vertical="center" wrapText="1"/>
    </xf>
    <xf numFmtId="0" fontId="0" fillId="0" borderId="0" xfId="0" applyAlignment="1">
      <alignment vertical="center" wrapText="1"/>
    </xf>
    <xf numFmtId="0" fontId="0" fillId="0" borderId="1" xfId="0" applyBorder="1" applyAlignment="1">
      <alignment vertical="center" wrapText="1"/>
    </xf>
    <xf numFmtId="0" fontId="21" fillId="0" borderId="0" xfId="0" applyFont="1" applyFill="1" applyAlignment="1">
      <alignment vertical="center"/>
    </xf>
    <xf numFmtId="0" fontId="2" fillId="0" borderId="0" xfId="0" applyFont="1" applyFill="1" applyAlignment="1">
      <alignment vertical="center"/>
    </xf>
    <xf numFmtId="0" fontId="21" fillId="0" borderId="0" xfId="0" applyFont="1" applyFill="1" applyAlignment="1">
      <alignment horizontal="left" vertical="center"/>
    </xf>
    <xf numFmtId="176" fontId="21" fillId="0" borderId="0" xfId="0" applyNumberFormat="1" applyFont="1" applyFill="1" applyAlignment="1">
      <alignment vertical="center"/>
    </xf>
    <xf numFmtId="0" fontId="22" fillId="0" borderId="0" xfId="0" applyFont="1" applyFill="1" applyAlignment="1">
      <alignment vertical="center"/>
    </xf>
    <xf numFmtId="176" fontId="23" fillId="0" borderId="0" xfId="0" applyNumberFormat="1" applyFont="1" applyFill="1" applyAlignment="1">
      <alignment horizontal="center" vertical="center" wrapText="1"/>
    </xf>
    <xf numFmtId="176" fontId="23" fillId="0" borderId="0" xfId="0" applyNumberFormat="1" applyFont="1" applyFill="1" applyAlignment="1">
      <alignment horizontal="left" vertical="center" wrapText="1"/>
    </xf>
    <xf numFmtId="0" fontId="18" fillId="0" borderId="6" xfId="0" applyNumberFormat="1" applyFont="1" applyFill="1" applyBorder="1" applyAlignment="1" applyProtection="1">
      <alignment horizontal="center" vertical="center" wrapText="1"/>
    </xf>
    <xf numFmtId="0" fontId="18" fillId="0" borderId="3" xfId="0" applyNumberFormat="1" applyFont="1" applyFill="1" applyBorder="1" applyAlignment="1" applyProtection="1">
      <alignment horizontal="left" vertical="center" wrapText="1"/>
    </xf>
    <xf numFmtId="0" fontId="18" fillId="0" borderId="3" xfId="0" applyNumberFormat="1" applyFont="1" applyFill="1" applyBorder="1" applyAlignment="1" applyProtection="1">
      <alignment horizontal="center" vertical="center" wrapText="1"/>
    </xf>
    <xf numFmtId="176" fontId="18" fillId="0" borderId="3" xfId="0" applyNumberFormat="1" applyFont="1" applyFill="1" applyBorder="1" applyAlignment="1" applyProtection="1">
      <alignment horizontal="center" vertical="center" wrapText="1"/>
    </xf>
    <xf numFmtId="176" fontId="18" fillId="0" borderId="7" xfId="0" applyNumberFormat="1" applyFont="1" applyFill="1" applyBorder="1" applyAlignment="1">
      <alignment horizontal="center" vertical="center" wrapText="1"/>
    </xf>
    <xf numFmtId="176" fontId="18" fillId="0" borderId="8" xfId="0" applyNumberFormat="1" applyFont="1" applyFill="1" applyBorder="1" applyAlignment="1">
      <alignment horizontal="center" vertical="center" wrapText="1"/>
    </xf>
    <xf numFmtId="0" fontId="18" fillId="0" borderId="9"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left" vertical="center" wrapText="1"/>
    </xf>
    <xf numFmtId="0" fontId="18" fillId="0" borderId="4" xfId="0" applyNumberFormat="1" applyFont="1" applyFill="1" applyBorder="1" applyAlignment="1" applyProtection="1">
      <alignment horizontal="center" vertical="center" wrapText="1"/>
    </xf>
    <xf numFmtId="176" fontId="18" fillId="0" borderId="4" xfId="0" applyNumberFormat="1" applyFont="1" applyFill="1" applyBorder="1" applyAlignment="1" applyProtection="1">
      <alignment horizontal="center" vertical="center" wrapText="1"/>
    </xf>
    <xf numFmtId="176" fontId="11" fillId="0" borderId="1" xfId="0" applyNumberFormat="1" applyFont="1" applyFill="1" applyBorder="1" applyAlignment="1">
      <alignment horizontal="center" vertical="center" wrapText="1"/>
    </xf>
    <xf numFmtId="0" fontId="18" fillId="0" borderId="10" xfId="0" applyNumberFormat="1" applyFont="1" applyFill="1" applyBorder="1" applyAlignment="1" applyProtection="1">
      <alignment horizontal="center" vertical="center" wrapText="1"/>
    </xf>
    <xf numFmtId="0" fontId="18" fillId="0" borderId="5" xfId="0" applyNumberFormat="1" applyFont="1" applyFill="1" applyBorder="1" applyAlignment="1" applyProtection="1">
      <alignment horizontal="left" vertical="center" wrapText="1"/>
    </xf>
    <xf numFmtId="0" fontId="18" fillId="0" borderId="5" xfId="0" applyNumberFormat="1" applyFont="1" applyFill="1" applyBorder="1" applyAlignment="1" applyProtection="1">
      <alignment horizontal="center" vertical="center" wrapText="1"/>
    </xf>
    <xf numFmtId="176" fontId="18" fillId="0" borderId="5" xfId="0" applyNumberFormat="1" applyFont="1" applyFill="1" applyBorder="1" applyAlignment="1" applyProtection="1">
      <alignment horizontal="center" vertical="center" wrapText="1"/>
    </xf>
    <xf numFmtId="176" fontId="11" fillId="0" borderId="1" xfId="0" applyNumberFormat="1" applyFont="1" applyFill="1" applyBorder="1" applyAlignment="1">
      <alignment vertical="center" wrapText="1"/>
    </xf>
    <xf numFmtId="0" fontId="18"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left" vertical="center" wrapText="1"/>
    </xf>
    <xf numFmtId="176" fontId="18" fillId="0" borderId="1" xfId="0" applyNumberFormat="1" applyFont="1" applyFill="1" applyBorder="1" applyAlignment="1" applyProtection="1">
      <alignment horizontal="center" vertical="center" wrapText="1"/>
    </xf>
    <xf numFmtId="176" fontId="18"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19" fillId="0" borderId="11" xfId="0" applyFont="1" applyFill="1" applyBorder="1" applyAlignment="1">
      <alignment horizontal="left" vertical="center"/>
    </xf>
    <xf numFmtId="0" fontId="21" fillId="0"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176" fontId="21" fillId="0" borderId="1" xfId="0" applyNumberFormat="1" applyFont="1" applyFill="1" applyBorder="1" applyAlignment="1">
      <alignment vertical="center"/>
    </xf>
    <xf numFmtId="0" fontId="22" fillId="0" borderId="1" xfId="0" applyFont="1" applyFill="1" applyBorder="1" applyAlignment="1">
      <alignment vertical="center"/>
    </xf>
    <xf numFmtId="176" fontId="18" fillId="0" borderId="11" xfId="0" applyNumberFormat="1" applyFont="1" applyFill="1" applyBorder="1" applyAlignment="1">
      <alignment horizontal="center" vertical="center" wrapText="1"/>
    </xf>
    <xf numFmtId="176" fontId="18" fillId="0" borderId="3" xfId="0" applyNumberFormat="1" applyFont="1" applyFill="1" applyBorder="1" applyAlignment="1">
      <alignment horizontal="center" vertical="center" wrapText="1"/>
    </xf>
    <xf numFmtId="176" fontId="18" fillId="0" borderId="4" xfId="0" applyNumberFormat="1" applyFont="1" applyFill="1" applyBorder="1" applyAlignment="1">
      <alignment horizontal="center" vertical="center" wrapText="1"/>
    </xf>
    <xf numFmtId="176" fontId="18" fillId="0" borderId="5" xfId="0" applyNumberFormat="1"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xf>
    <xf numFmtId="9" fontId="19" fillId="0" borderId="1" xfId="0" applyNumberFormat="1" applyFont="1" applyFill="1" applyBorder="1" applyAlignment="1">
      <alignment horizontal="center" vertical="center" wrapText="1"/>
    </xf>
    <xf numFmtId="0" fontId="24" fillId="0" borderId="1" xfId="0" applyFont="1" applyFill="1" applyBorder="1" applyAlignment="1">
      <alignment vertical="center"/>
    </xf>
    <xf numFmtId="0" fontId="12" fillId="0" borderId="0" xfId="0" applyFont="1" applyFill="1" applyAlignment="1"/>
    <xf numFmtId="176" fontId="0" fillId="0" borderId="0" xfId="0" applyNumberFormat="1" applyAlignment="1">
      <alignment horizontal="center" vertical="center"/>
    </xf>
    <xf numFmtId="0" fontId="25" fillId="0" borderId="0" xfId="62" applyNumberFormat="1" applyFont="1" applyFill="1" applyBorder="1" applyAlignment="1" applyProtection="1">
      <alignment horizontal="center" vertical="center" wrapText="1"/>
    </xf>
    <xf numFmtId="0" fontId="25" fillId="0" borderId="0" xfId="62" applyNumberFormat="1" applyFont="1" applyFill="1" applyBorder="1" applyAlignment="1" applyProtection="1">
      <alignment horizontal="left" vertical="center" wrapText="1"/>
    </xf>
    <xf numFmtId="176" fontId="25" fillId="0" borderId="0" xfId="62" applyNumberFormat="1" applyFont="1" applyFill="1" applyBorder="1" applyAlignment="1" applyProtection="1">
      <alignment horizontal="center" vertical="center" wrapText="1"/>
    </xf>
    <xf numFmtId="0" fontId="18" fillId="0" borderId="1" xfId="62" applyNumberFormat="1" applyFont="1" applyFill="1" applyBorder="1" applyAlignment="1" applyProtection="1">
      <alignment horizontal="center" vertical="center" wrapText="1"/>
    </xf>
    <xf numFmtId="176" fontId="18" fillId="0" borderId="1" xfId="62" applyNumberFormat="1" applyFont="1" applyFill="1" applyBorder="1" applyAlignment="1" applyProtection="1">
      <alignment horizontal="center" vertical="center" wrapText="1"/>
    </xf>
    <xf numFmtId="176" fontId="18" fillId="0" borderId="1" xfId="62" applyNumberFormat="1" applyFont="1" applyFill="1" applyBorder="1" applyAlignment="1">
      <alignment horizontal="center" vertical="center" wrapText="1"/>
    </xf>
    <xf numFmtId="0" fontId="18" fillId="8" borderId="1" xfId="62" applyNumberFormat="1" applyFont="1" applyFill="1" applyBorder="1" applyAlignment="1" applyProtection="1">
      <alignment horizontal="center" vertical="center" wrapText="1"/>
    </xf>
    <xf numFmtId="0" fontId="18" fillId="0" borderId="1" xfId="62" applyNumberFormat="1" applyFont="1" applyFill="1" applyBorder="1" applyAlignment="1" applyProtection="1">
      <alignment horizontal="left" vertical="center" wrapText="1"/>
    </xf>
    <xf numFmtId="176" fontId="18" fillId="9" borderId="12" xfId="70" applyNumberFormat="1"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vertical="center" wrapText="1"/>
    </xf>
    <xf numFmtId="176" fontId="0" fillId="0" borderId="1" xfId="0" applyNumberFormat="1" applyBorder="1" applyAlignment="1">
      <alignment horizontal="center" vertical="center"/>
    </xf>
    <xf numFmtId="0" fontId="18" fillId="4" borderId="1" xfId="0" applyNumberFormat="1" applyFont="1" applyFill="1" applyBorder="1" applyAlignment="1" applyProtection="1">
      <alignment horizontal="center" vertical="center" wrapText="1"/>
    </xf>
    <xf numFmtId="0" fontId="18" fillId="4" borderId="1" xfId="0" applyNumberFormat="1" applyFont="1" applyFill="1" applyBorder="1" applyAlignment="1" applyProtection="1">
      <alignment horizontal="left" vertical="center" wrapText="1"/>
    </xf>
    <xf numFmtId="176" fontId="0" fillId="0" borderId="1" xfId="0" applyNumberFormat="1" applyFont="1" applyBorder="1" applyAlignment="1">
      <alignment horizontal="center" vertical="center"/>
    </xf>
    <xf numFmtId="0" fontId="0" fillId="0" borderId="1" xfId="0" applyFont="1" applyBorder="1">
      <alignment vertical="center"/>
    </xf>
    <xf numFmtId="0" fontId="18" fillId="4" borderId="1" xfId="62" applyNumberFormat="1" applyFont="1" applyFill="1" applyBorder="1" applyAlignment="1" applyProtection="1">
      <alignment horizontal="center" vertical="center" wrapText="1"/>
    </xf>
    <xf numFmtId="0" fontId="12" fillId="0" borderId="0" xfId="62" applyFont="1" applyFill="1" applyAlignment="1"/>
    <xf numFmtId="0" fontId="2" fillId="0" borderId="0" xfId="62" applyFont="1" applyFill="1" applyAlignment="1">
      <alignment vertical="center"/>
    </xf>
    <xf numFmtId="176" fontId="18" fillId="4" borderId="1" xfId="62" applyNumberFormat="1" applyFont="1" applyFill="1" applyBorder="1" applyAlignment="1">
      <alignment horizontal="center" vertical="center" wrapText="1"/>
    </xf>
    <xf numFmtId="0" fontId="0" fillId="0" borderId="0" xfId="62" applyFont="1" applyFill="1" applyAlignment="1">
      <alignment vertical="center"/>
    </xf>
    <xf numFmtId="0" fontId="26" fillId="0" borderId="0" xfId="62" applyFont="1" applyFill="1" applyAlignment="1">
      <alignment horizontal="center" vertical="center"/>
    </xf>
    <xf numFmtId="0" fontId="26" fillId="0" borderId="0" xfId="62" applyFont="1" applyFill="1" applyAlignment="1">
      <alignment vertical="center"/>
    </xf>
    <xf numFmtId="176" fontId="12" fillId="0" borderId="0" xfId="0" applyNumberFormat="1" applyFont="1" applyFill="1" applyAlignment="1"/>
    <xf numFmtId="176" fontId="25" fillId="0" borderId="0" xfId="62" applyNumberFormat="1" applyFont="1" applyFill="1" applyBorder="1" applyAlignment="1" applyProtection="1">
      <alignment horizontal="left" vertical="center" wrapText="1"/>
    </xf>
    <xf numFmtId="176" fontId="18" fillId="0" borderId="1" xfId="62" applyNumberFormat="1" applyFont="1" applyFill="1" applyBorder="1" applyAlignment="1" applyProtection="1">
      <alignment horizontal="left" vertical="center" wrapText="1"/>
    </xf>
    <xf numFmtId="176" fontId="18" fillId="9" borderId="12" xfId="70" applyNumberFormat="1" applyFont="1" applyFill="1" applyBorder="1" applyAlignment="1">
      <alignment horizontal="right" vertical="center" wrapText="1"/>
    </xf>
    <xf numFmtId="176" fontId="18" fillId="0" borderId="1" xfId="62" applyNumberFormat="1" applyFont="1" applyFill="1" applyBorder="1" applyAlignment="1">
      <alignment horizontal="center" vertical="center"/>
    </xf>
    <xf numFmtId="176" fontId="18" fillId="0" borderId="1" xfId="62" applyNumberFormat="1" applyFont="1" applyFill="1" applyBorder="1" applyAlignment="1">
      <alignment vertical="center" wrapText="1"/>
    </xf>
    <xf numFmtId="176" fontId="18" fillId="4" borderId="1" xfId="0" applyNumberFormat="1" applyFont="1" applyFill="1" applyBorder="1" applyAlignment="1">
      <alignment horizontal="center" vertical="center" wrapText="1"/>
    </xf>
    <xf numFmtId="176" fontId="18" fillId="4" borderId="1" xfId="0" applyNumberFormat="1" applyFont="1" applyFill="1" applyBorder="1" applyAlignment="1" applyProtection="1">
      <alignment horizontal="center" vertical="center" wrapText="1"/>
    </xf>
    <xf numFmtId="176" fontId="18" fillId="4" borderId="1" xfId="0" applyNumberFormat="1" applyFont="1" applyFill="1" applyBorder="1" applyAlignment="1" applyProtection="1">
      <alignment horizontal="left" vertical="center" wrapText="1"/>
    </xf>
    <xf numFmtId="176" fontId="11" fillId="0" borderId="0" xfId="62" applyNumberFormat="1" applyFont="1" applyFill="1" applyAlignment="1">
      <alignment horizontal="left" vertical="center" wrapText="1"/>
    </xf>
    <xf numFmtId="176" fontId="12" fillId="0" borderId="0" xfId="62" applyNumberFormat="1" applyFont="1" applyFill="1" applyAlignment="1"/>
    <xf numFmtId="176" fontId="2" fillId="0" borderId="0" xfId="62" applyNumberFormat="1" applyFont="1" applyFill="1" applyAlignment="1">
      <alignment vertical="center"/>
    </xf>
    <xf numFmtId="176" fontId="18" fillId="3" borderId="1" xfId="62" applyNumberFormat="1" applyFont="1" applyFill="1" applyBorder="1" applyAlignment="1">
      <alignment horizontal="center" vertical="center" wrapText="1"/>
    </xf>
    <xf numFmtId="176" fontId="0" fillId="0" borderId="0" xfId="62" applyNumberFormat="1" applyFont="1" applyFill="1" applyAlignment="1">
      <alignment vertical="center"/>
    </xf>
    <xf numFmtId="176" fontId="26" fillId="0" borderId="0" xfId="62" applyNumberFormat="1" applyFont="1" applyFill="1" applyAlignment="1">
      <alignment horizontal="center" vertical="center"/>
    </xf>
    <xf numFmtId="176" fontId="26" fillId="0" borderId="0" xfId="62" applyNumberFormat="1" applyFont="1" applyFill="1" applyAlignment="1">
      <alignment vertical="center"/>
    </xf>
    <xf numFmtId="176" fontId="16" fillId="0" borderId="1" xfId="0" applyNumberFormat="1" applyFont="1" applyBorder="1" applyAlignment="1">
      <alignment horizontal="center" vertical="center" wrapText="1"/>
    </xf>
    <xf numFmtId="176" fontId="11" fillId="0" borderId="0" xfId="62" applyNumberFormat="1" applyFont="1" applyFill="1" applyAlignment="1">
      <alignment horizontal="center" vertical="center" wrapText="1"/>
    </xf>
    <xf numFmtId="176" fontId="11" fillId="0" borderId="0" xfId="62" applyNumberFormat="1" applyFont="1" applyFill="1" applyAlignment="1">
      <alignment vertical="center"/>
    </xf>
    <xf numFmtId="0" fontId="25" fillId="0" borderId="0" xfId="0"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left" vertical="center" wrapText="1"/>
    </xf>
    <xf numFmtId="176" fontId="25" fillId="0" borderId="0"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center" vertical="center" wrapText="1"/>
    </xf>
    <xf numFmtId="0" fontId="18" fillId="9" borderId="12" xfId="70" applyFont="1" applyFill="1" applyBorder="1" applyAlignment="1">
      <alignment horizontal="center" vertical="center" wrapText="1"/>
    </xf>
    <xf numFmtId="0" fontId="18" fillId="9" borderId="12" xfId="70" applyNumberFormat="1" applyFont="1" applyFill="1" applyBorder="1" applyAlignment="1">
      <alignment horizontal="center" vertical="center" wrapText="1"/>
    </xf>
    <xf numFmtId="176" fontId="18" fillId="2" borderId="1" xfId="0" applyNumberFormat="1" applyFont="1" applyFill="1" applyBorder="1" applyAlignment="1" applyProtection="1">
      <alignment horizontal="center" vertical="center" wrapText="1"/>
    </xf>
    <xf numFmtId="176" fontId="18" fillId="3" borderId="1" xfId="0" applyNumberFormat="1" applyFont="1" applyFill="1" applyBorder="1" applyAlignment="1">
      <alignment horizontal="center" vertical="center" wrapText="1"/>
    </xf>
    <xf numFmtId="176" fontId="22" fillId="0" borderId="0" xfId="0" applyNumberFormat="1" applyFont="1" applyFill="1" applyAlignment="1">
      <alignment horizontal="center" vertical="center"/>
    </xf>
    <xf numFmtId="176" fontId="21" fillId="0" borderId="0" xfId="0" applyNumberFormat="1" applyFont="1" applyFill="1" applyAlignment="1">
      <alignment horizontal="center" vertical="center"/>
    </xf>
    <xf numFmtId="177" fontId="1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176" fontId="22" fillId="0" borderId="1" xfId="0" applyNumberFormat="1" applyFont="1" applyFill="1" applyBorder="1" applyAlignment="1">
      <alignment horizontal="center" vertical="center"/>
    </xf>
    <xf numFmtId="0" fontId="18" fillId="0" borderId="12" xfId="70" applyNumberFormat="1" applyFont="1" applyFill="1" applyBorder="1" applyAlignment="1">
      <alignment horizontal="center" vertical="center" wrapText="1"/>
    </xf>
    <xf numFmtId="0" fontId="19" fillId="3" borderId="1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177" fontId="19" fillId="3" borderId="1" xfId="0" applyNumberFormat="1" applyFont="1" applyFill="1" applyBorder="1" applyAlignment="1">
      <alignment horizontal="center" vertical="center" wrapText="1"/>
    </xf>
    <xf numFmtId="176" fontId="2" fillId="4" borderId="0" xfId="0" applyNumberFormat="1" applyFont="1" applyFill="1" applyAlignment="1">
      <alignment vertical="center"/>
    </xf>
    <xf numFmtId="176" fontId="0" fillId="4" borderId="0" xfId="0" applyNumberFormat="1" applyFont="1" applyFill="1" applyAlignment="1">
      <alignment vertical="center"/>
    </xf>
    <xf numFmtId="176" fontId="26" fillId="4" borderId="0" xfId="0" applyNumberFormat="1" applyFont="1" applyFill="1" applyAlignment="1">
      <alignment horizontal="center" vertical="center"/>
    </xf>
    <xf numFmtId="176" fontId="26" fillId="4" borderId="0" xfId="0" applyNumberFormat="1" applyFont="1" applyFill="1" applyAlignment="1">
      <alignment vertical="center"/>
    </xf>
    <xf numFmtId="176" fontId="26" fillId="0" borderId="0" xfId="0" applyNumberFormat="1" applyFont="1" applyFill="1" applyAlignment="1">
      <alignment horizontal="center" vertical="center"/>
    </xf>
    <xf numFmtId="176" fontId="25" fillId="4" borderId="0" xfId="0" applyNumberFormat="1" applyFont="1" applyFill="1" applyBorder="1" applyAlignment="1" applyProtection="1">
      <alignment horizontal="center" vertical="center" wrapText="1"/>
    </xf>
    <xf numFmtId="176" fontId="25" fillId="4" borderId="0" xfId="0" applyNumberFormat="1" applyFont="1" applyFill="1" applyBorder="1" applyAlignment="1" applyProtection="1">
      <alignment horizontal="left" vertical="center" wrapText="1"/>
    </xf>
    <xf numFmtId="176" fontId="18" fillId="4" borderId="1" xfId="0" applyNumberFormat="1" applyFont="1" applyFill="1" applyBorder="1" applyAlignment="1">
      <alignment horizontal="center" vertical="center"/>
    </xf>
    <xf numFmtId="176" fontId="18" fillId="4" borderId="1" xfId="0" applyNumberFormat="1" applyFont="1" applyFill="1" applyBorder="1" applyAlignment="1">
      <alignment vertical="center" wrapText="1"/>
    </xf>
    <xf numFmtId="176" fontId="18" fillId="3" borderId="1" xfId="0" applyNumberFormat="1" applyFont="1" applyFill="1" applyBorder="1" applyAlignment="1">
      <alignment horizontal="center" vertical="center"/>
    </xf>
    <xf numFmtId="176" fontId="27" fillId="4" borderId="1" xfId="0" applyNumberFormat="1" applyFont="1" applyFill="1" applyBorder="1" applyAlignment="1">
      <alignment vertical="center" wrapText="1"/>
    </xf>
    <xf numFmtId="176" fontId="2" fillId="4" borderId="1" xfId="0" applyNumberFormat="1" applyFont="1" applyFill="1" applyBorder="1" applyAlignment="1">
      <alignment horizontal="left" vertical="center" wrapText="1"/>
    </xf>
    <xf numFmtId="176" fontId="18" fillId="4" borderId="1" xfId="62" applyNumberFormat="1" applyFont="1" applyFill="1" applyBorder="1" applyAlignment="1" applyProtection="1">
      <alignment horizontal="center" vertical="center" wrapText="1"/>
    </xf>
    <xf numFmtId="176" fontId="18" fillId="3" borderId="1" xfId="0" applyNumberFormat="1" applyFont="1" applyFill="1" applyBorder="1" applyAlignment="1" applyProtection="1">
      <alignment horizontal="center" vertical="center" wrapText="1"/>
    </xf>
    <xf numFmtId="176" fontId="18" fillId="4" borderId="1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176" fontId="2" fillId="0" borderId="0" xfId="0" applyNumberFormat="1" applyFont="1" applyFill="1" applyBorder="1" applyAlignment="1">
      <alignment vertical="center"/>
    </xf>
    <xf numFmtId="176" fontId="12" fillId="0" borderId="0" xfId="0" applyNumberFormat="1" applyFont="1" applyFill="1" applyAlignment="1">
      <alignment horizontal="center"/>
    </xf>
    <xf numFmtId="176" fontId="28" fillId="0" borderId="0" xfId="0" applyNumberFormat="1" applyFont="1" applyFill="1" applyAlignment="1">
      <alignment horizontal="center" vertical="center" wrapText="1"/>
    </xf>
    <xf numFmtId="176" fontId="29" fillId="0" borderId="1" xfId="0" applyNumberFormat="1" applyFont="1" applyFill="1" applyBorder="1" applyAlignment="1">
      <alignment horizontal="center" vertical="center"/>
    </xf>
    <xf numFmtId="176" fontId="30" fillId="0" borderId="1" xfId="0" applyNumberFormat="1" applyFont="1" applyFill="1" applyBorder="1" applyAlignment="1">
      <alignment horizontal="center" vertical="center" wrapText="1"/>
    </xf>
    <xf numFmtId="176" fontId="29" fillId="10" borderId="1" xfId="0" applyNumberFormat="1" applyFont="1" applyFill="1" applyBorder="1" applyAlignment="1">
      <alignment horizontal="center" vertical="center"/>
    </xf>
    <xf numFmtId="176" fontId="30" fillId="1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left" vertical="center" wrapText="1"/>
    </xf>
    <xf numFmtId="176" fontId="11" fillId="0" borderId="1" xfId="0" applyNumberFormat="1" applyFont="1" applyFill="1" applyBorder="1" applyAlignment="1" applyProtection="1">
      <alignment horizontal="center" vertical="center" wrapText="1"/>
      <protection locked="0"/>
    </xf>
    <xf numFmtId="176" fontId="11" fillId="0" borderId="1" xfId="0" applyNumberFormat="1" applyFont="1" applyFill="1" applyBorder="1" applyAlignment="1">
      <alignment vertical="center"/>
    </xf>
    <xf numFmtId="176" fontId="2" fillId="10" borderId="1" xfId="0" applyNumberFormat="1" applyFont="1" applyFill="1" applyBorder="1" applyAlignment="1">
      <alignment horizontal="center" vertical="center" wrapText="1"/>
    </xf>
    <xf numFmtId="176" fontId="2" fillId="10" borderId="1" xfId="0" applyNumberFormat="1" applyFont="1" applyFill="1" applyBorder="1" applyAlignment="1">
      <alignment horizontal="left" vertical="center" wrapText="1"/>
    </xf>
    <xf numFmtId="176" fontId="2" fillId="10" borderId="1" xfId="0" applyNumberFormat="1" applyFont="1" applyFill="1" applyBorder="1" applyAlignment="1" applyProtection="1">
      <alignment horizontal="center" vertical="center" wrapText="1"/>
      <protection locked="0"/>
    </xf>
    <xf numFmtId="176" fontId="2" fillId="10" borderId="1" xfId="0" applyNumberFormat="1" applyFont="1" applyFill="1" applyBorder="1" applyAlignment="1">
      <alignment horizontal="center" vertical="center"/>
    </xf>
    <xf numFmtId="176" fontId="2" fillId="10" borderId="1" xfId="0" applyNumberFormat="1" applyFont="1" applyFill="1" applyBorder="1" applyAlignment="1">
      <alignment vertical="center"/>
    </xf>
    <xf numFmtId="176" fontId="11" fillId="0" borderId="1" xfId="0" applyNumberFormat="1" applyFont="1" applyFill="1" applyBorder="1" applyAlignment="1">
      <alignment horizontal="left" vertical="center"/>
    </xf>
    <xf numFmtId="176" fontId="2" fillId="0" borderId="1" xfId="0" applyNumberFormat="1" applyFont="1" applyFill="1" applyBorder="1" applyAlignment="1">
      <alignment horizontal="center" vertical="center" wrapText="1"/>
    </xf>
    <xf numFmtId="176" fontId="2" fillId="0" borderId="1"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lignment vertical="center"/>
    </xf>
    <xf numFmtId="0" fontId="2" fillId="0" borderId="0" xfId="0" applyNumberFormat="1" applyFont="1" applyFill="1" applyBorder="1" applyAlignment="1">
      <alignment vertical="center" wrapText="1"/>
    </xf>
    <xf numFmtId="0" fontId="2" fillId="0" borderId="0" xfId="0" applyFont="1" applyFill="1" applyBorder="1" applyAlignment="1">
      <alignment vertical="center"/>
    </xf>
    <xf numFmtId="0" fontId="31" fillId="0" borderId="0" xfId="0" applyFont="1" applyFill="1" applyAlignment="1">
      <alignment horizontal="center" vertical="center"/>
    </xf>
    <xf numFmtId="49" fontId="32" fillId="0" borderId="1" xfId="53" applyNumberFormat="1" applyFont="1" applyFill="1" applyBorder="1" applyAlignment="1" applyProtection="1">
      <alignment horizontal="left" vertical="center"/>
    </xf>
    <xf numFmtId="49" fontId="32" fillId="0" borderId="1" xfId="53" applyNumberFormat="1" applyFont="1" applyFill="1" applyBorder="1" applyAlignment="1" applyProtection="1">
      <alignment horizontal="left" vertical="center" wrapText="1"/>
    </xf>
    <xf numFmtId="0" fontId="31" fillId="0" borderId="0" xfId="0" applyFont="1" applyFill="1" applyBorder="1" applyAlignment="1">
      <alignment horizontal="center" vertical="center"/>
    </xf>
    <xf numFmtId="0" fontId="11" fillId="0" borderId="1" xfId="56" applyFont="1" applyFill="1" applyBorder="1" applyAlignment="1" applyProtection="1">
      <alignment horizontal="center" vertical="center"/>
    </xf>
    <xf numFmtId="0" fontId="11" fillId="0" borderId="1" xfId="53" applyNumberFormat="1" applyFont="1" applyFill="1" applyBorder="1" applyAlignment="1" applyProtection="1">
      <alignment horizontal="left" vertical="center" wrapText="1"/>
    </xf>
    <xf numFmtId="0" fontId="33" fillId="0" borderId="0" xfId="0" applyNumberFormat="1" applyFont="1" applyFill="1" applyBorder="1" applyAlignment="1">
      <alignment horizontal="justify" vertical="center" wrapText="1"/>
    </xf>
    <xf numFmtId="0" fontId="19" fillId="0" borderId="1" xfId="55" applyNumberFormat="1" applyFont="1" applyFill="1" applyBorder="1" applyAlignment="1" applyProtection="1">
      <alignment horizontal="justify" vertical="center" wrapText="1"/>
    </xf>
    <xf numFmtId="0" fontId="11" fillId="0" borderId="1" xfId="49" applyNumberFormat="1" applyFont="1" applyFill="1" applyBorder="1" applyAlignment="1" applyProtection="1">
      <alignment horizontal="center" vertical="center"/>
    </xf>
    <xf numFmtId="0" fontId="11" fillId="0" borderId="1" xfId="54" applyNumberFormat="1" applyFont="1" applyFill="1" applyBorder="1" applyAlignment="1" applyProtection="1">
      <alignment vertical="center" wrapText="1"/>
    </xf>
    <xf numFmtId="0" fontId="33" fillId="0" borderId="0" xfId="0" applyNumberFormat="1" applyFont="1" applyFill="1" applyBorder="1" applyAlignment="1">
      <alignment horizontal="left" vertical="center" wrapText="1"/>
    </xf>
    <xf numFmtId="0" fontId="11" fillId="0" borderId="1" xfId="52" applyNumberFormat="1" applyFont="1" applyFill="1" applyBorder="1" applyAlignment="1" applyProtection="1">
      <alignment horizontal="left" vertical="center" wrapText="1"/>
    </xf>
    <xf numFmtId="0" fontId="11" fillId="0" borderId="1" xfId="54" applyNumberFormat="1" applyFont="1" applyFill="1" applyBorder="1" applyAlignment="1" applyProtection="1">
      <alignment horizontal="left" vertical="center" wrapText="1"/>
    </xf>
    <xf numFmtId="0" fontId="32" fillId="0" borderId="0" xfId="0" applyFont="1" applyFill="1" applyAlignment="1">
      <alignment horizontal="left" vertical="center"/>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餑_x005f_x005f_x005f_x000c_睨_x005f_x005f_x005f_x0017__x005f_x005f_x005f_x000d_帼U_x005f_x005f_x005f_x0001_0_x005f_x005f_x005f_x0005_j'_x005f_x005f_x005f_x0007__x005f_x005f_x005f_x0001__x005f_x005f_x005f_x0001_ 3" xfId="49"/>
    <cellStyle name="3232" xfId="50"/>
    <cellStyle name="3232 2" xfId="51"/>
    <cellStyle name="表体数字 3 2 6 5 3 2" xfId="52"/>
    <cellStyle name="表体数字 3 2 6 6" xfId="53"/>
    <cellStyle name="常规 10" xfId="54"/>
    <cellStyle name="常规 11" xfId="55"/>
    <cellStyle name="常规 144 4" xfId="56"/>
    <cellStyle name="常规 2" xfId="57"/>
    <cellStyle name="常规 3" xfId="58"/>
    <cellStyle name="常规 3 2" xfId="59"/>
    <cellStyle name="常规 3 2 2" xfId="60"/>
    <cellStyle name="常规 3 3" xfId="61"/>
    <cellStyle name="常规 4" xfId="62"/>
    <cellStyle name="常规 5" xfId="63"/>
    <cellStyle name="常规 5 2" xfId="64"/>
    <cellStyle name="常规 53" xfId="65"/>
    <cellStyle name="常规 53 2" xfId="66"/>
    <cellStyle name="常规 6" xfId="67"/>
    <cellStyle name="常规 7" xfId="68"/>
    <cellStyle name="常规 7 2" xfId="69"/>
    <cellStyle name="Normal" xfId="70"/>
  </cellStyles>
  <dxfs count="1">
    <dxf>
      <font>
        <b val="0"/>
        <i val="0"/>
        <strike val="0"/>
        <u val="none"/>
        <sz val="12"/>
        <color theme="0"/>
      </font>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7" Type="http://schemas.openxmlformats.org/officeDocument/2006/relationships/image" Target="../media/image8.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9</xdr:row>
      <xdr:rowOff>0</xdr:rowOff>
    </xdr:from>
    <xdr:to>
      <xdr:col>12</xdr:col>
      <xdr:colOff>854710</xdr:colOff>
      <xdr:row>9</xdr:row>
      <xdr:rowOff>352425</xdr:rowOff>
    </xdr:to>
    <xdr:pic>
      <xdr:nvPicPr>
        <xdr:cNvPr id="3" name="图片 2"/>
        <xdr:cNvPicPr>
          <a:picLocks noChangeAspect="1"/>
        </xdr:cNvPicPr>
      </xdr:nvPicPr>
      <xdr:blipFill>
        <a:blip r:embed="rId1"/>
        <a:stretch>
          <a:fillRect/>
        </a:stretch>
      </xdr:blipFill>
      <xdr:spPr>
        <a:xfrm>
          <a:off x="10697210" y="6005830"/>
          <a:ext cx="854710" cy="352425"/>
        </a:xfrm>
        <a:prstGeom prst="rect">
          <a:avLst/>
        </a:prstGeom>
        <a:noFill/>
        <a:ln w="9525">
          <a:noFill/>
        </a:ln>
      </xdr:spPr>
    </xdr:pic>
    <xdr:clientData/>
  </xdr:twoCellAnchor>
  <xdr:twoCellAnchor editAs="oneCell">
    <xdr:from>
      <xdr:col>12</xdr:col>
      <xdr:colOff>0</xdr:colOff>
      <xdr:row>17</xdr:row>
      <xdr:rowOff>0</xdr:rowOff>
    </xdr:from>
    <xdr:to>
      <xdr:col>12</xdr:col>
      <xdr:colOff>854710</xdr:colOff>
      <xdr:row>17</xdr:row>
      <xdr:rowOff>352425</xdr:rowOff>
    </xdr:to>
    <xdr:pic>
      <xdr:nvPicPr>
        <xdr:cNvPr id="12" name="图片 11"/>
        <xdr:cNvPicPr>
          <a:picLocks noChangeAspect="1"/>
        </xdr:cNvPicPr>
      </xdr:nvPicPr>
      <xdr:blipFill>
        <a:blip r:embed="rId1"/>
        <a:stretch>
          <a:fillRect/>
        </a:stretch>
      </xdr:blipFill>
      <xdr:spPr>
        <a:xfrm>
          <a:off x="10697210" y="10883900"/>
          <a:ext cx="854710" cy="352425"/>
        </a:xfrm>
        <a:prstGeom prst="rect">
          <a:avLst/>
        </a:prstGeom>
        <a:noFill/>
        <a:ln w="9525">
          <a:noFill/>
        </a:ln>
      </xdr:spPr>
    </xdr:pic>
    <xdr:clientData/>
  </xdr:twoCellAnchor>
  <xdr:twoCellAnchor editAs="oneCell">
    <xdr:from>
      <xdr:col>12</xdr:col>
      <xdr:colOff>0</xdr:colOff>
      <xdr:row>25</xdr:row>
      <xdr:rowOff>0</xdr:rowOff>
    </xdr:from>
    <xdr:to>
      <xdr:col>12</xdr:col>
      <xdr:colOff>854710</xdr:colOff>
      <xdr:row>25</xdr:row>
      <xdr:rowOff>351790</xdr:rowOff>
    </xdr:to>
    <xdr:pic>
      <xdr:nvPicPr>
        <xdr:cNvPr id="2" name="图片 1"/>
        <xdr:cNvPicPr>
          <a:picLocks noChangeAspect="1"/>
        </xdr:cNvPicPr>
      </xdr:nvPicPr>
      <xdr:blipFill>
        <a:blip r:embed="rId1"/>
        <a:stretch>
          <a:fillRect/>
        </a:stretch>
      </xdr:blipFill>
      <xdr:spPr>
        <a:xfrm>
          <a:off x="10697210" y="16119475"/>
          <a:ext cx="854710" cy="351790"/>
        </a:xfrm>
        <a:prstGeom prst="rect">
          <a:avLst/>
        </a:prstGeom>
        <a:noFill/>
        <a:ln w="9525">
          <a:noFill/>
        </a:ln>
      </xdr:spPr>
    </xdr:pic>
    <xdr:clientData/>
  </xdr:twoCellAnchor>
  <xdr:twoCellAnchor editAs="oneCell">
    <xdr:from>
      <xdr:col>12</xdr:col>
      <xdr:colOff>0</xdr:colOff>
      <xdr:row>33</xdr:row>
      <xdr:rowOff>0</xdr:rowOff>
    </xdr:from>
    <xdr:to>
      <xdr:col>12</xdr:col>
      <xdr:colOff>854710</xdr:colOff>
      <xdr:row>33</xdr:row>
      <xdr:rowOff>352425</xdr:rowOff>
    </xdr:to>
    <xdr:pic>
      <xdr:nvPicPr>
        <xdr:cNvPr id="4" name="图片 3"/>
        <xdr:cNvPicPr>
          <a:picLocks noChangeAspect="1"/>
        </xdr:cNvPicPr>
      </xdr:nvPicPr>
      <xdr:blipFill>
        <a:blip r:embed="rId1"/>
        <a:stretch>
          <a:fillRect/>
        </a:stretch>
      </xdr:blipFill>
      <xdr:spPr>
        <a:xfrm>
          <a:off x="10697210" y="20373975"/>
          <a:ext cx="854710" cy="352425"/>
        </a:xfrm>
        <a:prstGeom prst="rect">
          <a:avLst/>
        </a:prstGeom>
        <a:noFill/>
        <a:ln w="9525">
          <a:noFill/>
        </a:ln>
      </xdr:spPr>
    </xdr:pic>
    <xdr:clientData/>
  </xdr:twoCellAnchor>
  <xdr:twoCellAnchor editAs="oneCell">
    <xdr:from>
      <xdr:col>12</xdr:col>
      <xdr:colOff>0</xdr:colOff>
      <xdr:row>41</xdr:row>
      <xdr:rowOff>0</xdr:rowOff>
    </xdr:from>
    <xdr:to>
      <xdr:col>12</xdr:col>
      <xdr:colOff>854710</xdr:colOff>
      <xdr:row>42</xdr:row>
      <xdr:rowOff>66675</xdr:rowOff>
    </xdr:to>
    <xdr:pic>
      <xdr:nvPicPr>
        <xdr:cNvPr id="5" name="图片 4"/>
        <xdr:cNvPicPr>
          <a:picLocks noChangeAspect="1"/>
        </xdr:cNvPicPr>
      </xdr:nvPicPr>
      <xdr:blipFill>
        <a:blip r:embed="rId1"/>
        <a:stretch>
          <a:fillRect/>
        </a:stretch>
      </xdr:blipFill>
      <xdr:spPr>
        <a:xfrm>
          <a:off x="10697210" y="24334470"/>
          <a:ext cx="854710" cy="352425"/>
        </a:xfrm>
        <a:prstGeom prst="rect">
          <a:avLst/>
        </a:prstGeom>
        <a:noFill/>
        <a:ln w="9525">
          <a:noFill/>
        </a:ln>
      </xdr:spPr>
    </xdr:pic>
    <xdr:clientData/>
  </xdr:twoCellAnchor>
  <xdr:twoCellAnchor editAs="oneCell">
    <xdr:from>
      <xdr:col>12</xdr:col>
      <xdr:colOff>0</xdr:colOff>
      <xdr:row>49</xdr:row>
      <xdr:rowOff>0</xdr:rowOff>
    </xdr:from>
    <xdr:to>
      <xdr:col>12</xdr:col>
      <xdr:colOff>854710</xdr:colOff>
      <xdr:row>49</xdr:row>
      <xdr:rowOff>352425</xdr:rowOff>
    </xdr:to>
    <xdr:pic>
      <xdr:nvPicPr>
        <xdr:cNvPr id="6" name="图片 5"/>
        <xdr:cNvPicPr>
          <a:picLocks noChangeAspect="1"/>
        </xdr:cNvPicPr>
      </xdr:nvPicPr>
      <xdr:blipFill>
        <a:blip r:embed="rId1"/>
        <a:stretch>
          <a:fillRect/>
        </a:stretch>
      </xdr:blipFill>
      <xdr:spPr>
        <a:xfrm>
          <a:off x="10697210" y="28337510"/>
          <a:ext cx="854710" cy="352425"/>
        </a:xfrm>
        <a:prstGeom prst="rect">
          <a:avLst/>
        </a:prstGeom>
        <a:noFill/>
        <a:ln w="9525">
          <a:noFill/>
        </a:ln>
      </xdr:spPr>
    </xdr:pic>
    <xdr:clientData/>
  </xdr:twoCellAnchor>
  <xdr:twoCellAnchor editAs="oneCell">
    <xdr:from>
      <xdr:col>12</xdr:col>
      <xdr:colOff>0</xdr:colOff>
      <xdr:row>57</xdr:row>
      <xdr:rowOff>0</xdr:rowOff>
    </xdr:from>
    <xdr:to>
      <xdr:col>12</xdr:col>
      <xdr:colOff>854710</xdr:colOff>
      <xdr:row>57</xdr:row>
      <xdr:rowOff>352425</xdr:rowOff>
    </xdr:to>
    <xdr:pic>
      <xdr:nvPicPr>
        <xdr:cNvPr id="7" name="图片 6"/>
        <xdr:cNvPicPr>
          <a:picLocks noChangeAspect="1"/>
        </xdr:cNvPicPr>
      </xdr:nvPicPr>
      <xdr:blipFill>
        <a:blip r:embed="rId1"/>
        <a:stretch>
          <a:fillRect/>
        </a:stretch>
      </xdr:blipFill>
      <xdr:spPr>
        <a:xfrm>
          <a:off x="10697210" y="32281495"/>
          <a:ext cx="854710" cy="352425"/>
        </a:xfrm>
        <a:prstGeom prst="rect">
          <a:avLst/>
        </a:prstGeom>
        <a:noFill/>
        <a:ln w="9525">
          <a:noFill/>
        </a:ln>
      </xdr:spPr>
    </xdr:pic>
    <xdr:clientData/>
  </xdr:twoCellAnchor>
  <xdr:twoCellAnchor editAs="oneCell">
    <xdr:from>
      <xdr:col>12</xdr:col>
      <xdr:colOff>0</xdr:colOff>
      <xdr:row>65</xdr:row>
      <xdr:rowOff>0</xdr:rowOff>
    </xdr:from>
    <xdr:to>
      <xdr:col>12</xdr:col>
      <xdr:colOff>854710</xdr:colOff>
      <xdr:row>65</xdr:row>
      <xdr:rowOff>352425</xdr:rowOff>
    </xdr:to>
    <xdr:pic>
      <xdr:nvPicPr>
        <xdr:cNvPr id="8" name="图片 7"/>
        <xdr:cNvPicPr>
          <a:picLocks noChangeAspect="1"/>
        </xdr:cNvPicPr>
      </xdr:nvPicPr>
      <xdr:blipFill>
        <a:blip r:embed="rId1"/>
        <a:stretch>
          <a:fillRect/>
        </a:stretch>
      </xdr:blipFill>
      <xdr:spPr>
        <a:xfrm>
          <a:off x="10697210" y="36358830"/>
          <a:ext cx="854710" cy="3524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38100</xdr:colOff>
      <xdr:row>7</xdr:row>
      <xdr:rowOff>236220</xdr:rowOff>
    </xdr:from>
    <xdr:to>
      <xdr:col>3</xdr:col>
      <xdr:colOff>0</xdr:colOff>
      <xdr:row>7</xdr:row>
      <xdr:rowOff>762000</xdr:rowOff>
    </xdr:to>
    <xdr:pic>
      <xdr:nvPicPr>
        <xdr:cNvPr id="2" name="图片 1"/>
        <xdr:cNvPicPr>
          <a:picLocks noChangeAspect="1"/>
        </xdr:cNvPicPr>
      </xdr:nvPicPr>
      <xdr:blipFill>
        <a:blip r:embed="rId1"/>
        <a:stretch>
          <a:fillRect/>
        </a:stretch>
      </xdr:blipFill>
      <xdr:spPr>
        <a:xfrm>
          <a:off x="887730" y="2867025"/>
          <a:ext cx="920115" cy="525780"/>
        </a:xfrm>
        <a:prstGeom prst="rect">
          <a:avLst/>
        </a:prstGeom>
        <a:noFill/>
        <a:ln w="9525">
          <a:noFill/>
        </a:ln>
      </xdr:spPr>
    </xdr:pic>
    <xdr:clientData/>
  </xdr:twoCellAnchor>
  <xdr:twoCellAnchor>
    <xdr:from>
      <xdr:col>2</xdr:col>
      <xdr:colOff>73025</xdr:colOff>
      <xdr:row>6</xdr:row>
      <xdr:rowOff>0</xdr:rowOff>
    </xdr:from>
    <xdr:to>
      <xdr:col>2</xdr:col>
      <xdr:colOff>909320</xdr:colOff>
      <xdr:row>6</xdr:row>
      <xdr:rowOff>878205</xdr:rowOff>
    </xdr:to>
    <xdr:pic>
      <xdr:nvPicPr>
        <xdr:cNvPr id="3" name="图片 2" descr="5851 99 半光白 角度 001（亮灯）.png"/>
        <xdr:cNvPicPr>
          <a:picLocks noChangeAspect="1"/>
        </xdr:cNvPicPr>
      </xdr:nvPicPr>
      <xdr:blipFill>
        <a:blip r:embed="rId2"/>
        <a:stretch>
          <a:fillRect/>
        </a:stretch>
      </xdr:blipFill>
      <xdr:spPr>
        <a:xfrm>
          <a:off x="922655" y="1640205"/>
          <a:ext cx="836295" cy="878205"/>
        </a:xfrm>
        <a:prstGeom prst="rect">
          <a:avLst/>
        </a:prstGeom>
        <a:noFill/>
        <a:ln w="9525">
          <a:noFill/>
        </a:ln>
      </xdr:spPr>
    </xdr:pic>
    <xdr:clientData/>
  </xdr:twoCellAnchor>
  <xdr:twoCellAnchor>
    <xdr:from>
      <xdr:col>2</xdr:col>
      <xdr:colOff>146685</xdr:colOff>
      <xdr:row>8</xdr:row>
      <xdr:rowOff>31115</xdr:rowOff>
    </xdr:from>
    <xdr:to>
      <xdr:col>2</xdr:col>
      <xdr:colOff>795655</xdr:colOff>
      <xdr:row>8</xdr:row>
      <xdr:rowOff>537845</xdr:rowOff>
    </xdr:to>
    <xdr:pic>
      <xdr:nvPicPr>
        <xdr:cNvPr id="4" name="图片 2"/>
        <xdr:cNvPicPr>
          <a:picLocks noChangeAspect="1"/>
        </xdr:cNvPicPr>
      </xdr:nvPicPr>
      <xdr:blipFill>
        <a:blip r:embed="rId3"/>
        <a:stretch>
          <a:fillRect/>
        </a:stretch>
      </xdr:blipFill>
      <xdr:spPr>
        <a:xfrm>
          <a:off x="996315" y="3652520"/>
          <a:ext cx="648970" cy="506730"/>
        </a:xfrm>
        <a:prstGeom prst="rect">
          <a:avLst/>
        </a:prstGeom>
        <a:noFill/>
        <a:ln w="9525">
          <a:noFill/>
        </a:ln>
      </xdr:spPr>
    </xdr:pic>
    <xdr:clientData/>
  </xdr:twoCellAnchor>
  <xdr:twoCellAnchor>
    <xdr:from>
      <xdr:col>2</xdr:col>
      <xdr:colOff>62865</xdr:colOff>
      <xdr:row>8</xdr:row>
      <xdr:rowOff>491490</xdr:rowOff>
    </xdr:from>
    <xdr:to>
      <xdr:col>2</xdr:col>
      <xdr:colOff>829310</xdr:colOff>
      <xdr:row>8</xdr:row>
      <xdr:rowOff>990600</xdr:rowOff>
    </xdr:to>
    <xdr:pic>
      <xdr:nvPicPr>
        <xdr:cNvPr id="5" name="图片 1"/>
        <xdr:cNvPicPr>
          <a:picLocks noChangeAspect="1"/>
        </xdr:cNvPicPr>
      </xdr:nvPicPr>
      <xdr:blipFill>
        <a:blip r:embed="rId4"/>
        <a:stretch>
          <a:fillRect/>
        </a:stretch>
      </xdr:blipFill>
      <xdr:spPr>
        <a:xfrm>
          <a:off x="912495" y="4112895"/>
          <a:ext cx="766445" cy="499110"/>
        </a:xfrm>
        <a:prstGeom prst="rect">
          <a:avLst/>
        </a:prstGeom>
        <a:noFill/>
        <a:ln w="9525">
          <a:noFill/>
        </a:ln>
      </xdr:spPr>
    </xdr:pic>
    <xdr:clientData/>
  </xdr:twoCellAnchor>
  <xdr:twoCellAnchor>
    <xdr:from>
      <xdr:col>2</xdr:col>
      <xdr:colOff>78740</xdr:colOff>
      <xdr:row>9</xdr:row>
      <xdr:rowOff>286385</xdr:rowOff>
    </xdr:from>
    <xdr:to>
      <xdr:col>2</xdr:col>
      <xdr:colOff>868680</xdr:colOff>
      <xdr:row>9</xdr:row>
      <xdr:rowOff>750570</xdr:rowOff>
    </xdr:to>
    <xdr:pic>
      <xdr:nvPicPr>
        <xdr:cNvPr id="6" name="Picture 1103" descr="C:\Documents and Settings\Administrator\Application Data\Tencent\Users\2893807383\QQ\WinTemp\RichOle\4LZXF`9}AGD`X_3QV`6{8T8.png"/>
        <xdr:cNvPicPr>
          <a:picLocks noChangeAspect="1"/>
        </xdr:cNvPicPr>
      </xdr:nvPicPr>
      <xdr:blipFill>
        <a:blip r:embed="rId5"/>
        <a:stretch>
          <a:fillRect/>
        </a:stretch>
      </xdr:blipFill>
      <xdr:spPr>
        <a:xfrm>
          <a:off x="928370" y="4898390"/>
          <a:ext cx="789940" cy="464185"/>
        </a:xfrm>
        <a:prstGeom prst="rect">
          <a:avLst/>
        </a:prstGeom>
        <a:noFill/>
        <a:ln w="9525">
          <a:noFill/>
        </a:ln>
      </xdr:spPr>
    </xdr:pic>
    <xdr:clientData/>
  </xdr:twoCellAnchor>
  <xdr:twoCellAnchor editAs="oneCell">
    <xdr:from>
      <xdr:col>2</xdr:col>
      <xdr:colOff>27940</xdr:colOff>
      <xdr:row>10</xdr:row>
      <xdr:rowOff>50165</xdr:rowOff>
    </xdr:from>
    <xdr:to>
      <xdr:col>2</xdr:col>
      <xdr:colOff>427355</xdr:colOff>
      <xdr:row>10</xdr:row>
      <xdr:rowOff>576580</xdr:rowOff>
    </xdr:to>
    <xdr:pic>
      <xdr:nvPicPr>
        <xdr:cNvPr id="7" name="图片 2"/>
        <xdr:cNvPicPr>
          <a:picLocks noChangeAspect="1"/>
        </xdr:cNvPicPr>
      </xdr:nvPicPr>
      <xdr:blipFill>
        <a:blip r:embed="rId6"/>
        <a:stretch>
          <a:fillRect/>
        </a:stretch>
      </xdr:blipFill>
      <xdr:spPr>
        <a:xfrm>
          <a:off x="877570" y="5652770"/>
          <a:ext cx="399415" cy="526415"/>
        </a:xfrm>
        <a:prstGeom prst="rect">
          <a:avLst/>
        </a:prstGeom>
        <a:noFill/>
        <a:ln w="9525">
          <a:noFill/>
        </a:ln>
      </xdr:spPr>
    </xdr:pic>
    <xdr:clientData/>
  </xdr:twoCellAnchor>
  <xdr:twoCellAnchor editAs="oneCell">
    <xdr:from>
      <xdr:col>2</xdr:col>
      <xdr:colOff>493395</xdr:colOff>
      <xdr:row>10</xdr:row>
      <xdr:rowOff>147320</xdr:rowOff>
    </xdr:from>
    <xdr:to>
      <xdr:col>3</xdr:col>
      <xdr:colOff>0</xdr:colOff>
      <xdr:row>10</xdr:row>
      <xdr:rowOff>379095</xdr:rowOff>
    </xdr:to>
    <xdr:pic>
      <xdr:nvPicPr>
        <xdr:cNvPr id="8" name="图片 3"/>
        <xdr:cNvPicPr>
          <a:picLocks noChangeAspect="1"/>
        </xdr:cNvPicPr>
      </xdr:nvPicPr>
      <xdr:blipFill>
        <a:blip r:embed="rId7"/>
        <a:stretch>
          <a:fillRect/>
        </a:stretch>
      </xdr:blipFill>
      <xdr:spPr>
        <a:xfrm>
          <a:off x="1343025" y="5749925"/>
          <a:ext cx="464820" cy="231775"/>
        </a:xfrm>
        <a:prstGeom prst="rect">
          <a:avLst/>
        </a:prstGeom>
        <a:noFill/>
        <a:ln w="9525">
          <a:noFill/>
        </a:ln>
      </xdr:spPr>
    </xdr:pic>
    <xdr:clientData/>
  </xdr:twoCellAnchor>
  <xdr:twoCellAnchor editAs="oneCell">
    <xdr:from>
      <xdr:col>2</xdr:col>
      <xdr:colOff>52705</xdr:colOff>
      <xdr:row>10</xdr:row>
      <xdr:rowOff>630555</xdr:rowOff>
    </xdr:from>
    <xdr:to>
      <xdr:col>3</xdr:col>
      <xdr:colOff>0</xdr:colOff>
      <xdr:row>10</xdr:row>
      <xdr:rowOff>862965</xdr:rowOff>
    </xdr:to>
    <xdr:pic>
      <xdr:nvPicPr>
        <xdr:cNvPr id="9" name="图片 4"/>
        <xdr:cNvPicPr>
          <a:picLocks noChangeAspect="1"/>
        </xdr:cNvPicPr>
      </xdr:nvPicPr>
      <xdr:blipFill>
        <a:blip r:embed="rId8"/>
        <a:stretch>
          <a:fillRect/>
        </a:stretch>
      </xdr:blipFill>
      <xdr:spPr>
        <a:xfrm>
          <a:off x="902335" y="6233160"/>
          <a:ext cx="905510" cy="23241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topLeftCell="A10" workbookViewId="0">
      <selection activeCell="B26" sqref="B26"/>
    </sheetView>
  </sheetViews>
  <sheetFormatPr defaultColWidth="8.75" defaultRowHeight="14.25" outlineLevelCol="3"/>
  <cols>
    <col min="1" max="1" width="3.13333333333333" style="224" customWidth="1"/>
    <col min="2" max="2" width="86.5" style="224" customWidth="1"/>
    <col min="3" max="3" width="9" style="224"/>
    <col min="4" max="4" width="9" style="224" customWidth="1"/>
    <col min="5" max="31" width="9" style="224"/>
    <col min="32" max="16384" width="8.75" style="224"/>
  </cols>
  <sheetData>
    <row r="1" ht="29.1" customHeight="1" spans="1:2">
      <c r="A1" s="225" t="s">
        <v>0</v>
      </c>
      <c r="B1" s="225"/>
    </row>
    <row r="2" s="223" customFormat="1" ht="27" customHeight="1" spans="1:4">
      <c r="A2" s="226" t="s">
        <v>1</v>
      </c>
      <c r="B2" s="227"/>
      <c r="D2" s="228"/>
    </row>
    <row r="3" s="223" customFormat="1" ht="27" customHeight="1" spans="1:4">
      <c r="A3" s="229">
        <v>1</v>
      </c>
      <c r="B3" s="230" t="s">
        <v>2</v>
      </c>
      <c r="D3" s="231"/>
    </row>
    <row r="4" s="223" customFormat="1" ht="87" customHeight="1" spans="1:4">
      <c r="A4" s="229">
        <v>2</v>
      </c>
      <c r="B4" s="232" t="s">
        <v>3</v>
      </c>
      <c r="D4" s="231"/>
    </row>
    <row r="5" s="223" customFormat="1" spans="1:4">
      <c r="A5" s="226" t="s">
        <v>4</v>
      </c>
      <c r="B5" s="227"/>
      <c r="D5" s="231"/>
    </row>
    <row r="6" s="223" customFormat="1" ht="75.95" customHeight="1" spans="1:4">
      <c r="A6" s="233">
        <v>1</v>
      </c>
      <c r="B6" s="234" t="s">
        <v>5</v>
      </c>
      <c r="D6" s="231"/>
    </row>
    <row r="7" s="223" customFormat="1" ht="54" customHeight="1" spans="1:4">
      <c r="A7" s="233">
        <v>2</v>
      </c>
      <c r="B7" s="234" t="s">
        <v>6</v>
      </c>
      <c r="D7" s="231"/>
    </row>
    <row r="8" s="223" customFormat="1" ht="51" customHeight="1" spans="1:4">
      <c r="A8" s="233">
        <v>3</v>
      </c>
      <c r="B8" s="234" t="s">
        <v>7</v>
      </c>
      <c r="D8" s="231"/>
    </row>
    <row r="9" s="223" customFormat="1" ht="68.1" customHeight="1" spans="1:4">
      <c r="A9" s="233">
        <v>4</v>
      </c>
      <c r="B9" s="234" t="s">
        <v>8</v>
      </c>
      <c r="D9" s="235"/>
    </row>
    <row r="10" ht="48.95" customHeight="1" spans="1:4">
      <c r="A10" s="233">
        <v>5</v>
      </c>
      <c r="B10" s="236" t="s">
        <v>9</v>
      </c>
      <c r="D10" s="235"/>
    </row>
    <row r="11" ht="63" customHeight="1" spans="1:4">
      <c r="A11" s="233">
        <v>6</v>
      </c>
      <c r="B11" s="237" t="s">
        <v>10</v>
      </c>
      <c r="D11" s="235"/>
    </row>
    <row r="12" ht="84" customHeight="1" spans="1:2">
      <c r="A12" s="233">
        <v>7</v>
      </c>
      <c r="B12" s="237" t="s">
        <v>11</v>
      </c>
    </row>
    <row r="13" ht="48.95" customHeight="1" spans="1:2">
      <c r="A13" s="233">
        <v>8</v>
      </c>
      <c r="B13" s="237" t="s">
        <v>12</v>
      </c>
    </row>
    <row r="14" ht="23.1" customHeight="1" spans="1:2">
      <c r="A14" s="233">
        <v>9</v>
      </c>
      <c r="B14" s="237" t="s">
        <v>13</v>
      </c>
    </row>
    <row r="15" ht="21" customHeight="1" spans="1:2">
      <c r="A15" s="226" t="s">
        <v>14</v>
      </c>
      <c r="B15" s="227"/>
    </row>
    <row r="16" ht="24" customHeight="1" spans="1:2">
      <c r="A16" s="233">
        <v>1</v>
      </c>
      <c r="B16" s="230" t="s">
        <v>15</v>
      </c>
    </row>
    <row r="17" ht="24" customHeight="1" spans="1:2">
      <c r="A17" s="233">
        <v>2</v>
      </c>
      <c r="B17" s="230" t="s">
        <v>16</v>
      </c>
    </row>
    <row r="18" ht="26.1" customHeight="1" spans="1:2">
      <c r="A18" s="226" t="s">
        <v>17</v>
      </c>
      <c r="B18" s="227"/>
    </row>
    <row r="19" ht="36" customHeight="1" spans="1:2">
      <c r="A19" s="233">
        <v>1</v>
      </c>
      <c r="B19" s="230" t="s">
        <v>18</v>
      </c>
    </row>
    <row r="20" ht="56" customHeight="1" spans="1:2">
      <c r="A20" s="233">
        <v>2</v>
      </c>
      <c r="B20" s="230" t="s">
        <v>19</v>
      </c>
    </row>
    <row r="21" ht="30" customHeight="1" spans="1:2">
      <c r="A21" s="233">
        <v>3</v>
      </c>
      <c r="B21" s="230" t="s">
        <v>20</v>
      </c>
    </row>
    <row r="22" ht="18.95" customHeight="1" spans="1:2">
      <c r="A22" s="238" t="s">
        <v>21</v>
      </c>
      <c r="B22" s="238"/>
    </row>
  </sheetData>
  <mergeCells count="6">
    <mergeCell ref="A1:B1"/>
    <mergeCell ref="A2:B2"/>
    <mergeCell ref="A5:B5"/>
    <mergeCell ref="A15:B15"/>
    <mergeCell ref="A18:B18"/>
    <mergeCell ref="A22:B22"/>
  </mergeCells>
  <pageMargins left="0.554861111111111" right="0.554861111111111" top="0.802777777777778" bottom="0.60625"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2"/>
  <sheetViews>
    <sheetView zoomScale="175" zoomScaleNormal="175" workbookViewId="0">
      <pane ySplit="2" topLeftCell="A230" activePane="bottomLeft" state="frozen"/>
      <selection/>
      <selection pane="bottomLeft" activeCell="J217" sqref="J217"/>
    </sheetView>
  </sheetViews>
  <sheetFormatPr defaultColWidth="9" defaultRowHeight="13.5"/>
  <cols>
    <col min="1" max="1" width="5.5" style="42" customWidth="1"/>
    <col min="2" max="2" width="5.13333333333333" style="42" customWidth="1"/>
    <col min="3" max="3" width="10.25" style="42" customWidth="1"/>
    <col min="4" max="4" width="16.8833333333333" style="42" customWidth="1"/>
    <col min="5" max="5" width="10" style="42" customWidth="1"/>
    <col min="6" max="6" width="7.75" style="42" customWidth="1"/>
    <col min="7" max="7" width="9.25" style="42" customWidth="1"/>
    <col min="8" max="8" width="6.63333333333333" style="42" customWidth="1"/>
    <col min="9" max="9" width="9.38333333333333" style="42" customWidth="1"/>
    <col min="10" max="10" width="12" style="43" customWidth="1"/>
    <col min="11" max="11" width="12.5" style="42" customWidth="1"/>
    <col min="12" max="16384" width="9" style="42"/>
  </cols>
  <sheetData>
    <row r="1" ht="33" customHeight="1" spans="1:10">
      <c r="A1" s="44" t="s">
        <v>312</v>
      </c>
      <c r="B1" s="44"/>
      <c r="C1" s="44"/>
      <c r="D1" s="44"/>
      <c r="E1" s="44"/>
      <c r="F1" s="44"/>
      <c r="G1" s="44"/>
      <c r="H1" s="44"/>
      <c r="I1" s="44"/>
      <c r="J1" s="62"/>
    </row>
    <row r="2" ht="33" customHeight="1" spans="1:10">
      <c r="A2" s="45" t="s">
        <v>46</v>
      </c>
      <c r="B2" s="45" t="s">
        <v>313</v>
      </c>
      <c r="C2" s="45" t="s">
        <v>314</v>
      </c>
      <c r="D2" s="45" t="s">
        <v>315</v>
      </c>
      <c r="E2" s="45" t="s">
        <v>316</v>
      </c>
      <c r="F2" s="45" t="s">
        <v>25</v>
      </c>
      <c r="G2" s="45" t="s">
        <v>317</v>
      </c>
      <c r="H2" s="45" t="s">
        <v>318</v>
      </c>
      <c r="I2" s="45" t="s">
        <v>319</v>
      </c>
      <c r="J2" s="63" t="s">
        <v>28</v>
      </c>
    </row>
    <row r="3" ht="33" customHeight="1" spans="1:10">
      <c r="A3" s="45" t="s">
        <v>30</v>
      </c>
      <c r="B3" s="45"/>
      <c r="C3" s="46"/>
      <c r="D3" s="45" t="s">
        <v>320</v>
      </c>
      <c r="E3" s="46"/>
      <c r="F3" s="46"/>
      <c r="G3" s="45"/>
      <c r="H3" s="45"/>
      <c r="I3" s="45"/>
      <c r="J3" s="45"/>
    </row>
    <row r="4" customFormat="1" ht="33" customHeight="1" spans="1:10">
      <c r="A4" s="47" t="s">
        <v>30</v>
      </c>
      <c r="B4" s="47"/>
      <c r="C4" s="48" t="s">
        <v>321</v>
      </c>
      <c r="D4" s="47"/>
      <c r="E4" s="48"/>
      <c r="F4" s="48"/>
      <c r="G4" s="47"/>
      <c r="H4" s="47"/>
      <c r="I4" s="47"/>
      <c r="J4" s="47"/>
    </row>
    <row r="5" s="41" customFormat="1" ht="30.95" customHeight="1" spans="1:10">
      <c r="A5" s="49">
        <v>1</v>
      </c>
      <c r="B5" s="49" t="s">
        <v>322</v>
      </c>
      <c r="C5" s="50" t="s">
        <v>61</v>
      </c>
      <c r="D5" s="49" t="s">
        <v>323</v>
      </c>
      <c r="E5" s="51" t="s">
        <v>324</v>
      </c>
      <c r="F5" s="51" t="s">
        <v>64</v>
      </c>
      <c r="G5" s="49">
        <v>3.325</v>
      </c>
      <c r="H5" s="49">
        <v>1</v>
      </c>
      <c r="I5" s="49">
        <v>2</v>
      </c>
      <c r="J5" s="64">
        <f>I5*H5*G5</f>
        <v>6.65</v>
      </c>
    </row>
    <row r="6" s="41" customFormat="1" ht="30.95" customHeight="1" spans="1:10">
      <c r="A6" s="49">
        <v>2</v>
      </c>
      <c r="B6" s="49"/>
      <c r="C6" s="50" t="s">
        <v>61</v>
      </c>
      <c r="D6" s="49" t="s">
        <v>323</v>
      </c>
      <c r="E6" s="51" t="s">
        <v>324</v>
      </c>
      <c r="F6" s="51" t="s">
        <v>64</v>
      </c>
      <c r="G6" s="49">
        <v>4.825</v>
      </c>
      <c r="H6" s="49">
        <v>1</v>
      </c>
      <c r="I6" s="49">
        <v>2</v>
      </c>
      <c r="J6" s="64">
        <f>I6*H6*G6</f>
        <v>9.65</v>
      </c>
    </row>
    <row r="7" s="41" customFormat="1" ht="30.95" customHeight="1" spans="1:10">
      <c r="A7" s="49">
        <v>3</v>
      </c>
      <c r="B7" s="49"/>
      <c r="C7" s="50" t="s">
        <v>61</v>
      </c>
      <c r="D7" s="49" t="s">
        <v>323</v>
      </c>
      <c r="E7" s="51" t="s">
        <v>324</v>
      </c>
      <c r="F7" s="51" t="s">
        <v>64</v>
      </c>
      <c r="G7" s="49">
        <v>3.65</v>
      </c>
      <c r="H7" s="49">
        <v>9</v>
      </c>
      <c r="I7" s="49">
        <v>2</v>
      </c>
      <c r="J7" s="64">
        <f t="shared" ref="J7:J12" si="0">I7*H7*G7</f>
        <v>65.7</v>
      </c>
    </row>
    <row r="8" s="41" customFormat="1" ht="30.95" customHeight="1" spans="1:10">
      <c r="A8" s="49">
        <v>4</v>
      </c>
      <c r="B8" s="49"/>
      <c r="C8" s="50" t="s">
        <v>61</v>
      </c>
      <c r="D8" s="49" t="s">
        <v>325</v>
      </c>
      <c r="E8" s="51" t="s">
        <v>326</v>
      </c>
      <c r="F8" s="51" t="s">
        <v>64</v>
      </c>
      <c r="G8" s="49">
        <f>1.2*(2.34+1.82)</f>
        <v>4.992</v>
      </c>
      <c r="H8" s="49">
        <v>1</v>
      </c>
      <c r="I8" s="49">
        <v>2</v>
      </c>
      <c r="J8" s="64">
        <f t="shared" si="0"/>
        <v>9.984</v>
      </c>
    </row>
    <row r="9" s="41" customFormat="1" ht="30.95" customHeight="1" spans="1:10">
      <c r="A9" s="49">
        <v>5</v>
      </c>
      <c r="B9" s="49"/>
      <c r="C9" s="50" t="s">
        <v>61</v>
      </c>
      <c r="D9" s="49" t="s">
        <v>325</v>
      </c>
      <c r="E9" s="51" t="s">
        <v>326</v>
      </c>
      <c r="F9" s="51" t="s">
        <v>64</v>
      </c>
      <c r="G9" s="49">
        <f>1.2*(2.08*2)</f>
        <v>4.992</v>
      </c>
      <c r="H9" s="49">
        <v>10</v>
      </c>
      <c r="I9" s="49">
        <v>2</v>
      </c>
      <c r="J9" s="64">
        <f t="shared" si="0"/>
        <v>99.84</v>
      </c>
    </row>
    <row r="10" s="41" customFormat="1" ht="30.95" customHeight="1" spans="1:11">
      <c r="A10" s="49">
        <v>6</v>
      </c>
      <c r="B10" s="49"/>
      <c r="C10" s="52" t="s">
        <v>327</v>
      </c>
      <c r="D10" s="49" t="s">
        <v>212</v>
      </c>
      <c r="E10" s="49" t="s">
        <v>328</v>
      </c>
      <c r="F10" s="49" t="s">
        <v>64</v>
      </c>
      <c r="G10" s="49"/>
      <c r="H10" s="49">
        <v>1</v>
      </c>
      <c r="I10" s="49">
        <v>2</v>
      </c>
      <c r="J10" s="65">
        <f t="shared" si="0"/>
        <v>0</v>
      </c>
      <c r="K10" s="41" t="s">
        <v>221</v>
      </c>
    </row>
    <row r="11" s="41" customFormat="1" ht="30.95" customHeight="1" spans="1:10">
      <c r="A11" s="49">
        <v>7</v>
      </c>
      <c r="B11" s="49"/>
      <c r="C11" s="50" t="s">
        <v>61</v>
      </c>
      <c r="D11" s="49" t="s">
        <v>209</v>
      </c>
      <c r="E11" s="49" t="s">
        <v>324</v>
      </c>
      <c r="F11" s="49" t="s">
        <v>64</v>
      </c>
      <c r="G11" s="49">
        <v>9.41</v>
      </c>
      <c r="H11" s="49">
        <v>1</v>
      </c>
      <c r="I11" s="49">
        <v>2</v>
      </c>
      <c r="J11" s="64">
        <f t="shared" si="0"/>
        <v>18.82</v>
      </c>
    </row>
    <row r="12" s="41" customFormat="1" ht="30.95" customHeight="1" spans="1:10">
      <c r="A12" s="49">
        <v>8</v>
      </c>
      <c r="B12" s="49"/>
      <c r="C12" s="50" t="s">
        <v>61</v>
      </c>
      <c r="D12" s="49" t="s">
        <v>209</v>
      </c>
      <c r="E12" s="49" t="s">
        <v>324</v>
      </c>
      <c r="F12" s="49" t="s">
        <v>64</v>
      </c>
      <c r="G12" s="49">
        <v>9.12</v>
      </c>
      <c r="H12" s="49">
        <v>9</v>
      </c>
      <c r="I12" s="49">
        <v>2</v>
      </c>
      <c r="J12" s="64">
        <f t="shared" si="0"/>
        <v>164.16</v>
      </c>
    </row>
    <row r="13" s="41" customFormat="1" ht="45" customHeight="1" spans="1:11">
      <c r="A13" s="49">
        <v>9</v>
      </c>
      <c r="B13" s="49"/>
      <c r="C13" s="50" t="s">
        <v>61</v>
      </c>
      <c r="D13" s="49" t="s">
        <v>329</v>
      </c>
      <c r="E13" s="49" t="s">
        <v>330</v>
      </c>
      <c r="F13" s="49" t="s">
        <v>64</v>
      </c>
      <c r="G13" s="49"/>
      <c r="H13" s="49">
        <v>10</v>
      </c>
      <c r="I13" s="49">
        <v>2</v>
      </c>
      <c r="J13" s="65">
        <f t="shared" ref="J13:J17" si="1">I13*H13*G13</f>
        <v>0</v>
      </c>
      <c r="K13" s="41" t="s">
        <v>331</v>
      </c>
    </row>
    <row r="14" s="41" customFormat="1" ht="30.95" customHeight="1" spans="1:10">
      <c r="A14" s="49">
        <v>10</v>
      </c>
      <c r="B14" s="49"/>
      <c r="C14" s="52" t="s">
        <v>66</v>
      </c>
      <c r="D14" s="49" t="s">
        <v>209</v>
      </c>
      <c r="E14" s="49"/>
      <c r="F14" s="49" t="s">
        <v>64</v>
      </c>
      <c r="G14" s="49">
        <f>14.15-6.09+3.28*2+14.15-2.92*2-3.02</f>
        <v>19.91</v>
      </c>
      <c r="H14" s="49">
        <v>10</v>
      </c>
      <c r="I14" s="49">
        <v>2</v>
      </c>
      <c r="J14" s="64">
        <f t="shared" si="1"/>
        <v>398.2</v>
      </c>
    </row>
    <row r="15" s="41" customFormat="1" ht="30.95" customHeight="1" spans="1:10">
      <c r="A15" s="49">
        <v>11</v>
      </c>
      <c r="B15" s="49"/>
      <c r="C15" s="52" t="s">
        <v>332</v>
      </c>
      <c r="D15" s="49"/>
      <c r="E15" s="49"/>
      <c r="F15" s="49" t="s">
        <v>78</v>
      </c>
      <c r="G15" s="49"/>
      <c r="H15" s="49">
        <v>10</v>
      </c>
      <c r="I15" s="49">
        <v>2</v>
      </c>
      <c r="J15" s="65">
        <f t="shared" si="1"/>
        <v>0</v>
      </c>
    </row>
    <row r="16" s="41" customFormat="1" ht="30.95" customHeight="1" spans="1:10">
      <c r="A16" s="49">
        <v>12</v>
      </c>
      <c r="B16" s="49"/>
      <c r="C16" s="52" t="s">
        <v>224</v>
      </c>
      <c r="D16" s="49"/>
      <c r="E16" s="49"/>
      <c r="F16" s="49" t="s">
        <v>78</v>
      </c>
      <c r="G16" s="49">
        <v>13.16</v>
      </c>
      <c r="H16" s="49">
        <v>10</v>
      </c>
      <c r="I16" s="49">
        <v>2</v>
      </c>
      <c r="J16" s="64">
        <f t="shared" si="1"/>
        <v>263.2</v>
      </c>
    </row>
    <row r="17" s="41" customFormat="1" ht="30.95" customHeight="1" spans="1:11">
      <c r="A17" s="49">
        <v>13</v>
      </c>
      <c r="B17" s="49"/>
      <c r="C17" s="53" t="s">
        <v>333</v>
      </c>
      <c r="D17" s="54"/>
      <c r="E17" s="51"/>
      <c r="F17" s="54" t="s">
        <v>64</v>
      </c>
      <c r="G17" s="54"/>
      <c r="H17" s="54"/>
      <c r="I17" s="54"/>
      <c r="J17" s="66">
        <f t="shared" si="1"/>
        <v>0</v>
      </c>
      <c r="K17" s="41" t="s">
        <v>334</v>
      </c>
    </row>
    <row r="18" s="41" customFormat="1" ht="30.95" customHeight="1" spans="1:10">
      <c r="A18" s="49">
        <v>14</v>
      </c>
      <c r="B18" s="49"/>
      <c r="C18" s="52" t="s">
        <v>83</v>
      </c>
      <c r="D18" s="49"/>
      <c r="E18" s="49"/>
      <c r="F18" s="49" t="s">
        <v>32</v>
      </c>
      <c r="G18" s="49">
        <v>1</v>
      </c>
      <c r="H18" s="49">
        <v>10</v>
      </c>
      <c r="I18" s="49">
        <v>2</v>
      </c>
      <c r="J18" s="64">
        <f t="shared" ref="J18:J23" si="2">I18*H18*G18</f>
        <v>20</v>
      </c>
    </row>
    <row r="19" s="41" customFormat="1" ht="30.95" customHeight="1" spans="1:10">
      <c r="A19" s="49">
        <v>1</v>
      </c>
      <c r="B19" s="49" t="s">
        <v>335</v>
      </c>
      <c r="C19" s="55" t="s">
        <v>61</v>
      </c>
      <c r="D19" s="54" t="s">
        <v>323</v>
      </c>
      <c r="E19" s="51"/>
      <c r="F19" s="56" t="s">
        <v>64</v>
      </c>
      <c r="G19" s="54">
        <f>5.4+3.5</f>
        <v>8.9</v>
      </c>
      <c r="H19" s="54">
        <v>1</v>
      </c>
      <c r="I19" s="54">
        <v>2</v>
      </c>
      <c r="J19" s="64">
        <f t="shared" si="2"/>
        <v>17.8</v>
      </c>
    </row>
    <row r="20" s="41" customFormat="1" ht="30.95" customHeight="1" spans="1:10">
      <c r="A20" s="49">
        <v>2</v>
      </c>
      <c r="B20" s="49"/>
      <c r="C20" s="55" t="s">
        <v>61</v>
      </c>
      <c r="D20" s="54" t="s">
        <v>325</v>
      </c>
      <c r="E20" s="51"/>
      <c r="F20" s="56" t="s">
        <v>64</v>
      </c>
      <c r="G20" s="54">
        <f>3.43+1.25+3.64*1.24</f>
        <v>9.1936</v>
      </c>
      <c r="H20" s="54">
        <v>1</v>
      </c>
      <c r="I20" s="54">
        <v>2</v>
      </c>
      <c r="J20" s="64">
        <f t="shared" si="2"/>
        <v>18.3872</v>
      </c>
    </row>
    <row r="21" s="41" customFormat="1" ht="39" customHeight="1" spans="1:11">
      <c r="A21" s="49">
        <v>3</v>
      </c>
      <c r="B21" s="49"/>
      <c r="C21" s="55" t="s">
        <v>61</v>
      </c>
      <c r="D21" s="54" t="s">
        <v>209</v>
      </c>
      <c r="E21" s="51"/>
      <c r="F21" s="54" t="s">
        <v>64</v>
      </c>
      <c r="G21" s="54">
        <f>8.35+8.11</f>
        <v>16.46</v>
      </c>
      <c r="H21" s="54">
        <v>12</v>
      </c>
      <c r="I21" s="54">
        <v>2</v>
      </c>
      <c r="J21" s="64">
        <f t="shared" si="2"/>
        <v>395.04</v>
      </c>
      <c r="K21" s="41" t="s">
        <v>336</v>
      </c>
    </row>
    <row r="22" s="41" customFormat="1" ht="30.95" customHeight="1" spans="1:11">
      <c r="A22" s="49">
        <v>4</v>
      </c>
      <c r="B22" s="49"/>
      <c r="C22" s="55" t="s">
        <v>61</v>
      </c>
      <c r="D22" s="54" t="s">
        <v>329</v>
      </c>
      <c r="E22" s="51"/>
      <c r="F22" s="54" t="s">
        <v>64</v>
      </c>
      <c r="G22" s="54"/>
      <c r="H22" s="54"/>
      <c r="I22" s="54"/>
      <c r="J22" s="65">
        <f t="shared" si="2"/>
        <v>0</v>
      </c>
      <c r="K22" s="41" t="s">
        <v>221</v>
      </c>
    </row>
    <row r="23" s="41" customFormat="1" ht="51.95" customHeight="1" spans="1:11">
      <c r="A23" s="49">
        <v>5</v>
      </c>
      <c r="B23" s="49"/>
      <c r="C23" s="53" t="s">
        <v>66</v>
      </c>
      <c r="D23" s="54" t="s">
        <v>209</v>
      </c>
      <c r="E23" s="51"/>
      <c r="F23" s="54" t="s">
        <v>64</v>
      </c>
      <c r="G23" s="54">
        <f>2.24+1.45+8.26-2.18-1.14-1.11+6.42-0.52+8.26-2.46+1.45+2.24+8.26-2.46+6.42+8.26-1.11-1.14-2.18+(1.1+2.1*2)*0.08*2</f>
        <v>39.808</v>
      </c>
      <c r="H23" s="54">
        <v>12</v>
      </c>
      <c r="I23" s="54">
        <v>2</v>
      </c>
      <c r="J23" s="64">
        <f t="shared" si="2"/>
        <v>955.392</v>
      </c>
      <c r="K23" s="41" t="s">
        <v>337</v>
      </c>
    </row>
    <row r="24" s="41" customFormat="1" ht="30.95" customHeight="1" spans="1:11">
      <c r="A24" s="49">
        <v>6</v>
      </c>
      <c r="B24" s="49"/>
      <c r="C24" s="53" t="s">
        <v>327</v>
      </c>
      <c r="D24" s="54" t="s">
        <v>212</v>
      </c>
      <c r="E24" s="51"/>
      <c r="F24" s="54" t="s">
        <v>64</v>
      </c>
      <c r="G24" s="57"/>
      <c r="H24" s="54"/>
      <c r="I24" s="54"/>
      <c r="J24" s="65"/>
      <c r="K24" s="41" t="s">
        <v>221</v>
      </c>
    </row>
    <row r="25" s="41" customFormat="1" ht="30.95" customHeight="1" spans="1:10">
      <c r="A25" s="49">
        <v>7</v>
      </c>
      <c r="B25" s="49"/>
      <c r="C25" s="53" t="s">
        <v>224</v>
      </c>
      <c r="D25" s="54"/>
      <c r="E25" s="51"/>
      <c r="F25" s="54" t="s">
        <v>78</v>
      </c>
      <c r="G25" s="54">
        <f>11+11</f>
        <v>22</v>
      </c>
      <c r="H25" s="54">
        <v>12</v>
      </c>
      <c r="I25" s="54">
        <v>2</v>
      </c>
      <c r="J25" s="64">
        <f t="shared" ref="J25:J27" si="3">I25*H25*G25</f>
        <v>528</v>
      </c>
    </row>
    <row r="26" s="41" customFormat="1" ht="30.95" customHeight="1" spans="1:10">
      <c r="A26" s="49">
        <v>8</v>
      </c>
      <c r="B26" s="49"/>
      <c r="C26" s="53" t="s">
        <v>333</v>
      </c>
      <c r="D26" s="54"/>
      <c r="E26" s="51"/>
      <c r="F26" s="54" t="s">
        <v>64</v>
      </c>
      <c r="G26" s="54">
        <f>7.4*2</f>
        <v>14.8</v>
      </c>
      <c r="H26" s="54">
        <v>12</v>
      </c>
      <c r="I26" s="54">
        <v>2</v>
      </c>
      <c r="J26" s="66">
        <f t="shared" si="3"/>
        <v>355.2</v>
      </c>
    </row>
    <row r="27" s="41" customFormat="1" ht="30.95" customHeight="1" spans="1:10">
      <c r="A27" s="49">
        <v>9</v>
      </c>
      <c r="B27" s="49"/>
      <c r="C27" s="53" t="s">
        <v>83</v>
      </c>
      <c r="D27" s="54"/>
      <c r="E27" s="51"/>
      <c r="F27" s="54" t="s">
        <v>32</v>
      </c>
      <c r="G27" s="54">
        <v>2</v>
      </c>
      <c r="H27" s="54">
        <v>12</v>
      </c>
      <c r="I27" s="54">
        <v>2</v>
      </c>
      <c r="J27" s="64">
        <f t="shared" si="3"/>
        <v>48</v>
      </c>
    </row>
    <row r="28" s="41" customFormat="1" ht="30.95" customHeight="1" spans="1:10">
      <c r="A28" s="49">
        <v>10</v>
      </c>
      <c r="B28" s="49"/>
      <c r="C28" s="58" t="s">
        <v>338</v>
      </c>
      <c r="D28" s="54"/>
      <c r="E28" s="51"/>
      <c r="F28" s="56" t="s">
        <v>78</v>
      </c>
      <c r="G28" s="54"/>
      <c r="H28" s="54"/>
      <c r="I28" s="54"/>
      <c r="J28" s="65"/>
    </row>
    <row r="29" s="41" customFormat="1" ht="30.95" customHeight="1" spans="1:10">
      <c r="A29" s="49">
        <v>1</v>
      </c>
      <c r="B29" s="49" t="s">
        <v>339</v>
      </c>
      <c r="C29" s="55" t="s">
        <v>61</v>
      </c>
      <c r="D29" s="54" t="s">
        <v>323</v>
      </c>
      <c r="E29" s="51"/>
      <c r="F29" s="56" t="s">
        <v>64</v>
      </c>
      <c r="G29" s="54">
        <f>3.65*2</f>
        <v>7.3</v>
      </c>
      <c r="H29" s="54">
        <v>2</v>
      </c>
      <c r="I29" s="54">
        <v>2</v>
      </c>
      <c r="J29" s="64">
        <f t="shared" ref="J29:J40" si="4">I29*H29*G29</f>
        <v>29.2</v>
      </c>
    </row>
    <row r="30" s="41" customFormat="1" ht="30.95" customHeight="1" spans="1:10">
      <c r="A30" s="49">
        <v>2</v>
      </c>
      <c r="B30" s="49"/>
      <c r="C30" s="55" t="s">
        <v>61</v>
      </c>
      <c r="D30" s="54" t="s">
        <v>325</v>
      </c>
      <c r="E30" s="51"/>
      <c r="F30" s="56" t="s">
        <v>64</v>
      </c>
      <c r="G30" s="54">
        <f>4.99*2</f>
        <v>9.98</v>
      </c>
      <c r="H30" s="54">
        <v>1</v>
      </c>
      <c r="I30" s="54">
        <v>2</v>
      </c>
      <c r="J30" s="64">
        <f t="shared" si="4"/>
        <v>19.96</v>
      </c>
    </row>
    <row r="31" s="41" customFormat="1" ht="30.95" customHeight="1" spans="1:10">
      <c r="A31" s="49">
        <v>3</v>
      </c>
      <c r="B31" s="49"/>
      <c r="C31" s="55" t="s">
        <v>61</v>
      </c>
      <c r="D31" s="54" t="s">
        <v>209</v>
      </c>
      <c r="E31" s="51"/>
      <c r="F31" s="54" t="s">
        <v>64</v>
      </c>
      <c r="G31" s="54">
        <v>42.83</v>
      </c>
      <c r="H31" s="54">
        <v>19</v>
      </c>
      <c r="I31" s="54">
        <v>2</v>
      </c>
      <c r="J31" s="64">
        <f t="shared" si="4"/>
        <v>1627.54</v>
      </c>
    </row>
    <row r="32" s="41" customFormat="1" ht="30.95" customHeight="1" spans="1:11">
      <c r="A32" s="49">
        <v>4</v>
      </c>
      <c r="B32" s="49"/>
      <c r="C32" s="55" t="s">
        <v>61</v>
      </c>
      <c r="D32" s="54" t="s">
        <v>329</v>
      </c>
      <c r="E32" s="51"/>
      <c r="F32" s="54" t="s">
        <v>64</v>
      </c>
      <c r="G32" s="54"/>
      <c r="H32" s="54">
        <v>19</v>
      </c>
      <c r="I32" s="54">
        <v>2</v>
      </c>
      <c r="J32" s="65">
        <f t="shared" si="4"/>
        <v>0</v>
      </c>
      <c r="K32" s="41" t="s">
        <v>340</v>
      </c>
    </row>
    <row r="33" s="41" customFormat="1" ht="30.95" customHeight="1" spans="1:10">
      <c r="A33" s="49">
        <v>5</v>
      </c>
      <c r="B33" s="49"/>
      <c r="C33" s="53" t="s">
        <v>66</v>
      </c>
      <c r="D33" s="54" t="s">
        <v>209</v>
      </c>
      <c r="E33" s="51"/>
      <c r="F33" s="54" t="s">
        <v>64</v>
      </c>
      <c r="G33" s="59">
        <f>6.38-3.06+7*0.1+1.47+3.5+1.33+6.38-2.39-0.52+11.85-2.18+4.38-2.1+5.8*0.1+7.58-2.18+4.38-2.39+7.66+19.79*2.67-2.39-2.16*2-1.62*2-2.39-2.1+5.8*0.1+3.31-2.46+19.79*2.67-2.43-2.46*3+3.31-2.46+(1.2+2.1*2)*0.08*2*2+(1.1+2.1*2)*0.08*2</f>
        <v>127.6546</v>
      </c>
      <c r="H33" s="54">
        <v>19</v>
      </c>
      <c r="I33" s="54">
        <v>2</v>
      </c>
      <c r="J33" s="67">
        <f t="shared" si="4"/>
        <v>4850.8748</v>
      </c>
    </row>
    <row r="34" s="41" customFormat="1" ht="30.95" customHeight="1" spans="1:10">
      <c r="A34" s="49">
        <v>6</v>
      </c>
      <c r="B34" s="49"/>
      <c r="C34" s="53" t="s">
        <v>327</v>
      </c>
      <c r="D34" s="54" t="s">
        <v>212</v>
      </c>
      <c r="E34" s="51"/>
      <c r="F34" s="54" t="s">
        <v>64</v>
      </c>
      <c r="G34" s="54"/>
      <c r="H34" s="54">
        <v>19</v>
      </c>
      <c r="I34" s="54">
        <v>2</v>
      </c>
      <c r="J34" s="65">
        <f t="shared" si="4"/>
        <v>0</v>
      </c>
    </row>
    <row r="35" s="41" customFormat="1" ht="30.95" customHeight="1" spans="1:10">
      <c r="A35" s="49">
        <v>7</v>
      </c>
      <c r="B35" s="49"/>
      <c r="C35" s="53" t="s">
        <v>224</v>
      </c>
      <c r="D35" s="54"/>
      <c r="E35" s="51"/>
      <c r="F35" s="54" t="s">
        <v>78</v>
      </c>
      <c r="G35" s="54">
        <f>8.8+10.56+14.02+12.82+10.26+13.5</f>
        <v>69.96</v>
      </c>
      <c r="H35" s="54">
        <v>19</v>
      </c>
      <c r="I35" s="54">
        <v>2</v>
      </c>
      <c r="J35" s="64">
        <f t="shared" si="4"/>
        <v>2658.48</v>
      </c>
    </row>
    <row r="36" s="41" customFormat="1" ht="30.95" customHeight="1" spans="1:10">
      <c r="A36" s="49">
        <v>8</v>
      </c>
      <c r="B36" s="49"/>
      <c r="C36" s="53" t="s">
        <v>333</v>
      </c>
      <c r="D36" s="54"/>
      <c r="E36" s="51"/>
      <c r="F36" s="54" t="s">
        <v>64</v>
      </c>
      <c r="G36" s="54">
        <f>10.55+24.54+4.66</f>
        <v>39.75</v>
      </c>
      <c r="H36" s="54">
        <v>19</v>
      </c>
      <c r="I36" s="54">
        <v>2</v>
      </c>
      <c r="J36" s="66">
        <f t="shared" si="4"/>
        <v>1510.5</v>
      </c>
    </row>
    <row r="37" s="41" customFormat="1" ht="30.95" customHeight="1" spans="1:10">
      <c r="A37" s="49">
        <v>9</v>
      </c>
      <c r="B37" s="49"/>
      <c r="C37" s="53" t="s">
        <v>83</v>
      </c>
      <c r="D37" s="54"/>
      <c r="E37" s="51"/>
      <c r="F37" s="54" t="s">
        <v>32</v>
      </c>
      <c r="G37" s="54">
        <v>2</v>
      </c>
      <c r="H37" s="54">
        <v>19</v>
      </c>
      <c r="I37" s="54">
        <v>2</v>
      </c>
      <c r="J37" s="64">
        <f t="shared" si="4"/>
        <v>76</v>
      </c>
    </row>
    <row r="38" s="41" customFormat="1" ht="30.95" customHeight="1" spans="1:10">
      <c r="A38" s="49">
        <v>10</v>
      </c>
      <c r="B38" s="49"/>
      <c r="C38" s="58" t="s">
        <v>338</v>
      </c>
      <c r="D38" s="54"/>
      <c r="E38" s="51"/>
      <c r="F38" s="56" t="s">
        <v>78</v>
      </c>
      <c r="G38" s="54"/>
      <c r="H38" s="54">
        <v>19</v>
      </c>
      <c r="I38" s="54">
        <v>2</v>
      </c>
      <c r="J38" s="65">
        <f t="shared" si="4"/>
        <v>0</v>
      </c>
    </row>
    <row r="39" s="41" customFormat="1" ht="30.95" customHeight="1" spans="1:10">
      <c r="A39" s="49">
        <v>1</v>
      </c>
      <c r="B39" s="49" t="s">
        <v>341</v>
      </c>
      <c r="C39" s="55" t="s">
        <v>61</v>
      </c>
      <c r="D39" s="54" t="s">
        <v>323</v>
      </c>
      <c r="E39" s="51"/>
      <c r="F39" s="56" t="s">
        <v>64</v>
      </c>
      <c r="G39" s="54">
        <f>3.43+3.13+0.78</f>
        <v>7.34</v>
      </c>
      <c r="H39" s="54">
        <v>1</v>
      </c>
      <c r="I39" s="54">
        <v>2</v>
      </c>
      <c r="J39" s="64">
        <f t="shared" si="4"/>
        <v>14.68</v>
      </c>
    </row>
    <row r="40" s="41" customFormat="1" ht="30.95" customHeight="1" spans="1:10">
      <c r="A40" s="49">
        <v>2</v>
      </c>
      <c r="B40" s="49"/>
      <c r="C40" s="55" t="s">
        <v>61</v>
      </c>
      <c r="D40" s="54" t="s">
        <v>325</v>
      </c>
      <c r="E40" s="51"/>
      <c r="F40" s="56" t="s">
        <v>64</v>
      </c>
      <c r="G40" s="54">
        <f>2.5+1.82*1.2</f>
        <v>4.684</v>
      </c>
      <c r="H40" s="54">
        <v>1</v>
      </c>
      <c r="I40" s="54">
        <v>2</v>
      </c>
      <c r="J40" s="64">
        <f t="shared" si="4"/>
        <v>9.368</v>
      </c>
    </row>
    <row r="41" s="41" customFormat="1" ht="30.95" customHeight="1" spans="1:10">
      <c r="A41" s="49">
        <v>3</v>
      </c>
      <c r="B41" s="49"/>
      <c r="C41" s="55" t="s">
        <v>61</v>
      </c>
      <c r="D41" s="54" t="s">
        <v>209</v>
      </c>
      <c r="E41" s="51"/>
      <c r="F41" s="54" t="s">
        <v>64</v>
      </c>
      <c r="G41" s="54">
        <v>12.87</v>
      </c>
      <c r="H41" s="54">
        <v>16</v>
      </c>
      <c r="I41" s="54">
        <v>2</v>
      </c>
      <c r="J41" s="64">
        <f t="shared" ref="J41:J53" si="5">I41*H41*G41</f>
        <v>411.84</v>
      </c>
    </row>
    <row r="42" s="41" customFormat="1" ht="30.95" customHeight="1" spans="1:11">
      <c r="A42" s="49">
        <v>4</v>
      </c>
      <c r="B42" s="49"/>
      <c r="C42" s="55" t="s">
        <v>61</v>
      </c>
      <c r="D42" s="54" t="s">
        <v>329</v>
      </c>
      <c r="E42" s="51"/>
      <c r="F42" s="54" t="s">
        <v>64</v>
      </c>
      <c r="G42" s="54"/>
      <c r="H42" s="54">
        <v>16</v>
      </c>
      <c r="I42" s="54">
        <v>2</v>
      </c>
      <c r="J42" s="65">
        <f t="shared" si="5"/>
        <v>0</v>
      </c>
      <c r="K42" s="41" t="s">
        <v>340</v>
      </c>
    </row>
    <row r="43" s="41" customFormat="1" ht="30.95" customHeight="1" spans="1:10">
      <c r="A43" s="49">
        <v>5</v>
      </c>
      <c r="B43" s="49"/>
      <c r="C43" s="53" t="s">
        <v>66</v>
      </c>
      <c r="D43" s="54" t="s">
        <v>209</v>
      </c>
      <c r="E43" s="51"/>
      <c r="F43" s="54" t="s">
        <v>64</v>
      </c>
      <c r="G43" s="59">
        <f>7.06-0.68-2.16-0.52+(6.48-0.94)*0.08+10.38-3.01-2.92+7.76-1.6*2+10.4-2.92-3.01</f>
        <v>17.6232</v>
      </c>
      <c r="H43" s="54">
        <v>16</v>
      </c>
      <c r="I43" s="54">
        <v>2</v>
      </c>
      <c r="J43" s="67">
        <f t="shared" si="5"/>
        <v>563.9424</v>
      </c>
    </row>
    <row r="44" s="41" customFormat="1" ht="30.95" customHeight="1" spans="1:10">
      <c r="A44" s="49">
        <v>6</v>
      </c>
      <c r="B44" s="49"/>
      <c r="C44" s="53" t="s">
        <v>327</v>
      </c>
      <c r="D44" s="54" t="s">
        <v>212</v>
      </c>
      <c r="E44" s="51"/>
      <c r="F44" s="54" t="s">
        <v>64</v>
      </c>
      <c r="G44" s="54"/>
      <c r="H44" s="54">
        <v>16</v>
      </c>
      <c r="I44" s="54">
        <v>2</v>
      </c>
      <c r="J44" s="65">
        <f t="shared" si="5"/>
        <v>0</v>
      </c>
    </row>
    <row r="45" s="41" customFormat="1" ht="30.95" customHeight="1" spans="1:10">
      <c r="A45" s="49">
        <v>7</v>
      </c>
      <c r="B45" s="49"/>
      <c r="C45" s="53" t="s">
        <v>224</v>
      </c>
      <c r="D45" s="54"/>
      <c r="E45" s="51"/>
      <c r="F45" s="54" t="s">
        <v>78</v>
      </c>
      <c r="G45" s="54">
        <v>13.6</v>
      </c>
      <c r="H45" s="54">
        <v>16</v>
      </c>
      <c r="I45" s="54">
        <v>2</v>
      </c>
      <c r="J45" s="64">
        <f t="shared" si="5"/>
        <v>435.2</v>
      </c>
    </row>
    <row r="46" s="41" customFormat="1" ht="30.95" customHeight="1" spans="1:10">
      <c r="A46" s="49">
        <v>8</v>
      </c>
      <c r="B46" s="49"/>
      <c r="C46" s="53" t="s">
        <v>333</v>
      </c>
      <c r="D46" s="54"/>
      <c r="E46" s="51"/>
      <c r="F46" s="54" t="s">
        <v>64</v>
      </c>
      <c r="G46" s="54">
        <v>11.58</v>
      </c>
      <c r="H46" s="54">
        <v>16</v>
      </c>
      <c r="I46" s="54">
        <v>2</v>
      </c>
      <c r="J46" s="66">
        <f t="shared" si="5"/>
        <v>370.56</v>
      </c>
    </row>
    <row r="47" s="41" customFormat="1" ht="30.95" customHeight="1" spans="1:10">
      <c r="A47" s="49">
        <v>9</v>
      </c>
      <c r="B47" s="49"/>
      <c r="C47" s="53" t="s">
        <v>83</v>
      </c>
      <c r="D47" s="54"/>
      <c r="E47" s="51"/>
      <c r="F47" s="54" t="s">
        <v>32</v>
      </c>
      <c r="G47" s="54">
        <v>2</v>
      </c>
      <c r="H47" s="54">
        <v>16</v>
      </c>
      <c r="I47" s="54">
        <v>2</v>
      </c>
      <c r="J47" s="64">
        <f t="shared" si="5"/>
        <v>64</v>
      </c>
    </row>
    <row r="48" s="41" customFormat="1" ht="30.95" customHeight="1" spans="1:10">
      <c r="A48" s="49">
        <v>10</v>
      </c>
      <c r="B48" s="49"/>
      <c r="C48" s="58" t="s">
        <v>338</v>
      </c>
      <c r="D48" s="54"/>
      <c r="E48" s="51"/>
      <c r="F48" s="56" t="s">
        <v>78</v>
      </c>
      <c r="G48" s="54"/>
      <c r="H48" s="60">
        <v>16</v>
      </c>
      <c r="I48" s="54">
        <v>2</v>
      </c>
      <c r="J48" s="65">
        <f t="shared" si="5"/>
        <v>0</v>
      </c>
    </row>
    <row r="49" s="41" customFormat="1" ht="30.95" customHeight="1" spans="1:10">
      <c r="A49" s="49">
        <v>1</v>
      </c>
      <c r="B49" s="61" t="s">
        <v>342</v>
      </c>
      <c r="C49" s="55" t="s">
        <v>61</v>
      </c>
      <c r="D49" s="54" t="s">
        <v>323</v>
      </c>
      <c r="E49" s="51"/>
      <c r="F49" s="56" t="s">
        <v>64</v>
      </c>
      <c r="G49" s="54">
        <f>4.17+1.56</f>
        <v>5.73</v>
      </c>
      <c r="H49" s="54">
        <v>1</v>
      </c>
      <c r="I49" s="54">
        <v>1</v>
      </c>
      <c r="J49" s="64">
        <f t="shared" si="5"/>
        <v>5.73</v>
      </c>
    </row>
    <row r="50" s="41" customFormat="1" ht="30.95" customHeight="1" spans="1:10">
      <c r="A50" s="49">
        <v>2</v>
      </c>
      <c r="B50" s="61"/>
      <c r="C50" s="55" t="s">
        <v>61</v>
      </c>
      <c r="D50" s="54" t="s">
        <v>325</v>
      </c>
      <c r="E50" s="51"/>
      <c r="F50" s="56" t="s">
        <v>64</v>
      </c>
      <c r="G50" s="54">
        <f>1.2*4.16</f>
        <v>4.992</v>
      </c>
      <c r="H50" s="54">
        <v>1</v>
      </c>
      <c r="I50" s="54">
        <v>1</v>
      </c>
      <c r="J50" s="64">
        <f t="shared" si="5"/>
        <v>4.992</v>
      </c>
    </row>
    <row r="51" s="41" customFormat="1" ht="30.95" customHeight="1" spans="1:11">
      <c r="A51" s="49">
        <v>3</v>
      </c>
      <c r="B51" s="61"/>
      <c r="C51" s="55" t="s">
        <v>61</v>
      </c>
      <c r="D51" s="54" t="s">
        <v>209</v>
      </c>
      <c r="E51" s="51"/>
      <c r="F51" s="54" t="s">
        <v>64</v>
      </c>
      <c r="G51" s="54">
        <f>9.16+7.65</f>
        <v>16.81</v>
      </c>
      <c r="H51" s="54">
        <v>17</v>
      </c>
      <c r="I51" s="54">
        <v>1</v>
      </c>
      <c r="J51" s="64">
        <f t="shared" si="5"/>
        <v>285.77</v>
      </c>
      <c r="K51" s="41" t="s">
        <v>343</v>
      </c>
    </row>
    <row r="52" s="41" customFormat="1" ht="30.95" customHeight="1" spans="1:11">
      <c r="A52" s="49">
        <v>4</v>
      </c>
      <c r="B52" s="61"/>
      <c r="C52" s="55" t="s">
        <v>61</v>
      </c>
      <c r="D52" s="54" t="s">
        <v>329</v>
      </c>
      <c r="E52" s="51"/>
      <c r="F52" s="54" t="s">
        <v>64</v>
      </c>
      <c r="G52" s="54"/>
      <c r="H52" s="54"/>
      <c r="I52" s="54">
        <v>1</v>
      </c>
      <c r="J52" s="65">
        <f t="shared" si="5"/>
        <v>0</v>
      </c>
      <c r="K52" s="41" t="s">
        <v>340</v>
      </c>
    </row>
    <row r="53" s="41" customFormat="1" ht="30.95" customHeight="1" spans="1:11">
      <c r="A53" s="49">
        <v>5</v>
      </c>
      <c r="B53" s="61"/>
      <c r="C53" s="53" t="s">
        <v>66</v>
      </c>
      <c r="D53" s="54" t="s">
        <v>209</v>
      </c>
      <c r="E53" s="51"/>
      <c r="F53" s="54" t="s">
        <v>64</v>
      </c>
      <c r="G53" s="59">
        <f>5.12-3.04+9.35-2.16-0.75-1.6+5.2-2.92+9.32+6.43-3.04+9.35-0.52+6.44-2.92+8.6-0.75-1.6-2.16</f>
        <v>38.35</v>
      </c>
      <c r="H53" s="54">
        <v>17</v>
      </c>
      <c r="I53" s="54">
        <v>1</v>
      </c>
      <c r="J53" s="67">
        <f t="shared" si="5"/>
        <v>651.95</v>
      </c>
      <c r="K53" s="41" t="s">
        <v>344</v>
      </c>
    </row>
    <row r="54" s="41" customFormat="1" ht="30.95" customHeight="1" spans="1:10">
      <c r="A54" s="49">
        <v>6</v>
      </c>
      <c r="B54" s="61"/>
      <c r="C54" s="53" t="s">
        <v>327</v>
      </c>
      <c r="D54" s="54" t="s">
        <v>212</v>
      </c>
      <c r="E54" s="51"/>
      <c r="F54" s="54" t="s">
        <v>64</v>
      </c>
      <c r="G54" s="54"/>
      <c r="H54" s="54"/>
      <c r="I54" s="54">
        <v>1</v>
      </c>
      <c r="J54" s="65">
        <f t="shared" ref="J54:J108" si="6">I54*H54*G54</f>
        <v>0</v>
      </c>
    </row>
    <row r="55" s="41" customFormat="1" ht="30.95" customHeight="1" spans="1:10">
      <c r="A55" s="49">
        <v>7</v>
      </c>
      <c r="B55" s="61"/>
      <c r="C55" s="53" t="s">
        <v>224</v>
      </c>
      <c r="D55" s="54"/>
      <c r="E55" s="51"/>
      <c r="F55" s="54" t="s">
        <v>78</v>
      </c>
      <c r="G55" s="54">
        <f>10.96+11.82</f>
        <v>22.78</v>
      </c>
      <c r="H55" s="54">
        <v>17</v>
      </c>
      <c r="I55" s="54">
        <v>1</v>
      </c>
      <c r="J55" s="64">
        <f t="shared" si="6"/>
        <v>387.26</v>
      </c>
    </row>
    <row r="56" s="41" customFormat="1" ht="30.95" customHeight="1" spans="1:10">
      <c r="A56" s="49">
        <v>8</v>
      </c>
      <c r="B56" s="61"/>
      <c r="C56" s="53" t="s">
        <v>333</v>
      </c>
      <c r="D56" s="54"/>
      <c r="E56" s="51"/>
      <c r="F56" s="54" t="s">
        <v>64</v>
      </c>
      <c r="G56" s="54">
        <f>6.87+8.35</f>
        <v>15.22</v>
      </c>
      <c r="H56" s="54">
        <v>17</v>
      </c>
      <c r="I56" s="54">
        <v>1</v>
      </c>
      <c r="J56" s="66">
        <f t="shared" si="6"/>
        <v>258.74</v>
      </c>
    </row>
    <row r="57" s="41" customFormat="1" ht="30.95" customHeight="1" spans="1:10">
      <c r="A57" s="49">
        <v>9</v>
      </c>
      <c r="B57" s="61"/>
      <c r="C57" s="53" t="s">
        <v>83</v>
      </c>
      <c r="D57" s="54"/>
      <c r="E57" s="51"/>
      <c r="F57" s="54" t="s">
        <v>32</v>
      </c>
      <c r="G57" s="54">
        <v>2</v>
      </c>
      <c r="H57" s="54">
        <v>17</v>
      </c>
      <c r="I57" s="54">
        <v>1</v>
      </c>
      <c r="J57" s="64">
        <f t="shared" si="6"/>
        <v>34</v>
      </c>
    </row>
    <row r="58" s="41" customFormat="1" ht="30.95" customHeight="1" spans="1:10">
      <c r="A58" s="49">
        <v>10</v>
      </c>
      <c r="B58" s="61"/>
      <c r="C58" s="58" t="s">
        <v>338</v>
      </c>
      <c r="D58" s="54"/>
      <c r="E58" s="51"/>
      <c r="F58" s="56" t="s">
        <v>78</v>
      </c>
      <c r="G58" s="54"/>
      <c r="H58" s="54"/>
      <c r="I58" s="54">
        <v>1</v>
      </c>
      <c r="J58" s="65">
        <f t="shared" si="6"/>
        <v>0</v>
      </c>
    </row>
    <row r="59" s="41" customFormat="1" ht="30.95" customHeight="1" spans="1:10">
      <c r="A59" s="49">
        <v>1</v>
      </c>
      <c r="B59" s="61" t="s">
        <v>345</v>
      </c>
      <c r="C59" s="55" t="s">
        <v>61</v>
      </c>
      <c r="D59" s="54" t="s">
        <v>323</v>
      </c>
      <c r="E59" s="51"/>
      <c r="F59" s="56" t="s">
        <v>64</v>
      </c>
      <c r="G59" s="54">
        <f>7.04+3.25+0.72</f>
        <v>11.01</v>
      </c>
      <c r="H59" s="54">
        <v>1</v>
      </c>
      <c r="I59" s="54">
        <v>1</v>
      </c>
      <c r="J59" s="64">
        <f t="shared" si="6"/>
        <v>11.01</v>
      </c>
    </row>
    <row r="60" s="41" customFormat="1" ht="30.95" customHeight="1" spans="1:10">
      <c r="A60" s="49">
        <v>2</v>
      </c>
      <c r="B60" s="61"/>
      <c r="C60" s="55" t="s">
        <v>61</v>
      </c>
      <c r="D60" s="54" t="s">
        <v>325</v>
      </c>
      <c r="E60" s="51"/>
      <c r="F60" s="56" t="s">
        <v>64</v>
      </c>
      <c r="G60" s="54">
        <f>1.2*(1.3+2.6)</f>
        <v>4.68</v>
      </c>
      <c r="H60" s="54">
        <v>1</v>
      </c>
      <c r="I60" s="54">
        <v>1</v>
      </c>
      <c r="J60" s="64">
        <f t="shared" si="6"/>
        <v>4.68</v>
      </c>
    </row>
    <row r="61" s="41" customFormat="1" ht="30.95" customHeight="1" spans="1:11">
      <c r="A61" s="49">
        <v>3</v>
      </c>
      <c r="B61" s="61"/>
      <c r="C61" s="55" t="s">
        <v>61</v>
      </c>
      <c r="D61" s="54" t="s">
        <v>209</v>
      </c>
      <c r="E61" s="51"/>
      <c r="F61" s="54" t="s">
        <v>64</v>
      </c>
      <c r="G61" s="54">
        <v>15.8</v>
      </c>
      <c r="H61" s="54">
        <v>17</v>
      </c>
      <c r="I61" s="54">
        <v>1</v>
      </c>
      <c r="J61" s="64">
        <f t="shared" si="6"/>
        <v>268.6</v>
      </c>
      <c r="K61" s="41" t="s">
        <v>343</v>
      </c>
    </row>
    <row r="62" s="41" customFormat="1" ht="30.95" customHeight="1" spans="1:11">
      <c r="A62" s="49">
        <v>4</v>
      </c>
      <c r="B62" s="61"/>
      <c r="C62" s="55" t="s">
        <v>61</v>
      </c>
      <c r="D62" s="54" t="s">
        <v>329</v>
      </c>
      <c r="E62" s="51"/>
      <c r="F62" s="54" t="s">
        <v>64</v>
      </c>
      <c r="G62" s="54"/>
      <c r="H62" s="54"/>
      <c r="I62" s="54">
        <v>1</v>
      </c>
      <c r="J62" s="65">
        <f t="shared" si="6"/>
        <v>0</v>
      </c>
      <c r="K62" s="41" t="s">
        <v>340</v>
      </c>
    </row>
    <row r="63" s="41" customFormat="1" ht="30.95" customHeight="1" spans="1:11">
      <c r="A63" s="49">
        <v>5</v>
      </c>
      <c r="B63" s="61"/>
      <c r="C63" s="53" t="s">
        <v>66</v>
      </c>
      <c r="D63" s="54" t="s">
        <v>209</v>
      </c>
      <c r="E63" s="51"/>
      <c r="F63" s="54" t="s">
        <v>64</v>
      </c>
      <c r="G63" s="59">
        <f>19.38-3.01*2-0.75-2.16+19.38-1.6*2+3.17+6.44-2.92+6.44-2.92+3.17-0.52</f>
        <v>39.49</v>
      </c>
      <c r="H63" s="54">
        <v>17</v>
      </c>
      <c r="I63" s="54">
        <v>1</v>
      </c>
      <c r="J63" s="67">
        <f t="shared" si="6"/>
        <v>671.33</v>
      </c>
      <c r="K63" s="41" t="s">
        <v>344</v>
      </c>
    </row>
    <row r="64" s="41" customFormat="1" ht="30.95" customHeight="1" spans="1:10">
      <c r="A64" s="49">
        <v>6</v>
      </c>
      <c r="B64" s="61"/>
      <c r="C64" s="53" t="s">
        <v>327</v>
      </c>
      <c r="D64" s="54" t="s">
        <v>212</v>
      </c>
      <c r="E64" s="51"/>
      <c r="F64" s="54" t="s">
        <v>64</v>
      </c>
      <c r="G64" s="54"/>
      <c r="H64" s="54"/>
      <c r="I64" s="54">
        <v>1</v>
      </c>
      <c r="J64" s="65">
        <f t="shared" si="6"/>
        <v>0</v>
      </c>
    </row>
    <row r="65" s="41" customFormat="1" ht="30.95" customHeight="1" spans="1:10">
      <c r="A65" s="49">
        <v>7</v>
      </c>
      <c r="B65" s="61"/>
      <c r="C65" s="53" t="s">
        <v>224</v>
      </c>
      <c r="D65" s="54"/>
      <c r="E65" s="51"/>
      <c r="F65" s="54" t="s">
        <v>78</v>
      </c>
      <c r="G65" s="54">
        <v>21.96</v>
      </c>
      <c r="H65" s="54">
        <v>17</v>
      </c>
      <c r="I65" s="54">
        <v>1</v>
      </c>
      <c r="J65" s="64">
        <f t="shared" si="6"/>
        <v>373.32</v>
      </c>
    </row>
    <row r="66" s="41" customFormat="1" ht="30.95" customHeight="1" spans="1:10">
      <c r="A66" s="49">
        <v>8</v>
      </c>
      <c r="B66" s="61"/>
      <c r="C66" s="53" t="s">
        <v>333</v>
      </c>
      <c r="D66" s="54"/>
      <c r="E66" s="51"/>
      <c r="F66" s="54" t="s">
        <v>64</v>
      </c>
      <c r="G66" s="54">
        <v>14.6</v>
      </c>
      <c r="H66" s="54">
        <v>17</v>
      </c>
      <c r="I66" s="54">
        <v>1</v>
      </c>
      <c r="J66" s="66">
        <f t="shared" si="6"/>
        <v>248.2</v>
      </c>
    </row>
    <row r="67" s="41" customFormat="1" ht="30.95" customHeight="1" spans="1:10">
      <c r="A67" s="49">
        <v>9</v>
      </c>
      <c r="B67" s="61"/>
      <c r="C67" s="53" t="s">
        <v>83</v>
      </c>
      <c r="D67" s="54"/>
      <c r="E67" s="51"/>
      <c r="F67" s="54" t="s">
        <v>32</v>
      </c>
      <c r="G67" s="54">
        <v>2</v>
      </c>
      <c r="H67" s="54">
        <v>17</v>
      </c>
      <c r="I67" s="54">
        <v>1</v>
      </c>
      <c r="J67" s="64">
        <f t="shared" si="6"/>
        <v>34</v>
      </c>
    </row>
    <row r="68" s="41" customFormat="1" ht="30.95" customHeight="1" spans="1:10">
      <c r="A68" s="49">
        <v>10</v>
      </c>
      <c r="B68" s="61"/>
      <c r="C68" s="58" t="s">
        <v>338</v>
      </c>
      <c r="D68" s="54"/>
      <c r="E68" s="51"/>
      <c r="F68" s="56" t="s">
        <v>78</v>
      </c>
      <c r="G68" s="54"/>
      <c r="H68" s="54"/>
      <c r="I68" s="54">
        <v>1</v>
      </c>
      <c r="J68" s="65">
        <f t="shared" si="6"/>
        <v>0</v>
      </c>
    </row>
    <row r="69" s="41" customFormat="1" ht="30.95" customHeight="1" spans="1:10">
      <c r="A69" s="49">
        <v>1</v>
      </c>
      <c r="B69" s="61" t="s">
        <v>346</v>
      </c>
      <c r="C69" s="55" t="s">
        <v>61</v>
      </c>
      <c r="D69" s="54" t="s">
        <v>323</v>
      </c>
      <c r="E69" s="51"/>
      <c r="F69" s="56" t="s">
        <v>64</v>
      </c>
      <c r="G69" s="54">
        <f>7.22+3.25+0.72</f>
        <v>11.19</v>
      </c>
      <c r="H69" s="54">
        <v>1</v>
      </c>
      <c r="I69" s="54">
        <v>2</v>
      </c>
      <c r="J69" s="64">
        <f t="shared" si="6"/>
        <v>22.38</v>
      </c>
    </row>
    <row r="70" s="41" customFormat="1" ht="30.95" customHeight="1" spans="1:10">
      <c r="A70" s="49">
        <v>2</v>
      </c>
      <c r="B70" s="61"/>
      <c r="C70" s="55" t="s">
        <v>61</v>
      </c>
      <c r="D70" s="54" t="s">
        <v>325</v>
      </c>
      <c r="E70" s="51"/>
      <c r="F70" s="56" t="s">
        <v>64</v>
      </c>
      <c r="G70" s="54">
        <f>1.2*(1.3+2.6)</f>
        <v>4.68</v>
      </c>
      <c r="H70" s="54">
        <v>1</v>
      </c>
      <c r="I70" s="54">
        <v>2</v>
      </c>
      <c r="J70" s="64">
        <f t="shared" si="6"/>
        <v>9.36</v>
      </c>
    </row>
    <row r="71" s="41" customFormat="1" ht="30.95" customHeight="1" spans="1:11">
      <c r="A71" s="49">
        <v>3</v>
      </c>
      <c r="B71" s="61"/>
      <c r="C71" s="55" t="s">
        <v>61</v>
      </c>
      <c r="D71" s="54" t="s">
        <v>209</v>
      </c>
      <c r="E71" s="51"/>
      <c r="F71" s="54" t="s">
        <v>64</v>
      </c>
      <c r="G71" s="54">
        <v>15.8</v>
      </c>
      <c r="H71" s="54">
        <v>17</v>
      </c>
      <c r="I71" s="54">
        <v>2</v>
      </c>
      <c r="J71" s="64">
        <f t="shared" si="6"/>
        <v>537.2</v>
      </c>
      <c r="K71" s="41" t="s">
        <v>343</v>
      </c>
    </row>
    <row r="72" s="41" customFormat="1" ht="30.95" customHeight="1" spans="1:11">
      <c r="A72" s="49">
        <v>4</v>
      </c>
      <c r="B72" s="61"/>
      <c r="C72" s="55" t="s">
        <v>61</v>
      </c>
      <c r="D72" s="54" t="s">
        <v>329</v>
      </c>
      <c r="E72" s="51"/>
      <c r="F72" s="54" t="s">
        <v>64</v>
      </c>
      <c r="G72" s="54"/>
      <c r="H72" s="54"/>
      <c r="I72" s="54">
        <v>2</v>
      </c>
      <c r="J72" s="65">
        <f t="shared" si="6"/>
        <v>0</v>
      </c>
      <c r="K72" s="41" t="s">
        <v>340</v>
      </c>
    </row>
    <row r="73" s="41" customFormat="1" ht="30.95" customHeight="1" spans="1:11">
      <c r="A73" s="49">
        <v>5</v>
      </c>
      <c r="B73" s="61"/>
      <c r="C73" s="53" t="s">
        <v>66</v>
      </c>
      <c r="D73" s="54" t="s">
        <v>209</v>
      </c>
      <c r="E73" s="51"/>
      <c r="F73" s="54" t="s">
        <v>64</v>
      </c>
      <c r="G73" s="59">
        <f>19.38-3.01*2-0.75-2.16+19.38-1.6*2+3.17+6.44-2.92+6.44-2.92+3.17-0.52</f>
        <v>39.49</v>
      </c>
      <c r="H73" s="54">
        <v>17</v>
      </c>
      <c r="I73" s="54">
        <v>2</v>
      </c>
      <c r="J73" s="67">
        <f t="shared" si="6"/>
        <v>1342.66</v>
      </c>
      <c r="K73" s="41" t="s">
        <v>344</v>
      </c>
    </row>
    <row r="74" s="41" customFormat="1" ht="30.95" customHeight="1" spans="1:10">
      <c r="A74" s="49">
        <v>6</v>
      </c>
      <c r="B74" s="61"/>
      <c r="C74" s="53" t="s">
        <v>327</v>
      </c>
      <c r="D74" s="54" t="s">
        <v>212</v>
      </c>
      <c r="E74" s="51"/>
      <c r="F74" s="54" t="s">
        <v>64</v>
      </c>
      <c r="G74" s="54"/>
      <c r="H74" s="54"/>
      <c r="I74" s="54">
        <v>2</v>
      </c>
      <c r="J74" s="65">
        <f t="shared" si="6"/>
        <v>0</v>
      </c>
    </row>
    <row r="75" s="41" customFormat="1" ht="30.95" customHeight="1" spans="1:10">
      <c r="A75" s="49">
        <v>7</v>
      </c>
      <c r="B75" s="61"/>
      <c r="C75" s="53" t="s">
        <v>224</v>
      </c>
      <c r="D75" s="54"/>
      <c r="E75" s="51"/>
      <c r="F75" s="54" t="s">
        <v>78</v>
      </c>
      <c r="G75" s="54">
        <v>21.96</v>
      </c>
      <c r="H75" s="54">
        <v>17</v>
      </c>
      <c r="I75" s="54">
        <v>2</v>
      </c>
      <c r="J75" s="64">
        <f t="shared" si="6"/>
        <v>746.64</v>
      </c>
    </row>
    <row r="76" s="41" customFormat="1" ht="30.95" customHeight="1" spans="1:10">
      <c r="A76" s="49">
        <v>8</v>
      </c>
      <c r="B76" s="61"/>
      <c r="C76" s="53" t="s">
        <v>333</v>
      </c>
      <c r="D76" s="54"/>
      <c r="E76" s="51"/>
      <c r="F76" s="54" t="s">
        <v>64</v>
      </c>
      <c r="G76" s="54">
        <v>14.6</v>
      </c>
      <c r="H76" s="54">
        <v>17</v>
      </c>
      <c r="I76" s="54">
        <v>2</v>
      </c>
      <c r="J76" s="66">
        <f t="shared" si="6"/>
        <v>496.4</v>
      </c>
    </row>
    <row r="77" s="41" customFormat="1" ht="30.95" customHeight="1" spans="1:10">
      <c r="A77" s="49">
        <v>9</v>
      </c>
      <c r="B77" s="61"/>
      <c r="C77" s="53" t="s">
        <v>83</v>
      </c>
      <c r="D77" s="54"/>
      <c r="E77" s="51"/>
      <c r="F77" s="54" t="s">
        <v>32</v>
      </c>
      <c r="G77" s="54">
        <v>2</v>
      </c>
      <c r="H77" s="54">
        <v>17</v>
      </c>
      <c r="I77" s="54">
        <v>2</v>
      </c>
      <c r="J77" s="64">
        <f t="shared" si="6"/>
        <v>68</v>
      </c>
    </row>
    <row r="78" s="41" customFormat="1" ht="30.95" customHeight="1" spans="1:10">
      <c r="A78" s="49">
        <v>10</v>
      </c>
      <c r="B78" s="61"/>
      <c r="C78" s="58" t="s">
        <v>338</v>
      </c>
      <c r="D78" s="54"/>
      <c r="E78" s="51"/>
      <c r="F78" s="56" t="s">
        <v>78</v>
      </c>
      <c r="G78" s="54"/>
      <c r="H78" s="54"/>
      <c r="I78" s="54">
        <v>2</v>
      </c>
      <c r="J78" s="65">
        <f t="shared" si="6"/>
        <v>0</v>
      </c>
    </row>
    <row r="79" s="41" customFormat="1" ht="30.95" customHeight="1" spans="1:10">
      <c r="A79" s="49">
        <v>1</v>
      </c>
      <c r="B79" s="61" t="s">
        <v>347</v>
      </c>
      <c r="C79" s="55" t="s">
        <v>61</v>
      </c>
      <c r="D79" s="54" t="s">
        <v>323</v>
      </c>
      <c r="E79" s="51"/>
      <c r="F79" s="56" t="s">
        <v>64</v>
      </c>
      <c r="G79" s="54">
        <f>4.17+1.56</f>
        <v>5.73</v>
      </c>
      <c r="H79" s="54">
        <v>1</v>
      </c>
      <c r="I79" s="54">
        <v>1</v>
      </c>
      <c r="J79" s="64">
        <f t="shared" si="6"/>
        <v>5.73</v>
      </c>
    </row>
    <row r="80" s="41" customFormat="1" ht="30.95" customHeight="1" spans="1:10">
      <c r="A80" s="49">
        <v>2</v>
      </c>
      <c r="B80" s="61"/>
      <c r="C80" s="55" t="s">
        <v>61</v>
      </c>
      <c r="D80" s="54" t="s">
        <v>325</v>
      </c>
      <c r="E80" s="51"/>
      <c r="F80" s="56" t="s">
        <v>64</v>
      </c>
      <c r="G80" s="54">
        <f>1.2*4.16</f>
        <v>4.992</v>
      </c>
      <c r="H80" s="54">
        <v>1</v>
      </c>
      <c r="I80" s="54">
        <v>1</v>
      </c>
      <c r="J80" s="64">
        <f t="shared" si="6"/>
        <v>4.992</v>
      </c>
    </row>
    <row r="81" s="41" customFormat="1" ht="30.95" customHeight="1" spans="1:11">
      <c r="A81" s="49">
        <v>3</v>
      </c>
      <c r="B81" s="61"/>
      <c r="C81" s="55" t="s">
        <v>61</v>
      </c>
      <c r="D81" s="54" t="s">
        <v>209</v>
      </c>
      <c r="E81" s="51"/>
      <c r="F81" s="54" t="s">
        <v>64</v>
      </c>
      <c r="G81" s="54">
        <f>9.16+7.65</f>
        <v>16.81</v>
      </c>
      <c r="H81" s="54">
        <v>17</v>
      </c>
      <c r="I81" s="54">
        <v>1</v>
      </c>
      <c r="J81" s="64">
        <f t="shared" si="6"/>
        <v>285.77</v>
      </c>
      <c r="K81" s="41" t="s">
        <v>343</v>
      </c>
    </row>
    <row r="82" s="41" customFormat="1" ht="30.95" customHeight="1" spans="1:11">
      <c r="A82" s="49">
        <v>4</v>
      </c>
      <c r="B82" s="61"/>
      <c r="C82" s="55" t="s">
        <v>61</v>
      </c>
      <c r="D82" s="54" t="s">
        <v>329</v>
      </c>
      <c r="E82" s="51"/>
      <c r="F82" s="54" t="s">
        <v>64</v>
      </c>
      <c r="G82" s="54"/>
      <c r="H82" s="54"/>
      <c r="I82" s="54">
        <v>1</v>
      </c>
      <c r="J82" s="65">
        <f t="shared" si="6"/>
        <v>0</v>
      </c>
      <c r="K82" s="41" t="s">
        <v>340</v>
      </c>
    </row>
    <row r="83" s="41" customFormat="1" ht="30.95" customHeight="1" spans="1:11">
      <c r="A83" s="49">
        <v>5</v>
      </c>
      <c r="B83" s="61"/>
      <c r="C83" s="53" t="s">
        <v>66</v>
      </c>
      <c r="D83" s="54" t="s">
        <v>209</v>
      </c>
      <c r="E83" s="51"/>
      <c r="F83" s="54" t="s">
        <v>64</v>
      </c>
      <c r="G83" s="59">
        <f>5.12-3.04+9.35-2.16-0.75-1.6+5.2-2.92+9.32+6.43-3.04+9.35-0.52+6.44-2.92+8.6-0.75-1.6-2.16</f>
        <v>38.35</v>
      </c>
      <c r="H83" s="54">
        <v>17</v>
      </c>
      <c r="I83" s="54">
        <v>1</v>
      </c>
      <c r="J83" s="67">
        <f t="shared" si="6"/>
        <v>651.95</v>
      </c>
      <c r="K83" s="41" t="s">
        <v>344</v>
      </c>
    </row>
    <row r="84" s="41" customFormat="1" ht="30.95" customHeight="1" spans="1:10">
      <c r="A84" s="49">
        <v>6</v>
      </c>
      <c r="B84" s="61"/>
      <c r="C84" s="53" t="s">
        <v>327</v>
      </c>
      <c r="D84" s="54" t="s">
        <v>212</v>
      </c>
      <c r="E84" s="51"/>
      <c r="F84" s="54" t="s">
        <v>64</v>
      </c>
      <c r="G84" s="54"/>
      <c r="H84" s="54"/>
      <c r="I84" s="54">
        <v>1</v>
      </c>
      <c r="J84" s="65">
        <f t="shared" si="6"/>
        <v>0</v>
      </c>
    </row>
    <row r="85" s="41" customFormat="1" ht="30.95" customHeight="1" spans="1:10">
      <c r="A85" s="49">
        <v>7</v>
      </c>
      <c r="B85" s="61"/>
      <c r="C85" s="53" t="s">
        <v>224</v>
      </c>
      <c r="D85" s="54"/>
      <c r="E85" s="51"/>
      <c r="F85" s="54" t="s">
        <v>78</v>
      </c>
      <c r="G85" s="54">
        <f>10.96+11.82</f>
        <v>22.78</v>
      </c>
      <c r="H85" s="54">
        <v>17</v>
      </c>
      <c r="I85" s="54">
        <v>1</v>
      </c>
      <c r="J85" s="64">
        <f t="shared" si="6"/>
        <v>387.26</v>
      </c>
    </row>
    <row r="86" s="41" customFormat="1" ht="30.95" customHeight="1" spans="1:10">
      <c r="A86" s="49">
        <v>8</v>
      </c>
      <c r="B86" s="61"/>
      <c r="C86" s="53" t="s">
        <v>333</v>
      </c>
      <c r="D86" s="54"/>
      <c r="E86" s="51"/>
      <c r="F86" s="54" t="s">
        <v>64</v>
      </c>
      <c r="G86" s="54">
        <f>6.87+8.35</f>
        <v>15.22</v>
      </c>
      <c r="H86" s="54">
        <v>17</v>
      </c>
      <c r="I86" s="54">
        <v>1</v>
      </c>
      <c r="J86" s="66">
        <f t="shared" si="6"/>
        <v>258.74</v>
      </c>
    </row>
    <row r="87" s="41" customFormat="1" ht="30.95" customHeight="1" spans="1:10">
      <c r="A87" s="49">
        <v>9</v>
      </c>
      <c r="B87" s="61"/>
      <c r="C87" s="53" t="s">
        <v>83</v>
      </c>
      <c r="D87" s="54"/>
      <c r="E87" s="51"/>
      <c r="F87" s="54" t="s">
        <v>32</v>
      </c>
      <c r="G87" s="54">
        <v>2</v>
      </c>
      <c r="H87" s="54">
        <v>17</v>
      </c>
      <c r="I87" s="54">
        <v>1</v>
      </c>
      <c r="J87" s="64">
        <f t="shared" si="6"/>
        <v>34</v>
      </c>
    </row>
    <row r="88" s="41" customFormat="1" ht="30.95" customHeight="1" spans="1:10">
      <c r="A88" s="49">
        <v>10</v>
      </c>
      <c r="B88" s="61"/>
      <c r="C88" s="58" t="s">
        <v>338</v>
      </c>
      <c r="D88" s="54"/>
      <c r="E88" s="51"/>
      <c r="F88" s="56" t="s">
        <v>78</v>
      </c>
      <c r="G88" s="54"/>
      <c r="H88" s="54"/>
      <c r="I88" s="54">
        <v>1</v>
      </c>
      <c r="J88" s="65">
        <f t="shared" si="6"/>
        <v>0</v>
      </c>
    </row>
    <row r="89" s="41" customFormat="1" ht="30.95" customHeight="1" spans="1:10">
      <c r="A89" s="49">
        <v>1</v>
      </c>
      <c r="B89" s="61" t="s">
        <v>348</v>
      </c>
      <c r="C89" s="55" t="s">
        <v>61</v>
      </c>
      <c r="D89" s="54" t="s">
        <v>323</v>
      </c>
      <c r="E89" s="51"/>
      <c r="F89" s="56" t="s">
        <v>64</v>
      </c>
      <c r="G89" s="54">
        <f>7.04+3.25+0.72</f>
        <v>11.01</v>
      </c>
      <c r="H89" s="54">
        <v>1</v>
      </c>
      <c r="I89" s="54">
        <v>1</v>
      </c>
      <c r="J89" s="64">
        <f t="shared" si="6"/>
        <v>11.01</v>
      </c>
    </row>
    <row r="90" s="41" customFormat="1" ht="30.95" customHeight="1" spans="1:10">
      <c r="A90" s="49">
        <v>2</v>
      </c>
      <c r="B90" s="61"/>
      <c r="C90" s="55" t="s">
        <v>61</v>
      </c>
      <c r="D90" s="54" t="s">
        <v>325</v>
      </c>
      <c r="E90" s="51"/>
      <c r="F90" s="56" t="s">
        <v>64</v>
      </c>
      <c r="G90" s="54">
        <f>1.2*(1.3+2.6)</f>
        <v>4.68</v>
      </c>
      <c r="H90" s="54">
        <v>1</v>
      </c>
      <c r="I90" s="54">
        <v>1</v>
      </c>
      <c r="J90" s="64">
        <f t="shared" si="6"/>
        <v>4.68</v>
      </c>
    </row>
    <row r="91" s="41" customFormat="1" ht="30.95" customHeight="1" spans="1:11">
      <c r="A91" s="49">
        <v>3</v>
      </c>
      <c r="B91" s="61"/>
      <c r="C91" s="55" t="s">
        <v>61</v>
      </c>
      <c r="D91" s="54" t="s">
        <v>209</v>
      </c>
      <c r="E91" s="51"/>
      <c r="F91" s="54" t="s">
        <v>64</v>
      </c>
      <c r="G91" s="54">
        <v>15.8</v>
      </c>
      <c r="H91" s="54">
        <v>17</v>
      </c>
      <c r="I91" s="54">
        <v>1</v>
      </c>
      <c r="J91" s="64">
        <f t="shared" si="6"/>
        <v>268.6</v>
      </c>
      <c r="K91" s="41" t="s">
        <v>343</v>
      </c>
    </row>
    <row r="92" s="41" customFormat="1" ht="30.95" customHeight="1" spans="1:11">
      <c r="A92" s="49">
        <v>4</v>
      </c>
      <c r="B92" s="61"/>
      <c r="C92" s="55" t="s">
        <v>61</v>
      </c>
      <c r="D92" s="54" t="s">
        <v>329</v>
      </c>
      <c r="E92" s="51"/>
      <c r="F92" s="54" t="s">
        <v>64</v>
      </c>
      <c r="G92" s="54"/>
      <c r="H92" s="54"/>
      <c r="I92" s="54">
        <v>1</v>
      </c>
      <c r="J92" s="65">
        <f t="shared" si="6"/>
        <v>0</v>
      </c>
      <c r="K92" s="41" t="s">
        <v>340</v>
      </c>
    </row>
    <row r="93" s="41" customFormat="1" ht="30.95" customHeight="1" spans="1:11">
      <c r="A93" s="49">
        <v>5</v>
      </c>
      <c r="B93" s="61"/>
      <c r="C93" s="53" t="s">
        <v>66</v>
      </c>
      <c r="D93" s="54" t="s">
        <v>209</v>
      </c>
      <c r="E93" s="51"/>
      <c r="F93" s="54" t="s">
        <v>64</v>
      </c>
      <c r="G93" s="59">
        <f>19.38-3.01*2-0.75-2.16+19.38-1.6*2+3.17+6.44-2.92+6.44-2.92+3.17-0.52</f>
        <v>39.49</v>
      </c>
      <c r="H93" s="54">
        <v>17</v>
      </c>
      <c r="I93" s="54">
        <v>1</v>
      </c>
      <c r="J93" s="67">
        <f t="shared" si="6"/>
        <v>671.33</v>
      </c>
      <c r="K93" s="41" t="s">
        <v>344</v>
      </c>
    </row>
    <row r="94" s="41" customFormat="1" ht="30.95" customHeight="1" spans="1:10">
      <c r="A94" s="49">
        <v>6</v>
      </c>
      <c r="B94" s="61"/>
      <c r="C94" s="53" t="s">
        <v>327</v>
      </c>
      <c r="D94" s="54" t="s">
        <v>212</v>
      </c>
      <c r="E94" s="51"/>
      <c r="F94" s="54" t="s">
        <v>64</v>
      </c>
      <c r="G94" s="54"/>
      <c r="H94" s="54"/>
      <c r="I94" s="54">
        <v>1</v>
      </c>
      <c r="J94" s="65">
        <f t="shared" si="6"/>
        <v>0</v>
      </c>
    </row>
    <row r="95" s="41" customFormat="1" ht="30.95" customHeight="1" spans="1:10">
      <c r="A95" s="49">
        <v>7</v>
      </c>
      <c r="B95" s="61"/>
      <c r="C95" s="53" t="s">
        <v>224</v>
      </c>
      <c r="D95" s="54"/>
      <c r="E95" s="51"/>
      <c r="F95" s="54" t="s">
        <v>78</v>
      </c>
      <c r="G95" s="54">
        <v>21.96</v>
      </c>
      <c r="H95" s="54">
        <v>17</v>
      </c>
      <c r="I95" s="54">
        <v>1</v>
      </c>
      <c r="J95" s="64">
        <f t="shared" si="6"/>
        <v>373.32</v>
      </c>
    </row>
    <row r="96" s="41" customFormat="1" ht="30.95" customHeight="1" spans="1:10">
      <c r="A96" s="49">
        <v>8</v>
      </c>
      <c r="B96" s="61"/>
      <c r="C96" s="53" t="s">
        <v>333</v>
      </c>
      <c r="D96" s="54"/>
      <c r="E96" s="51"/>
      <c r="F96" s="54" t="s">
        <v>64</v>
      </c>
      <c r="G96" s="54">
        <v>14.6</v>
      </c>
      <c r="H96" s="54">
        <v>17</v>
      </c>
      <c r="I96" s="54">
        <v>1</v>
      </c>
      <c r="J96" s="66">
        <f t="shared" si="6"/>
        <v>248.2</v>
      </c>
    </row>
    <row r="97" s="41" customFormat="1" ht="30.95" customHeight="1" spans="1:10">
      <c r="A97" s="49">
        <v>9</v>
      </c>
      <c r="B97" s="61"/>
      <c r="C97" s="53" t="s">
        <v>83</v>
      </c>
      <c r="D97" s="54"/>
      <c r="E97" s="51"/>
      <c r="F97" s="54" t="s">
        <v>32</v>
      </c>
      <c r="G97" s="54">
        <v>2</v>
      </c>
      <c r="H97" s="54">
        <v>17</v>
      </c>
      <c r="I97" s="54">
        <v>1</v>
      </c>
      <c r="J97" s="64">
        <f t="shared" si="6"/>
        <v>34</v>
      </c>
    </row>
    <row r="98" s="41" customFormat="1" ht="30.95" customHeight="1" spans="1:10">
      <c r="A98" s="49">
        <v>10</v>
      </c>
      <c r="B98" s="61"/>
      <c r="C98" s="58" t="s">
        <v>338</v>
      </c>
      <c r="D98" s="54"/>
      <c r="E98" s="51"/>
      <c r="F98" s="56" t="s">
        <v>78</v>
      </c>
      <c r="G98" s="54"/>
      <c r="H98" s="54"/>
      <c r="I98" s="54">
        <v>1</v>
      </c>
      <c r="J98" s="65">
        <f t="shared" si="6"/>
        <v>0</v>
      </c>
    </row>
    <row r="99" s="41" customFormat="1" ht="30.95" customHeight="1" spans="1:10">
      <c r="A99" s="49">
        <v>1</v>
      </c>
      <c r="B99" s="49" t="s">
        <v>349</v>
      </c>
      <c r="C99" s="55" t="s">
        <v>61</v>
      </c>
      <c r="D99" s="54" t="s">
        <v>323</v>
      </c>
      <c r="E99" s="51"/>
      <c r="F99" s="56" t="s">
        <v>64</v>
      </c>
      <c r="G99" s="54">
        <f>3.43+2.67+1.64</f>
        <v>7.74</v>
      </c>
      <c r="H99" s="54">
        <v>1</v>
      </c>
      <c r="I99" s="54">
        <v>2</v>
      </c>
      <c r="J99" s="64">
        <f t="shared" si="6"/>
        <v>15.48</v>
      </c>
    </row>
    <row r="100" s="41" customFormat="1" ht="30.95" customHeight="1" spans="1:10">
      <c r="A100" s="49">
        <v>2</v>
      </c>
      <c r="B100" s="49"/>
      <c r="C100" s="55" t="s">
        <v>61</v>
      </c>
      <c r="D100" s="54" t="s">
        <v>325</v>
      </c>
      <c r="E100" s="51"/>
      <c r="F100" s="56" t="s">
        <v>64</v>
      </c>
      <c r="G100" s="54">
        <f>2.08*1.2*2</f>
        <v>4.992</v>
      </c>
      <c r="H100" s="54">
        <v>1</v>
      </c>
      <c r="I100" s="54">
        <v>2</v>
      </c>
      <c r="J100" s="64">
        <f t="shared" si="6"/>
        <v>9.984</v>
      </c>
    </row>
    <row r="101" s="41" customFormat="1" ht="30.95" customHeight="1" spans="1:10">
      <c r="A101" s="49">
        <v>3</v>
      </c>
      <c r="B101" s="49"/>
      <c r="C101" s="55" t="s">
        <v>61</v>
      </c>
      <c r="D101" s="54" t="s">
        <v>209</v>
      </c>
      <c r="E101" s="51"/>
      <c r="F101" s="54" t="s">
        <v>64</v>
      </c>
      <c r="G101" s="54">
        <v>12.87</v>
      </c>
      <c r="H101" s="54">
        <v>17</v>
      </c>
      <c r="I101" s="54">
        <v>2</v>
      </c>
      <c r="J101" s="64">
        <f t="shared" si="6"/>
        <v>437.58</v>
      </c>
    </row>
    <row r="102" s="41" customFormat="1" ht="30.95" customHeight="1" spans="1:11">
      <c r="A102" s="49">
        <v>4</v>
      </c>
      <c r="B102" s="49"/>
      <c r="C102" s="55" t="s">
        <v>61</v>
      </c>
      <c r="D102" s="54" t="s">
        <v>329</v>
      </c>
      <c r="E102" s="51"/>
      <c r="F102" s="54" t="s">
        <v>64</v>
      </c>
      <c r="G102" s="54"/>
      <c r="H102" s="54">
        <v>17</v>
      </c>
      <c r="I102" s="54">
        <v>2</v>
      </c>
      <c r="J102" s="65">
        <f t="shared" si="6"/>
        <v>0</v>
      </c>
      <c r="K102" s="41" t="s">
        <v>340</v>
      </c>
    </row>
    <row r="103" s="41" customFormat="1" ht="30.95" customHeight="1" spans="1:10">
      <c r="A103" s="49">
        <v>5</v>
      </c>
      <c r="B103" s="49"/>
      <c r="C103" s="53" t="s">
        <v>66</v>
      </c>
      <c r="D103" s="54" t="s">
        <v>209</v>
      </c>
      <c r="E103" s="51"/>
      <c r="F103" s="54" t="s">
        <v>64</v>
      </c>
      <c r="G103" s="59">
        <f>7.06-0.68-2.16-0.52+(6.48-0.94)*0.08+10.38-3.01-2.92+7.76-1.6*2+10.4-2.92-3.01</f>
        <v>17.6232</v>
      </c>
      <c r="H103" s="54">
        <v>17</v>
      </c>
      <c r="I103" s="54">
        <v>2</v>
      </c>
      <c r="J103" s="67">
        <f t="shared" si="6"/>
        <v>599.1888</v>
      </c>
    </row>
    <row r="104" s="41" customFormat="1" ht="30.95" customHeight="1" spans="1:10">
      <c r="A104" s="49">
        <v>6</v>
      </c>
      <c r="B104" s="49"/>
      <c r="C104" s="53" t="s">
        <v>327</v>
      </c>
      <c r="D104" s="54" t="s">
        <v>212</v>
      </c>
      <c r="E104" s="51"/>
      <c r="F104" s="54" t="s">
        <v>64</v>
      </c>
      <c r="G104" s="54"/>
      <c r="H104" s="54">
        <v>17</v>
      </c>
      <c r="I104" s="54">
        <v>2</v>
      </c>
      <c r="J104" s="65">
        <f t="shared" si="6"/>
        <v>0</v>
      </c>
    </row>
    <row r="105" s="41" customFormat="1" ht="30.95" customHeight="1" spans="1:10">
      <c r="A105" s="49">
        <v>7</v>
      </c>
      <c r="B105" s="49"/>
      <c r="C105" s="53" t="s">
        <v>224</v>
      </c>
      <c r="D105" s="54"/>
      <c r="E105" s="51"/>
      <c r="F105" s="54" t="s">
        <v>78</v>
      </c>
      <c r="G105" s="54">
        <v>13.6</v>
      </c>
      <c r="H105" s="54">
        <v>17</v>
      </c>
      <c r="I105" s="54">
        <v>2</v>
      </c>
      <c r="J105" s="64">
        <f t="shared" si="6"/>
        <v>462.4</v>
      </c>
    </row>
    <row r="106" s="41" customFormat="1" ht="30.95" customHeight="1" spans="1:10">
      <c r="A106" s="49">
        <v>8</v>
      </c>
      <c r="B106" s="49"/>
      <c r="C106" s="53" t="s">
        <v>333</v>
      </c>
      <c r="D106" s="54"/>
      <c r="E106" s="51"/>
      <c r="F106" s="54" t="s">
        <v>64</v>
      </c>
      <c r="G106" s="54">
        <v>11.58</v>
      </c>
      <c r="H106" s="54">
        <v>17</v>
      </c>
      <c r="I106" s="54">
        <v>2</v>
      </c>
      <c r="J106" s="66">
        <f t="shared" si="6"/>
        <v>393.72</v>
      </c>
    </row>
    <row r="107" s="41" customFormat="1" ht="30.95" customHeight="1" spans="1:10">
      <c r="A107" s="49">
        <v>9</v>
      </c>
      <c r="B107" s="49"/>
      <c r="C107" s="53" t="s">
        <v>83</v>
      </c>
      <c r="D107" s="54"/>
      <c r="E107" s="51"/>
      <c r="F107" s="54" t="s">
        <v>32</v>
      </c>
      <c r="G107" s="54">
        <v>2</v>
      </c>
      <c r="H107" s="54">
        <v>17</v>
      </c>
      <c r="I107" s="54">
        <v>2</v>
      </c>
      <c r="J107" s="64">
        <f t="shared" si="6"/>
        <v>68</v>
      </c>
    </row>
    <row r="108" s="41" customFormat="1" ht="30.95" customHeight="1" spans="1:10">
      <c r="A108" s="49">
        <v>10</v>
      </c>
      <c r="B108" s="49"/>
      <c r="C108" s="58" t="s">
        <v>338</v>
      </c>
      <c r="D108" s="54"/>
      <c r="E108" s="51"/>
      <c r="F108" s="56" t="s">
        <v>78</v>
      </c>
      <c r="G108" s="54"/>
      <c r="H108" s="54">
        <v>17</v>
      </c>
      <c r="I108" s="54">
        <v>2</v>
      </c>
      <c r="J108" s="65">
        <f t="shared" si="6"/>
        <v>0</v>
      </c>
    </row>
    <row r="109" s="41" customFormat="1" ht="30.95" customHeight="1" spans="1:10">
      <c r="A109" s="49">
        <v>1</v>
      </c>
      <c r="B109" s="61" t="s">
        <v>350</v>
      </c>
      <c r="C109" s="55" t="s">
        <v>61</v>
      </c>
      <c r="D109" s="54" t="s">
        <v>323</v>
      </c>
      <c r="E109" s="51"/>
      <c r="F109" s="56" t="s">
        <v>64</v>
      </c>
      <c r="G109" s="54">
        <f>1.17+3.25+4.98</f>
        <v>9.4</v>
      </c>
      <c r="H109" s="54">
        <v>1</v>
      </c>
      <c r="I109" s="54">
        <v>2</v>
      </c>
      <c r="J109" s="64">
        <f t="shared" ref="J109:J118" si="7">I109*H109*G109</f>
        <v>18.8</v>
      </c>
    </row>
    <row r="110" s="41" customFormat="1" ht="30.95" customHeight="1" spans="1:10">
      <c r="A110" s="49">
        <v>2</v>
      </c>
      <c r="B110" s="61"/>
      <c r="C110" s="55" t="s">
        <v>61</v>
      </c>
      <c r="D110" s="54" t="s">
        <v>325</v>
      </c>
      <c r="E110" s="51"/>
      <c r="F110" s="56" t="s">
        <v>64</v>
      </c>
      <c r="G110" s="54">
        <f>1.2*(2.08+2.08)</f>
        <v>4.992</v>
      </c>
      <c r="H110" s="54">
        <v>1</v>
      </c>
      <c r="I110" s="54">
        <v>2</v>
      </c>
      <c r="J110" s="64">
        <f t="shared" si="7"/>
        <v>9.984</v>
      </c>
    </row>
    <row r="111" s="41" customFormat="1" ht="30.95" customHeight="1" spans="1:11">
      <c r="A111" s="49">
        <v>3</v>
      </c>
      <c r="B111" s="61"/>
      <c r="C111" s="55" t="s">
        <v>61</v>
      </c>
      <c r="D111" s="54" t="s">
        <v>209</v>
      </c>
      <c r="E111" s="51"/>
      <c r="F111" s="54" t="s">
        <v>64</v>
      </c>
      <c r="G111" s="54">
        <v>15.8</v>
      </c>
      <c r="H111" s="54">
        <v>17</v>
      </c>
      <c r="I111" s="54">
        <v>2</v>
      </c>
      <c r="J111" s="64">
        <f t="shared" si="7"/>
        <v>537.2</v>
      </c>
      <c r="K111" s="41" t="s">
        <v>343</v>
      </c>
    </row>
    <row r="112" s="41" customFormat="1" ht="30.95" customHeight="1" spans="1:11">
      <c r="A112" s="49">
        <v>4</v>
      </c>
      <c r="B112" s="61"/>
      <c r="C112" s="55" t="s">
        <v>61</v>
      </c>
      <c r="D112" s="54" t="s">
        <v>329</v>
      </c>
      <c r="E112" s="51"/>
      <c r="F112" s="54" t="s">
        <v>64</v>
      </c>
      <c r="G112" s="54"/>
      <c r="H112" s="54"/>
      <c r="I112" s="54">
        <v>2</v>
      </c>
      <c r="J112" s="65">
        <f t="shared" si="7"/>
        <v>0</v>
      </c>
      <c r="K112" s="41" t="s">
        <v>340</v>
      </c>
    </row>
    <row r="113" s="41" customFormat="1" ht="30.95" customHeight="1" spans="1:11">
      <c r="A113" s="49">
        <v>5</v>
      </c>
      <c r="B113" s="61"/>
      <c r="C113" s="53" t="s">
        <v>66</v>
      </c>
      <c r="D113" s="54" t="s">
        <v>209</v>
      </c>
      <c r="E113" s="51"/>
      <c r="F113" s="54" t="s">
        <v>64</v>
      </c>
      <c r="G113" s="59">
        <f>19.38-3.01*2-0.75-2.16+19.38-1.6*2+3.17+6.44-2.92+6.44-2.92+3.17-0.52</f>
        <v>39.49</v>
      </c>
      <c r="H113" s="54">
        <v>17</v>
      </c>
      <c r="I113" s="54">
        <v>2</v>
      </c>
      <c r="J113" s="67">
        <f t="shared" si="7"/>
        <v>1342.66</v>
      </c>
      <c r="K113" s="41" t="s">
        <v>344</v>
      </c>
    </row>
    <row r="114" s="41" customFormat="1" ht="30.95" customHeight="1" spans="1:10">
      <c r="A114" s="49">
        <v>6</v>
      </c>
      <c r="B114" s="61"/>
      <c r="C114" s="53" t="s">
        <v>327</v>
      </c>
      <c r="D114" s="54" t="s">
        <v>212</v>
      </c>
      <c r="E114" s="51"/>
      <c r="F114" s="54" t="s">
        <v>64</v>
      </c>
      <c r="G114" s="54"/>
      <c r="H114" s="54"/>
      <c r="I114" s="54">
        <v>2</v>
      </c>
      <c r="J114" s="65">
        <f t="shared" si="7"/>
        <v>0</v>
      </c>
    </row>
    <row r="115" s="41" customFormat="1" ht="30.95" customHeight="1" spans="1:10">
      <c r="A115" s="49">
        <v>7</v>
      </c>
      <c r="B115" s="61"/>
      <c r="C115" s="53" t="s">
        <v>224</v>
      </c>
      <c r="D115" s="54"/>
      <c r="E115" s="51"/>
      <c r="F115" s="54" t="s">
        <v>78</v>
      </c>
      <c r="G115" s="54">
        <v>21.96</v>
      </c>
      <c r="H115" s="54">
        <v>17</v>
      </c>
      <c r="I115" s="54">
        <v>2</v>
      </c>
      <c r="J115" s="64">
        <f t="shared" si="7"/>
        <v>746.64</v>
      </c>
    </row>
    <row r="116" s="41" customFormat="1" ht="30.95" customHeight="1" spans="1:11">
      <c r="A116" s="49">
        <v>8</v>
      </c>
      <c r="B116" s="61"/>
      <c r="C116" s="53" t="s">
        <v>333</v>
      </c>
      <c r="D116" s="54"/>
      <c r="E116" s="51"/>
      <c r="F116" s="54" t="s">
        <v>64</v>
      </c>
      <c r="G116" s="54">
        <v>14.6</v>
      </c>
      <c r="H116" s="54">
        <v>17</v>
      </c>
      <c r="I116" s="54">
        <v>2</v>
      </c>
      <c r="J116" s="66">
        <f t="shared" si="7"/>
        <v>496.4</v>
      </c>
      <c r="K116" s="41">
        <v>78</v>
      </c>
    </row>
    <row r="117" s="41" customFormat="1" ht="30.95" customHeight="1" spans="1:10">
      <c r="A117" s="49">
        <v>9</v>
      </c>
      <c r="B117" s="61"/>
      <c r="C117" s="53" t="s">
        <v>83</v>
      </c>
      <c r="D117" s="54"/>
      <c r="E117" s="51"/>
      <c r="F117" s="54" t="s">
        <v>32</v>
      </c>
      <c r="G117" s="54">
        <v>2</v>
      </c>
      <c r="H117" s="54">
        <v>17</v>
      </c>
      <c r="I117" s="54">
        <v>2</v>
      </c>
      <c r="J117" s="64">
        <f t="shared" si="7"/>
        <v>68</v>
      </c>
    </row>
    <row r="118" s="41" customFormat="1" ht="30.95" customHeight="1" spans="1:10">
      <c r="A118" s="49">
        <v>10</v>
      </c>
      <c r="B118" s="61"/>
      <c r="C118" s="58" t="s">
        <v>338</v>
      </c>
      <c r="D118" s="54"/>
      <c r="E118" s="51"/>
      <c r="F118" s="56" t="s">
        <v>78</v>
      </c>
      <c r="G118" s="54"/>
      <c r="H118" s="54"/>
      <c r="I118" s="54">
        <v>2</v>
      </c>
      <c r="J118" s="65">
        <f t="shared" si="7"/>
        <v>0</v>
      </c>
    </row>
    <row r="119" s="41" customFormat="1" ht="24.95" customHeight="1" spans="1:10">
      <c r="A119" s="68" t="s">
        <v>33</v>
      </c>
      <c r="B119" s="69"/>
      <c r="C119" s="68" t="s">
        <v>351</v>
      </c>
      <c r="D119" s="68"/>
      <c r="E119" s="68"/>
      <c r="F119" s="68"/>
      <c r="G119" s="68"/>
      <c r="H119" s="68"/>
      <c r="I119" s="68"/>
      <c r="J119" s="68"/>
    </row>
    <row r="120" s="41" customFormat="1" ht="26.1" customHeight="1" spans="1:10">
      <c r="A120" s="70">
        <v>1</v>
      </c>
      <c r="B120" s="70" t="s">
        <v>352</v>
      </c>
      <c r="C120" s="71" t="s">
        <v>61</v>
      </c>
      <c r="D120" s="70" t="s">
        <v>323</v>
      </c>
      <c r="E120" s="72" t="s">
        <v>324</v>
      </c>
      <c r="F120" s="72" t="s">
        <v>64</v>
      </c>
      <c r="G120" s="70">
        <f>(1.43+1.23)*2.5+0.296</f>
        <v>6.946</v>
      </c>
      <c r="H120" s="70">
        <v>1</v>
      </c>
      <c r="I120" s="70">
        <v>2</v>
      </c>
      <c r="J120" s="64">
        <f>I120*H120*G120</f>
        <v>13.892</v>
      </c>
    </row>
    <row r="121" s="41" customFormat="1" ht="26.1" customHeight="1" spans="1:10">
      <c r="A121" s="70">
        <v>2</v>
      </c>
      <c r="B121" s="70"/>
      <c r="C121" s="71" t="s">
        <v>61</v>
      </c>
      <c r="D121" s="70" t="s">
        <v>325</v>
      </c>
      <c r="E121" s="72" t="s">
        <v>326</v>
      </c>
      <c r="F121" s="72" t="s">
        <v>64</v>
      </c>
      <c r="G121" s="70">
        <f>(2.34+1.82)*1.2</f>
        <v>4.992</v>
      </c>
      <c r="H121" s="70">
        <v>1</v>
      </c>
      <c r="I121" s="70">
        <v>2</v>
      </c>
      <c r="J121" s="64">
        <f t="shared" ref="J121:J135" si="8">I121*H121*G121</f>
        <v>9.984</v>
      </c>
    </row>
    <row r="122" s="41" customFormat="1" ht="26.1" customHeight="1" spans="1:11">
      <c r="A122" s="70">
        <v>3</v>
      </c>
      <c r="B122" s="70"/>
      <c r="C122" s="73" t="s">
        <v>327</v>
      </c>
      <c r="D122" s="70" t="s">
        <v>212</v>
      </c>
      <c r="E122" s="70" t="s">
        <v>328</v>
      </c>
      <c r="F122" s="70" t="s">
        <v>64</v>
      </c>
      <c r="G122" s="70"/>
      <c r="H122" s="70">
        <v>1</v>
      </c>
      <c r="I122" s="70">
        <v>2</v>
      </c>
      <c r="J122" s="65">
        <f t="shared" si="8"/>
        <v>0</v>
      </c>
      <c r="K122" s="41" t="s">
        <v>221</v>
      </c>
    </row>
    <row r="123" s="41" customFormat="1" ht="24" spans="1:10">
      <c r="A123" s="70">
        <v>4</v>
      </c>
      <c r="B123" s="70"/>
      <c r="C123" s="71" t="s">
        <v>61</v>
      </c>
      <c r="D123" s="70" t="s">
        <v>209</v>
      </c>
      <c r="E123" s="70" t="s">
        <v>324</v>
      </c>
      <c r="F123" s="70" t="s">
        <v>64</v>
      </c>
      <c r="G123" s="70">
        <v>9.65</v>
      </c>
      <c r="H123" s="70">
        <v>1</v>
      </c>
      <c r="I123" s="70">
        <v>2</v>
      </c>
      <c r="J123" s="64">
        <f t="shared" si="8"/>
        <v>19.3</v>
      </c>
    </row>
    <row r="124" s="41" customFormat="1" ht="18" customHeight="1" spans="1:11">
      <c r="A124" s="70">
        <v>5</v>
      </c>
      <c r="B124" s="70"/>
      <c r="C124" s="71" t="s">
        <v>61</v>
      </c>
      <c r="D124" s="70" t="s">
        <v>329</v>
      </c>
      <c r="E124" s="70" t="s">
        <v>330</v>
      </c>
      <c r="F124" s="70" t="s">
        <v>64</v>
      </c>
      <c r="G124" s="70"/>
      <c r="H124" s="70">
        <v>1</v>
      </c>
      <c r="I124" s="70">
        <v>2</v>
      </c>
      <c r="J124" s="65">
        <f t="shared" si="8"/>
        <v>0</v>
      </c>
      <c r="K124" s="41" t="s">
        <v>353</v>
      </c>
    </row>
    <row r="125" s="41" customFormat="1" ht="18" customHeight="1" spans="1:10">
      <c r="A125" s="70">
        <v>6</v>
      </c>
      <c r="B125" s="70"/>
      <c r="C125" s="73" t="s">
        <v>66</v>
      </c>
      <c r="D125" s="70" t="s">
        <v>209</v>
      </c>
      <c r="E125" s="70"/>
      <c r="F125" s="70" t="s">
        <v>64</v>
      </c>
      <c r="G125" s="70">
        <f>15.46*2.4-1*2.1-1*1.8-1.2*2.3*2-0.52-1.1*2.4</f>
        <v>24.524</v>
      </c>
      <c r="H125" s="70">
        <v>1</v>
      </c>
      <c r="I125" s="70">
        <v>2</v>
      </c>
      <c r="J125" s="64">
        <f t="shared" si="8"/>
        <v>49.048</v>
      </c>
    </row>
    <row r="126" s="41" customFormat="1" ht="39" customHeight="1" spans="1:12">
      <c r="A126" s="70">
        <v>8</v>
      </c>
      <c r="B126" s="70"/>
      <c r="C126" s="73" t="s">
        <v>224</v>
      </c>
      <c r="D126" s="70"/>
      <c r="E126" s="70"/>
      <c r="F126" s="70" t="s">
        <v>78</v>
      </c>
      <c r="G126" s="70">
        <v>15.46</v>
      </c>
      <c r="H126" s="70">
        <v>1</v>
      </c>
      <c r="I126" s="70">
        <v>2</v>
      </c>
      <c r="J126" s="64">
        <f t="shared" si="8"/>
        <v>30.92</v>
      </c>
      <c r="K126" s="74" t="s">
        <v>354</v>
      </c>
      <c r="L126" s="41" t="s">
        <v>355</v>
      </c>
    </row>
    <row r="127" s="41" customFormat="1" ht="18" customHeight="1" spans="1:10">
      <c r="A127" s="70">
        <v>9</v>
      </c>
      <c r="B127" s="70"/>
      <c r="C127" s="73" t="s">
        <v>83</v>
      </c>
      <c r="D127" s="70"/>
      <c r="E127" s="70"/>
      <c r="F127" s="70" t="s">
        <v>32</v>
      </c>
      <c r="G127" s="70">
        <v>1</v>
      </c>
      <c r="H127" s="70">
        <v>1</v>
      </c>
      <c r="I127" s="70">
        <v>2</v>
      </c>
      <c r="J127" s="64">
        <f t="shared" si="8"/>
        <v>2</v>
      </c>
    </row>
    <row r="128" s="41" customFormat="1" ht="26.1" customHeight="1" spans="1:10">
      <c r="A128" s="70">
        <v>1</v>
      </c>
      <c r="B128" s="70" t="s">
        <v>356</v>
      </c>
      <c r="C128" s="71" t="s">
        <v>61</v>
      </c>
      <c r="D128" s="70" t="s">
        <v>323</v>
      </c>
      <c r="E128" s="72" t="s">
        <v>324</v>
      </c>
      <c r="F128" s="72" t="s">
        <v>64</v>
      </c>
      <c r="G128" s="70">
        <f>(1.43*2+1.23)*2.5+0.296</f>
        <v>10.521</v>
      </c>
      <c r="H128" s="70">
        <v>1</v>
      </c>
      <c r="I128" s="70">
        <v>2</v>
      </c>
      <c r="J128" s="64">
        <f t="shared" si="8"/>
        <v>21.042</v>
      </c>
    </row>
    <row r="129" s="41" customFormat="1" ht="18" customHeight="1" spans="1:10">
      <c r="A129" s="70">
        <v>2</v>
      </c>
      <c r="B129" s="70"/>
      <c r="C129" s="71" t="s">
        <v>61</v>
      </c>
      <c r="D129" s="70" t="s">
        <v>325</v>
      </c>
      <c r="E129" s="72" t="s">
        <v>326</v>
      </c>
      <c r="F129" s="72" t="s">
        <v>64</v>
      </c>
      <c r="G129" s="70">
        <f>(1.56+1.82+1.82+1.56)*1.2</f>
        <v>8.112</v>
      </c>
      <c r="H129" s="70">
        <v>1</v>
      </c>
      <c r="I129" s="70">
        <v>2</v>
      </c>
      <c r="J129" s="64">
        <f t="shared" si="8"/>
        <v>16.224</v>
      </c>
    </row>
    <row r="130" s="41" customFormat="1" ht="18" customHeight="1" spans="1:11">
      <c r="A130" s="70">
        <v>3</v>
      </c>
      <c r="B130" s="70"/>
      <c r="C130" s="73" t="s">
        <v>327</v>
      </c>
      <c r="D130" s="70" t="s">
        <v>212</v>
      </c>
      <c r="E130" s="70" t="s">
        <v>328</v>
      </c>
      <c r="F130" s="70" t="s">
        <v>64</v>
      </c>
      <c r="G130" s="70"/>
      <c r="H130" s="70">
        <v>1</v>
      </c>
      <c r="I130" s="70">
        <v>2</v>
      </c>
      <c r="J130" s="65">
        <f t="shared" si="8"/>
        <v>0</v>
      </c>
      <c r="K130" s="41" t="s">
        <v>221</v>
      </c>
    </row>
    <row r="131" s="41" customFormat="1" ht="27" customHeight="1" spans="1:10">
      <c r="A131" s="70">
        <v>4</v>
      </c>
      <c r="B131" s="70"/>
      <c r="C131" s="71" t="s">
        <v>61</v>
      </c>
      <c r="D131" s="70" t="s">
        <v>357</v>
      </c>
      <c r="E131" s="70" t="s">
        <v>324</v>
      </c>
      <c r="F131" s="70" t="s">
        <v>64</v>
      </c>
      <c r="G131" s="54">
        <v>28.76</v>
      </c>
      <c r="H131" s="70">
        <v>1</v>
      </c>
      <c r="I131" s="70">
        <v>2</v>
      </c>
      <c r="J131" s="64">
        <f t="shared" si="8"/>
        <v>57.52</v>
      </c>
    </row>
    <row r="132" s="41" customFormat="1" ht="18" customHeight="1" spans="1:11">
      <c r="A132" s="70">
        <v>5</v>
      </c>
      <c r="B132" s="70"/>
      <c r="C132" s="71" t="s">
        <v>61</v>
      </c>
      <c r="D132" s="70"/>
      <c r="E132" s="70" t="s">
        <v>330</v>
      </c>
      <c r="F132" s="70" t="s">
        <v>64</v>
      </c>
      <c r="G132" s="70"/>
      <c r="H132" s="70">
        <v>1</v>
      </c>
      <c r="I132" s="70">
        <v>2</v>
      </c>
      <c r="J132" s="65">
        <f t="shared" si="8"/>
        <v>0</v>
      </c>
      <c r="K132" s="41" t="s">
        <v>353</v>
      </c>
    </row>
    <row r="133" s="41" customFormat="1" ht="18" customHeight="1" spans="1:10">
      <c r="A133" s="70">
        <v>6</v>
      </c>
      <c r="B133" s="70"/>
      <c r="C133" s="73" t="s">
        <v>66</v>
      </c>
      <c r="D133" s="70" t="s">
        <v>209</v>
      </c>
      <c r="E133" s="70"/>
      <c r="F133" s="70" t="s">
        <v>64</v>
      </c>
      <c r="G133" s="70">
        <f>27.06*2.8-1*2.1-1*1.9-2.1*2.3-1.1*2.8</f>
        <v>63.858</v>
      </c>
      <c r="H133" s="70">
        <v>1</v>
      </c>
      <c r="I133" s="70">
        <v>2</v>
      </c>
      <c r="J133" s="64">
        <f t="shared" si="8"/>
        <v>127.716</v>
      </c>
    </row>
    <row r="134" s="41" customFormat="1" ht="28.5" customHeight="1" spans="1:10">
      <c r="A134" s="70">
        <v>8</v>
      </c>
      <c r="B134" s="70"/>
      <c r="C134" s="73" t="s">
        <v>358</v>
      </c>
      <c r="D134" s="70"/>
      <c r="E134" s="70"/>
      <c r="F134" s="70" t="s">
        <v>359</v>
      </c>
      <c r="G134" s="70">
        <v>17.25</v>
      </c>
      <c r="H134" s="70">
        <v>1</v>
      </c>
      <c r="I134" s="70">
        <v>2</v>
      </c>
      <c r="J134" s="64">
        <f t="shared" si="8"/>
        <v>34.5</v>
      </c>
    </row>
    <row r="135" s="41" customFormat="1" ht="18" customHeight="1" spans="1:10">
      <c r="A135" s="70">
        <v>9</v>
      </c>
      <c r="B135" s="70"/>
      <c r="C135" s="73" t="s">
        <v>83</v>
      </c>
      <c r="D135" s="70" t="s">
        <v>360</v>
      </c>
      <c r="E135" s="70"/>
      <c r="F135" s="70" t="s">
        <v>32</v>
      </c>
      <c r="G135" s="70">
        <v>1</v>
      </c>
      <c r="H135" s="70">
        <v>1</v>
      </c>
      <c r="I135" s="70">
        <v>2</v>
      </c>
      <c r="J135" s="64">
        <f t="shared" si="8"/>
        <v>2</v>
      </c>
    </row>
    <row r="136" ht="24" spans="1:12">
      <c r="A136" s="70">
        <v>1</v>
      </c>
      <c r="B136" s="70" t="s">
        <v>361</v>
      </c>
      <c r="C136" s="71" t="s">
        <v>61</v>
      </c>
      <c r="D136" s="70" t="s">
        <v>323</v>
      </c>
      <c r="E136" s="72" t="s">
        <v>324</v>
      </c>
      <c r="F136" s="72" t="s">
        <v>64</v>
      </c>
      <c r="G136" s="70">
        <f>1.25*2.5+2.28*1.2+1.65*1.3+1.14*1.29+1*0.2</f>
        <v>9.6766</v>
      </c>
      <c r="H136" s="70">
        <v>1</v>
      </c>
      <c r="I136" s="70">
        <v>2</v>
      </c>
      <c r="J136" s="64">
        <f t="shared" ref="J136:J145" si="9">I136*H136*G136</f>
        <v>19.3532</v>
      </c>
      <c r="K136" s="41"/>
      <c r="L136" s="41"/>
    </row>
    <row r="137" spans="1:12">
      <c r="A137" s="70">
        <v>2</v>
      </c>
      <c r="B137" s="70"/>
      <c r="C137" s="71" t="s">
        <v>61</v>
      </c>
      <c r="D137" s="70" t="s">
        <v>325</v>
      </c>
      <c r="E137" s="72" t="s">
        <v>326</v>
      </c>
      <c r="F137" s="72" t="s">
        <v>64</v>
      </c>
      <c r="G137" s="70">
        <f>3.9*1.2+1.82*1.2*2</f>
        <v>9.048</v>
      </c>
      <c r="H137" s="70">
        <v>1</v>
      </c>
      <c r="I137" s="70">
        <v>2</v>
      </c>
      <c r="J137" s="64">
        <f t="shared" si="9"/>
        <v>18.096</v>
      </c>
      <c r="K137" s="41"/>
      <c r="L137" s="41"/>
    </row>
    <row r="138" spans="1:12">
      <c r="A138" s="70">
        <v>3</v>
      </c>
      <c r="B138" s="70"/>
      <c r="C138" s="73" t="s">
        <v>327</v>
      </c>
      <c r="D138" s="70" t="s">
        <v>212</v>
      </c>
      <c r="E138" s="70" t="s">
        <v>328</v>
      </c>
      <c r="F138" s="70" t="s">
        <v>64</v>
      </c>
      <c r="G138" s="70"/>
      <c r="H138" s="70">
        <v>1</v>
      </c>
      <c r="I138" s="70">
        <v>2</v>
      </c>
      <c r="J138" s="65">
        <f t="shared" si="9"/>
        <v>0</v>
      </c>
      <c r="K138" s="41" t="s">
        <v>221</v>
      </c>
      <c r="L138" s="41"/>
    </row>
    <row r="139" ht="24" spans="1:12">
      <c r="A139" s="70">
        <v>4</v>
      </c>
      <c r="B139" s="70"/>
      <c r="C139" s="71" t="s">
        <v>61</v>
      </c>
      <c r="D139" s="70" t="s">
        <v>357</v>
      </c>
      <c r="E139" s="70" t="s">
        <v>324</v>
      </c>
      <c r="F139" s="70" t="s">
        <v>64</v>
      </c>
      <c r="G139" s="54">
        <v>47.8</v>
      </c>
      <c r="H139" s="70">
        <v>1</v>
      </c>
      <c r="I139" s="70">
        <v>2</v>
      </c>
      <c r="J139" s="64">
        <f t="shared" si="9"/>
        <v>95.6</v>
      </c>
      <c r="K139" s="41" t="s">
        <v>362</v>
      </c>
      <c r="L139" s="41"/>
    </row>
    <row r="140" spans="1:12">
      <c r="A140" s="70">
        <v>5</v>
      </c>
      <c r="B140" s="70"/>
      <c r="C140" s="71" t="s">
        <v>61</v>
      </c>
      <c r="D140" s="70"/>
      <c r="E140" s="70" t="s">
        <v>330</v>
      </c>
      <c r="F140" s="70" t="s">
        <v>64</v>
      </c>
      <c r="G140" s="70"/>
      <c r="H140" s="70">
        <v>1</v>
      </c>
      <c r="I140" s="70">
        <v>2</v>
      </c>
      <c r="J140" s="65">
        <f t="shared" si="9"/>
        <v>0</v>
      </c>
      <c r="K140" s="41" t="s">
        <v>353</v>
      </c>
      <c r="L140" s="41"/>
    </row>
    <row r="141" spans="1:12">
      <c r="A141" s="70">
        <v>6</v>
      </c>
      <c r="B141" s="70"/>
      <c r="C141" s="73" t="s">
        <v>66</v>
      </c>
      <c r="D141" s="70" t="s">
        <v>209</v>
      </c>
      <c r="E141" s="70"/>
      <c r="F141" s="70" t="s">
        <v>64</v>
      </c>
      <c r="G141" s="70">
        <f>(24.46+21.76+10.08-(2.44+1.05)*2)*2.8-1.5*2.3-1.5*2.3*2-1.1*2.8*2-1.1*2.3-0.5*4.8-0.52</f>
        <v>116.136</v>
      </c>
      <c r="H141" s="70">
        <v>1</v>
      </c>
      <c r="I141" s="70">
        <v>2</v>
      </c>
      <c r="J141" s="64">
        <f t="shared" si="9"/>
        <v>232.272</v>
      </c>
      <c r="K141" s="41"/>
      <c r="L141" s="41"/>
    </row>
    <row r="142" ht="24" spans="1:12">
      <c r="A142" s="70">
        <v>8</v>
      </c>
      <c r="B142" s="70"/>
      <c r="C142" s="73" t="s">
        <v>358</v>
      </c>
      <c r="D142" s="70"/>
      <c r="E142" s="70"/>
      <c r="F142" s="70" t="s">
        <v>359</v>
      </c>
      <c r="G142" s="70">
        <f>20.18+20.43</f>
        <v>40.61</v>
      </c>
      <c r="H142" s="70">
        <v>1</v>
      </c>
      <c r="I142" s="70">
        <v>2</v>
      </c>
      <c r="J142" s="64">
        <f t="shared" si="9"/>
        <v>81.22</v>
      </c>
      <c r="K142" s="41"/>
      <c r="L142" s="41"/>
    </row>
    <row r="143" spans="1:12">
      <c r="A143" s="70"/>
      <c r="B143" s="70"/>
      <c r="C143" s="73" t="s">
        <v>333</v>
      </c>
      <c r="D143" s="70"/>
      <c r="E143" s="70"/>
      <c r="F143" s="70" t="s">
        <v>64</v>
      </c>
      <c r="G143" s="70">
        <f>5.83+2.44*0.6</f>
        <v>7.294</v>
      </c>
      <c r="H143" s="70">
        <v>1</v>
      </c>
      <c r="I143" s="70">
        <v>2</v>
      </c>
      <c r="J143" s="66">
        <f t="shared" si="9"/>
        <v>14.588</v>
      </c>
      <c r="K143" s="41"/>
      <c r="L143" s="41"/>
    </row>
    <row r="144" spans="1:12">
      <c r="A144" s="70">
        <v>9</v>
      </c>
      <c r="B144" s="70"/>
      <c r="C144" s="73" t="s">
        <v>83</v>
      </c>
      <c r="D144" s="70" t="s">
        <v>360</v>
      </c>
      <c r="E144" s="70"/>
      <c r="F144" s="70" t="s">
        <v>32</v>
      </c>
      <c r="G144" s="70">
        <v>2</v>
      </c>
      <c r="H144" s="70">
        <v>1</v>
      </c>
      <c r="I144" s="70">
        <v>2</v>
      </c>
      <c r="J144" s="64">
        <f t="shared" si="9"/>
        <v>4</v>
      </c>
      <c r="K144" s="41"/>
      <c r="L144" s="41"/>
    </row>
    <row r="145" ht="24" spans="1:13">
      <c r="A145" s="70">
        <v>1</v>
      </c>
      <c r="B145" s="70" t="s">
        <v>363</v>
      </c>
      <c r="C145" s="71" t="s">
        <v>61</v>
      </c>
      <c r="D145" s="70" t="s">
        <v>323</v>
      </c>
      <c r="E145" s="72" t="s">
        <v>324</v>
      </c>
      <c r="F145" s="72" t="s">
        <v>64</v>
      </c>
      <c r="G145" s="70">
        <v>12.23</v>
      </c>
      <c r="H145" s="70">
        <v>1</v>
      </c>
      <c r="I145" s="70">
        <v>2</v>
      </c>
      <c r="J145" s="64">
        <f t="shared" si="9"/>
        <v>24.46</v>
      </c>
      <c r="K145" s="41"/>
      <c r="L145" s="41"/>
      <c r="M145" s="41"/>
    </row>
    <row r="146" spans="1:13">
      <c r="A146" s="70">
        <v>2</v>
      </c>
      <c r="B146" s="70"/>
      <c r="C146" s="71" t="s">
        <v>61</v>
      </c>
      <c r="D146" s="70" t="s">
        <v>325</v>
      </c>
      <c r="E146" s="72" t="s">
        <v>326</v>
      </c>
      <c r="F146" s="72" t="s">
        <v>64</v>
      </c>
      <c r="G146" s="70">
        <v>4.98</v>
      </c>
      <c r="H146" s="70">
        <v>1</v>
      </c>
      <c r="I146" s="70">
        <v>2</v>
      </c>
      <c r="J146" s="64">
        <f t="shared" ref="J146:J161" si="10">I146*H146*G146</f>
        <v>9.96</v>
      </c>
      <c r="K146" s="41"/>
      <c r="L146" s="41"/>
      <c r="M146" s="41"/>
    </row>
    <row r="147" spans="1:13">
      <c r="A147" s="70">
        <v>3</v>
      </c>
      <c r="B147" s="70"/>
      <c r="C147" s="73" t="s">
        <v>327</v>
      </c>
      <c r="D147" s="70" t="s">
        <v>212</v>
      </c>
      <c r="E147" s="70" t="s">
        <v>328</v>
      </c>
      <c r="F147" s="70" t="s">
        <v>64</v>
      </c>
      <c r="G147" s="70"/>
      <c r="H147" s="70">
        <v>1</v>
      </c>
      <c r="I147" s="70">
        <v>2</v>
      </c>
      <c r="J147" s="65">
        <f t="shared" si="10"/>
        <v>0</v>
      </c>
      <c r="K147" s="41" t="s">
        <v>221</v>
      </c>
      <c r="L147" s="41"/>
      <c r="M147" s="41"/>
    </row>
    <row r="148" ht="24" spans="1:13">
      <c r="A148" s="70">
        <v>4</v>
      </c>
      <c r="B148" s="70"/>
      <c r="C148" s="71" t="s">
        <v>61</v>
      </c>
      <c r="D148" s="70" t="s">
        <v>209</v>
      </c>
      <c r="E148" s="70" t="s">
        <v>324</v>
      </c>
      <c r="F148" s="70" t="s">
        <v>64</v>
      </c>
      <c r="G148" s="70">
        <v>15.79</v>
      </c>
      <c r="H148" s="70">
        <v>1</v>
      </c>
      <c r="I148" s="70">
        <v>2</v>
      </c>
      <c r="J148" s="64">
        <f t="shared" si="10"/>
        <v>31.58</v>
      </c>
      <c r="K148" s="41"/>
      <c r="L148" s="41"/>
      <c r="M148" s="41"/>
    </row>
    <row r="149" spans="1:13">
      <c r="A149" s="70">
        <v>5</v>
      </c>
      <c r="B149" s="70"/>
      <c r="C149" s="71" t="s">
        <v>61</v>
      </c>
      <c r="D149" s="70" t="s">
        <v>329</v>
      </c>
      <c r="E149" s="70" t="s">
        <v>330</v>
      </c>
      <c r="F149" s="70" t="s">
        <v>64</v>
      </c>
      <c r="G149" s="70"/>
      <c r="H149" s="70">
        <v>1</v>
      </c>
      <c r="I149" s="70">
        <v>2</v>
      </c>
      <c r="J149" s="65">
        <f t="shared" si="10"/>
        <v>0</v>
      </c>
      <c r="K149" s="41" t="s">
        <v>353</v>
      </c>
      <c r="L149" s="41"/>
      <c r="M149" s="41"/>
    </row>
    <row r="150" spans="1:13">
      <c r="A150" s="70">
        <v>6</v>
      </c>
      <c r="B150" s="70"/>
      <c r="C150" s="73" t="s">
        <v>66</v>
      </c>
      <c r="D150" s="70" t="s">
        <v>209</v>
      </c>
      <c r="E150" s="70"/>
      <c r="F150" s="70" t="s">
        <v>64</v>
      </c>
      <c r="G150" s="70">
        <f>16.89*2.4-1.1*2.1-1.1*2.4*2-1.1*2.1-0.9*1.15-0.8*0.5</f>
        <v>29.201</v>
      </c>
      <c r="H150" s="70">
        <v>1</v>
      </c>
      <c r="I150" s="70">
        <v>2</v>
      </c>
      <c r="J150" s="64">
        <f t="shared" si="10"/>
        <v>58.402</v>
      </c>
      <c r="K150" s="41"/>
      <c r="L150" s="41"/>
      <c r="M150" s="41"/>
    </row>
    <row r="151" ht="24" spans="1:13">
      <c r="A151" s="70">
        <v>8</v>
      </c>
      <c r="B151" s="70"/>
      <c r="C151" s="73" t="s">
        <v>224</v>
      </c>
      <c r="D151" s="70"/>
      <c r="E151" s="70"/>
      <c r="F151" s="70" t="s">
        <v>78</v>
      </c>
      <c r="G151" s="70">
        <v>16.66</v>
      </c>
      <c r="H151" s="70">
        <v>1</v>
      </c>
      <c r="I151" s="70">
        <v>2</v>
      </c>
      <c r="J151" s="64">
        <f t="shared" si="10"/>
        <v>33.32</v>
      </c>
      <c r="K151" s="74" t="s">
        <v>354</v>
      </c>
      <c r="L151" s="41" t="s">
        <v>355</v>
      </c>
      <c r="M151" s="41"/>
    </row>
    <row r="152" spans="1:13">
      <c r="A152" s="70"/>
      <c r="B152" s="70"/>
      <c r="C152" s="75" t="s">
        <v>333</v>
      </c>
      <c r="D152" s="70"/>
      <c r="E152" s="70"/>
      <c r="F152" s="70"/>
      <c r="G152" s="70">
        <v>14.2</v>
      </c>
      <c r="H152" s="70">
        <v>1</v>
      </c>
      <c r="I152" s="70">
        <v>2</v>
      </c>
      <c r="J152" s="66">
        <f t="shared" si="10"/>
        <v>28.4</v>
      </c>
      <c r="K152" s="74"/>
      <c r="L152" s="41"/>
      <c r="M152" s="41"/>
    </row>
    <row r="153" spans="1:13">
      <c r="A153" s="70">
        <v>9</v>
      </c>
      <c r="B153" s="70"/>
      <c r="C153" s="73" t="s">
        <v>83</v>
      </c>
      <c r="D153" s="70"/>
      <c r="E153" s="70"/>
      <c r="F153" s="70" t="s">
        <v>32</v>
      </c>
      <c r="G153" s="70">
        <v>2</v>
      </c>
      <c r="H153" s="70">
        <v>1</v>
      </c>
      <c r="I153" s="70">
        <v>2</v>
      </c>
      <c r="J153" s="64">
        <f t="shared" si="10"/>
        <v>4</v>
      </c>
      <c r="K153" s="41"/>
      <c r="L153" s="41"/>
      <c r="M153" s="41"/>
    </row>
    <row r="154" ht="24" spans="1:13">
      <c r="A154" s="70">
        <v>1</v>
      </c>
      <c r="B154" s="70" t="s">
        <v>364</v>
      </c>
      <c r="C154" s="71" t="s">
        <v>61</v>
      </c>
      <c r="D154" s="70" t="s">
        <v>323</v>
      </c>
      <c r="E154" s="72" t="s">
        <v>324</v>
      </c>
      <c r="F154" s="72" t="s">
        <v>64</v>
      </c>
      <c r="G154" s="70">
        <f>1.46*2*2.5</f>
        <v>7.3</v>
      </c>
      <c r="H154" s="70">
        <v>1</v>
      </c>
      <c r="I154" s="70">
        <v>1</v>
      </c>
      <c r="J154" s="64">
        <f t="shared" si="10"/>
        <v>7.3</v>
      </c>
      <c r="K154" s="41"/>
      <c r="L154" s="41"/>
      <c r="M154" s="41"/>
    </row>
    <row r="155" spans="1:13">
      <c r="A155" s="70">
        <v>2</v>
      </c>
      <c r="B155" s="70"/>
      <c r="C155" s="71" t="s">
        <v>61</v>
      </c>
      <c r="D155" s="70" t="s">
        <v>325</v>
      </c>
      <c r="E155" s="72" t="s">
        <v>326</v>
      </c>
      <c r="F155" s="72" t="s">
        <v>64</v>
      </c>
      <c r="G155" s="70">
        <f>(4.16+3.38)*1.2</f>
        <v>9.048</v>
      </c>
      <c r="H155" s="70">
        <v>1</v>
      </c>
      <c r="I155" s="70">
        <v>1</v>
      </c>
      <c r="J155" s="64">
        <f t="shared" si="10"/>
        <v>9.048</v>
      </c>
      <c r="K155" s="41"/>
      <c r="L155" s="41"/>
      <c r="M155" s="41"/>
    </row>
    <row r="156" spans="1:13">
      <c r="A156" s="70">
        <v>3</v>
      </c>
      <c r="B156" s="70"/>
      <c r="C156" s="73" t="s">
        <v>327</v>
      </c>
      <c r="D156" s="70" t="s">
        <v>212</v>
      </c>
      <c r="E156" s="70" t="s">
        <v>328</v>
      </c>
      <c r="F156" s="70" t="s">
        <v>64</v>
      </c>
      <c r="G156" s="70"/>
      <c r="H156" s="70">
        <v>1</v>
      </c>
      <c r="I156" s="70">
        <v>1</v>
      </c>
      <c r="J156" s="65">
        <f t="shared" si="10"/>
        <v>0</v>
      </c>
      <c r="K156" s="41" t="s">
        <v>221</v>
      </c>
      <c r="L156" s="41"/>
      <c r="M156" s="41"/>
    </row>
    <row r="157" ht="24" spans="1:13">
      <c r="A157" s="70">
        <v>4</v>
      </c>
      <c r="B157" s="70"/>
      <c r="C157" s="71" t="s">
        <v>61</v>
      </c>
      <c r="D157" s="70" t="s">
        <v>357</v>
      </c>
      <c r="E157" s="70" t="s">
        <v>324</v>
      </c>
      <c r="F157" s="70" t="s">
        <v>64</v>
      </c>
      <c r="G157" s="54">
        <f>7.08*2.5-1+22.25</f>
        <v>38.95</v>
      </c>
      <c r="H157" s="70">
        <v>1</v>
      </c>
      <c r="I157" s="70">
        <v>1</v>
      </c>
      <c r="J157" s="64">
        <f t="shared" si="10"/>
        <v>38.95</v>
      </c>
      <c r="K157" s="41"/>
      <c r="L157" s="41"/>
      <c r="M157" s="41"/>
    </row>
    <row r="158" ht="24" spans="1:13">
      <c r="A158" s="70"/>
      <c r="B158" s="70"/>
      <c r="C158" s="71" t="s">
        <v>365</v>
      </c>
      <c r="D158" s="70" t="s">
        <v>366</v>
      </c>
      <c r="E158" s="70"/>
      <c r="F158" s="70" t="s">
        <v>64</v>
      </c>
      <c r="G158" s="54">
        <v>1</v>
      </c>
      <c r="H158" s="70">
        <v>1</v>
      </c>
      <c r="I158" s="70">
        <v>1</v>
      </c>
      <c r="J158" s="64">
        <f t="shared" si="10"/>
        <v>1</v>
      </c>
      <c r="K158" s="41"/>
      <c r="L158" s="41"/>
      <c r="M158" s="41"/>
    </row>
    <row r="159" spans="1:13">
      <c r="A159" s="70">
        <v>6</v>
      </c>
      <c r="B159" s="70"/>
      <c r="C159" s="73" t="s">
        <v>66</v>
      </c>
      <c r="D159" s="70" t="s">
        <v>209</v>
      </c>
      <c r="E159" s="70"/>
      <c r="F159" s="70" t="s">
        <v>64</v>
      </c>
      <c r="G159" s="70">
        <f>22.27*2.8-1*2.3-1.1*2.8*2-2.1*2.3-1*2.3-0.56</f>
        <v>46.206</v>
      </c>
      <c r="H159" s="70">
        <v>1</v>
      </c>
      <c r="I159" s="70">
        <v>1</v>
      </c>
      <c r="J159" s="64">
        <f t="shared" si="10"/>
        <v>46.206</v>
      </c>
      <c r="K159" s="41"/>
      <c r="L159" s="41"/>
      <c r="M159" s="41"/>
    </row>
    <row r="160" ht="24" spans="1:13">
      <c r="A160" s="70">
        <v>8</v>
      </c>
      <c r="B160" s="70"/>
      <c r="C160" s="73" t="s">
        <v>358</v>
      </c>
      <c r="D160" s="70"/>
      <c r="E160" s="70"/>
      <c r="F160" s="70" t="s">
        <v>359</v>
      </c>
      <c r="G160" s="70">
        <v>21.39</v>
      </c>
      <c r="H160" s="70">
        <v>1</v>
      </c>
      <c r="I160" s="70">
        <v>1</v>
      </c>
      <c r="J160" s="64">
        <f t="shared" si="10"/>
        <v>21.39</v>
      </c>
      <c r="K160" s="41"/>
      <c r="L160" s="41"/>
      <c r="M160" s="41"/>
    </row>
    <row r="161" spans="1:13">
      <c r="A161" s="70">
        <v>9</v>
      </c>
      <c r="B161" s="70"/>
      <c r="C161" s="73" t="s">
        <v>83</v>
      </c>
      <c r="D161" s="70" t="s">
        <v>360</v>
      </c>
      <c r="E161" s="70"/>
      <c r="F161" s="70" t="s">
        <v>32</v>
      </c>
      <c r="G161" s="70">
        <v>2</v>
      </c>
      <c r="H161" s="70">
        <v>1</v>
      </c>
      <c r="I161" s="70">
        <v>1</v>
      </c>
      <c r="J161" s="64">
        <f t="shared" si="10"/>
        <v>2</v>
      </c>
      <c r="K161" s="41"/>
      <c r="L161" s="41"/>
      <c r="M161" s="41"/>
    </row>
    <row r="162" ht="24" spans="1:12">
      <c r="A162" s="70">
        <v>1</v>
      </c>
      <c r="B162" s="70" t="s">
        <v>367</v>
      </c>
      <c r="C162" s="71" t="s">
        <v>61</v>
      </c>
      <c r="D162" s="70" t="s">
        <v>323</v>
      </c>
      <c r="E162" s="72" t="s">
        <v>324</v>
      </c>
      <c r="F162" s="72" t="s">
        <v>64</v>
      </c>
      <c r="G162" s="70">
        <f>1.46*2*2.5</f>
        <v>7.3</v>
      </c>
      <c r="H162" s="70">
        <v>1</v>
      </c>
      <c r="I162" s="70">
        <v>1</v>
      </c>
      <c r="J162" s="64">
        <f t="shared" ref="J162:J170" si="11">I162*H162*G162</f>
        <v>7.3</v>
      </c>
      <c r="K162" s="41"/>
      <c r="L162" s="41"/>
    </row>
    <row r="163" spans="1:12">
      <c r="A163" s="70">
        <v>2</v>
      </c>
      <c r="B163" s="70"/>
      <c r="C163" s="71" t="s">
        <v>61</v>
      </c>
      <c r="D163" s="70" t="s">
        <v>325</v>
      </c>
      <c r="E163" s="72" t="s">
        <v>326</v>
      </c>
      <c r="F163" s="72" t="s">
        <v>64</v>
      </c>
      <c r="G163" s="70">
        <f>(4.16+3.38)*1.2</f>
        <v>9.048</v>
      </c>
      <c r="H163" s="70">
        <v>1</v>
      </c>
      <c r="I163" s="70">
        <v>1</v>
      </c>
      <c r="J163" s="64">
        <f t="shared" si="11"/>
        <v>9.048</v>
      </c>
      <c r="K163" s="41"/>
      <c r="L163" s="41"/>
    </row>
    <row r="164" spans="1:12">
      <c r="A164" s="70">
        <v>3</v>
      </c>
      <c r="B164" s="70"/>
      <c r="C164" s="73" t="s">
        <v>327</v>
      </c>
      <c r="D164" s="70" t="s">
        <v>212</v>
      </c>
      <c r="E164" s="70" t="s">
        <v>328</v>
      </c>
      <c r="F164" s="70" t="s">
        <v>64</v>
      </c>
      <c r="G164" s="70"/>
      <c r="H164" s="70">
        <v>1</v>
      </c>
      <c r="I164" s="70">
        <v>1</v>
      </c>
      <c r="J164" s="65">
        <f t="shared" si="11"/>
        <v>0</v>
      </c>
      <c r="K164" s="41" t="s">
        <v>221</v>
      </c>
      <c r="L164" s="41"/>
    </row>
    <row r="165" ht="24" spans="1:12">
      <c r="A165" s="70">
        <v>4</v>
      </c>
      <c r="B165" s="70"/>
      <c r="C165" s="71" t="s">
        <v>365</v>
      </c>
      <c r="D165" s="70" t="s">
        <v>366</v>
      </c>
      <c r="E165" s="70"/>
      <c r="F165" s="70" t="s">
        <v>64</v>
      </c>
      <c r="G165" s="54">
        <v>1</v>
      </c>
      <c r="H165" s="70">
        <v>1</v>
      </c>
      <c r="I165" s="70">
        <v>1</v>
      </c>
      <c r="J165" s="64">
        <f t="shared" si="11"/>
        <v>1</v>
      </c>
      <c r="K165" s="41"/>
      <c r="L165" s="41"/>
    </row>
    <row r="166" spans="1:12">
      <c r="A166" s="70">
        <v>5</v>
      </c>
      <c r="B166" s="70"/>
      <c r="C166" s="71" t="s">
        <v>61</v>
      </c>
      <c r="D166" s="70"/>
      <c r="E166" s="70" t="s">
        <v>330</v>
      </c>
      <c r="F166" s="70" t="s">
        <v>64</v>
      </c>
      <c r="G166" s="54"/>
      <c r="H166" s="70">
        <v>1</v>
      </c>
      <c r="I166" s="70">
        <v>1</v>
      </c>
      <c r="J166" s="65">
        <f t="shared" si="11"/>
        <v>0</v>
      </c>
      <c r="K166" s="41" t="s">
        <v>353</v>
      </c>
      <c r="L166" s="41"/>
    </row>
    <row r="167" spans="1:12">
      <c r="A167" s="70">
        <v>6</v>
      </c>
      <c r="B167" s="70"/>
      <c r="C167" s="73" t="s">
        <v>66</v>
      </c>
      <c r="D167" s="70" t="s">
        <v>209</v>
      </c>
      <c r="E167" s="70"/>
      <c r="F167" s="70" t="s">
        <v>64</v>
      </c>
      <c r="G167" s="70">
        <f>16.89*2.8-1.1*2.8*2-1.1*2.1-1.2*2.1+15.57</f>
        <v>51.872</v>
      </c>
      <c r="H167" s="70">
        <v>1</v>
      </c>
      <c r="I167" s="70">
        <v>1</v>
      </c>
      <c r="J167" s="64">
        <f t="shared" si="11"/>
        <v>51.872</v>
      </c>
      <c r="K167" s="41"/>
      <c r="L167" s="41"/>
    </row>
    <row r="168" ht="24" spans="1:12">
      <c r="A168" s="70">
        <v>8</v>
      </c>
      <c r="B168" s="70"/>
      <c r="C168" s="73" t="s">
        <v>358</v>
      </c>
      <c r="D168" s="70"/>
      <c r="E168" s="70"/>
      <c r="F168" s="70" t="s">
        <v>359</v>
      </c>
      <c r="G168" s="70">
        <v>14.67</v>
      </c>
      <c r="H168" s="70">
        <v>1</v>
      </c>
      <c r="I168" s="70">
        <v>1</v>
      </c>
      <c r="J168" s="64">
        <f t="shared" si="11"/>
        <v>14.67</v>
      </c>
      <c r="K168" s="41"/>
      <c r="L168" s="41"/>
    </row>
    <row r="169" spans="1:12">
      <c r="A169" s="70">
        <v>9</v>
      </c>
      <c r="B169" s="70"/>
      <c r="C169" s="73" t="s">
        <v>83</v>
      </c>
      <c r="D169" s="70" t="s">
        <v>360</v>
      </c>
      <c r="E169" s="70"/>
      <c r="F169" s="70" t="s">
        <v>32</v>
      </c>
      <c r="G169" s="70">
        <v>2</v>
      </c>
      <c r="H169" s="70">
        <v>1</v>
      </c>
      <c r="I169" s="70">
        <v>1</v>
      </c>
      <c r="J169" s="64">
        <f t="shared" si="11"/>
        <v>2</v>
      </c>
      <c r="K169" s="41"/>
      <c r="L169" s="41"/>
    </row>
    <row r="170" ht="24" spans="1:12">
      <c r="A170" s="70">
        <v>1</v>
      </c>
      <c r="B170" s="70" t="s">
        <v>368</v>
      </c>
      <c r="C170" s="71" t="s">
        <v>61</v>
      </c>
      <c r="D170" s="70" t="s">
        <v>323</v>
      </c>
      <c r="E170" s="72" t="s">
        <v>324</v>
      </c>
      <c r="F170" s="72" t="s">
        <v>64</v>
      </c>
      <c r="G170" s="70">
        <f>1.2*0.65+0.5*1.3+1.32*2.5</f>
        <v>4.73</v>
      </c>
      <c r="H170" s="70">
        <v>1</v>
      </c>
      <c r="I170" s="70">
        <v>2</v>
      </c>
      <c r="J170" s="64">
        <f t="shared" si="11"/>
        <v>9.46</v>
      </c>
      <c r="K170" s="41"/>
      <c r="L170" s="41"/>
    </row>
    <row r="171" spans="1:12">
      <c r="A171" s="70">
        <v>2</v>
      </c>
      <c r="B171" s="70"/>
      <c r="C171" s="71" t="s">
        <v>61</v>
      </c>
      <c r="D171" s="70" t="s">
        <v>325</v>
      </c>
      <c r="E171" s="72" t="s">
        <v>326</v>
      </c>
      <c r="F171" s="72" t="s">
        <v>64</v>
      </c>
      <c r="G171" s="70">
        <f>4.42*1.2</f>
        <v>5.304</v>
      </c>
      <c r="H171" s="70">
        <v>1</v>
      </c>
      <c r="I171" s="70">
        <v>2</v>
      </c>
      <c r="J171" s="64">
        <f t="shared" ref="J171:J186" si="12">I171*H171*G171</f>
        <v>10.608</v>
      </c>
      <c r="K171" s="41"/>
      <c r="L171" s="41"/>
    </row>
    <row r="172" spans="1:12">
      <c r="A172" s="70">
        <v>3</v>
      </c>
      <c r="B172" s="70"/>
      <c r="C172" s="73" t="s">
        <v>327</v>
      </c>
      <c r="D172" s="70" t="s">
        <v>212</v>
      </c>
      <c r="E172" s="70" t="s">
        <v>328</v>
      </c>
      <c r="F172" s="70" t="s">
        <v>64</v>
      </c>
      <c r="G172" s="70"/>
      <c r="H172" s="70">
        <v>1</v>
      </c>
      <c r="I172" s="70">
        <v>2</v>
      </c>
      <c r="J172" s="65">
        <f t="shared" si="12"/>
        <v>0</v>
      </c>
      <c r="K172" s="41" t="s">
        <v>221</v>
      </c>
      <c r="L172" s="41"/>
    </row>
    <row r="173" ht="24" spans="1:12">
      <c r="A173" s="70">
        <v>4</v>
      </c>
      <c r="B173" s="70"/>
      <c r="C173" s="71" t="s">
        <v>61</v>
      </c>
      <c r="D173" s="70" t="s">
        <v>209</v>
      </c>
      <c r="E173" s="70" t="s">
        <v>324</v>
      </c>
      <c r="F173" s="70" t="s">
        <v>64</v>
      </c>
      <c r="G173" s="70">
        <v>12.58</v>
      </c>
      <c r="H173" s="70">
        <v>1</v>
      </c>
      <c r="I173" s="70">
        <v>2</v>
      </c>
      <c r="J173" s="64">
        <f t="shared" si="12"/>
        <v>25.16</v>
      </c>
      <c r="K173" s="41"/>
      <c r="L173" s="41"/>
    </row>
    <row r="174" spans="1:12">
      <c r="A174" s="70">
        <v>5</v>
      </c>
      <c r="B174" s="70"/>
      <c r="C174" s="71" t="s">
        <v>61</v>
      </c>
      <c r="D174" s="70" t="s">
        <v>329</v>
      </c>
      <c r="E174" s="70" t="s">
        <v>330</v>
      </c>
      <c r="F174" s="70" t="s">
        <v>64</v>
      </c>
      <c r="G174" s="70"/>
      <c r="H174" s="70">
        <v>1</v>
      </c>
      <c r="I174" s="70">
        <v>2</v>
      </c>
      <c r="J174" s="65">
        <f t="shared" si="12"/>
        <v>0</v>
      </c>
      <c r="K174" s="41" t="s">
        <v>353</v>
      </c>
      <c r="L174" s="41"/>
    </row>
    <row r="175" spans="1:12">
      <c r="A175" s="70">
        <v>6</v>
      </c>
      <c r="B175" s="70"/>
      <c r="C175" s="73" t="s">
        <v>66</v>
      </c>
      <c r="D175" s="70" t="s">
        <v>209</v>
      </c>
      <c r="E175" s="70"/>
      <c r="F175" s="70" t="s">
        <v>64</v>
      </c>
      <c r="G175" s="70">
        <f>13.37*2.4-1*2.3-1.2*2.3-0.8*2*2-1.1*2.4*2</f>
        <v>18.548</v>
      </c>
      <c r="H175" s="70">
        <v>1</v>
      </c>
      <c r="I175" s="70">
        <v>2</v>
      </c>
      <c r="J175" s="64">
        <f t="shared" si="12"/>
        <v>37.096</v>
      </c>
      <c r="K175" s="41"/>
      <c r="L175" s="41"/>
    </row>
    <row r="176" ht="24" spans="1:12">
      <c r="A176" s="70">
        <v>8</v>
      </c>
      <c r="B176" s="70"/>
      <c r="C176" s="73" t="s">
        <v>224</v>
      </c>
      <c r="D176" s="70"/>
      <c r="E176" s="70"/>
      <c r="F176" s="70" t="s">
        <v>78</v>
      </c>
      <c r="G176" s="70">
        <v>13.37</v>
      </c>
      <c r="H176" s="70">
        <v>1</v>
      </c>
      <c r="I176" s="70">
        <v>2</v>
      </c>
      <c r="J176" s="64">
        <f t="shared" si="12"/>
        <v>26.74</v>
      </c>
      <c r="K176" s="74" t="s">
        <v>354</v>
      </c>
      <c r="L176" s="41" t="s">
        <v>355</v>
      </c>
    </row>
    <row r="177" spans="1:12">
      <c r="A177" s="70"/>
      <c r="B177" s="70"/>
      <c r="C177" s="75" t="s">
        <v>333</v>
      </c>
      <c r="D177" s="70"/>
      <c r="E177" s="70"/>
      <c r="F177" s="70" t="s">
        <v>64</v>
      </c>
      <c r="G177" s="70">
        <v>11.58</v>
      </c>
      <c r="H177" s="70">
        <v>1</v>
      </c>
      <c r="I177" s="70">
        <v>2</v>
      </c>
      <c r="J177" s="66">
        <f t="shared" si="12"/>
        <v>23.16</v>
      </c>
      <c r="K177" s="74"/>
      <c r="L177" s="41"/>
    </row>
    <row r="178" spans="1:12">
      <c r="A178" s="70">
        <v>9</v>
      </c>
      <c r="B178" s="70"/>
      <c r="C178" s="73" t="s">
        <v>83</v>
      </c>
      <c r="D178" s="70"/>
      <c r="E178" s="70"/>
      <c r="F178" s="70" t="s">
        <v>32</v>
      </c>
      <c r="G178" s="70">
        <v>2</v>
      </c>
      <c r="H178" s="70">
        <v>1</v>
      </c>
      <c r="I178" s="70">
        <v>2</v>
      </c>
      <c r="J178" s="64">
        <f t="shared" si="12"/>
        <v>4</v>
      </c>
      <c r="K178" s="41"/>
      <c r="L178" s="41"/>
    </row>
    <row r="179" ht="24" spans="1:12">
      <c r="A179" s="70">
        <v>1</v>
      </c>
      <c r="B179" s="70" t="s">
        <v>369</v>
      </c>
      <c r="C179" s="71" t="s">
        <v>61</v>
      </c>
      <c r="D179" s="70" t="s">
        <v>323</v>
      </c>
      <c r="E179" s="72" t="s">
        <v>324</v>
      </c>
      <c r="F179" s="72" t="s">
        <v>64</v>
      </c>
      <c r="G179" s="70">
        <f>1.25*2.5</f>
        <v>3.125</v>
      </c>
      <c r="H179" s="70">
        <v>1</v>
      </c>
      <c r="I179" s="70">
        <v>2</v>
      </c>
      <c r="J179" s="64">
        <f t="shared" si="12"/>
        <v>6.25</v>
      </c>
      <c r="K179" s="41"/>
      <c r="L179" s="41"/>
    </row>
    <row r="180" spans="1:12">
      <c r="A180" s="70">
        <v>2</v>
      </c>
      <c r="B180" s="70"/>
      <c r="C180" s="71" t="s">
        <v>61</v>
      </c>
      <c r="D180" s="70" t="s">
        <v>325</v>
      </c>
      <c r="E180" s="72" t="s">
        <v>326</v>
      </c>
      <c r="F180" s="72" t="s">
        <v>64</v>
      </c>
      <c r="G180" s="70">
        <f>3.38*2*1.2</f>
        <v>8.112</v>
      </c>
      <c r="H180" s="70">
        <v>1</v>
      </c>
      <c r="I180" s="70">
        <v>2</v>
      </c>
      <c r="J180" s="64">
        <f t="shared" si="12"/>
        <v>16.224</v>
      </c>
      <c r="K180" s="41"/>
      <c r="L180" s="41"/>
    </row>
    <row r="181" spans="1:12">
      <c r="A181" s="70">
        <v>3</v>
      </c>
      <c r="B181" s="70"/>
      <c r="C181" s="73" t="s">
        <v>327</v>
      </c>
      <c r="D181" s="70" t="s">
        <v>212</v>
      </c>
      <c r="E181" s="70" t="s">
        <v>328</v>
      </c>
      <c r="F181" s="70" t="s">
        <v>64</v>
      </c>
      <c r="G181" s="70"/>
      <c r="H181" s="70">
        <v>1</v>
      </c>
      <c r="I181" s="70">
        <v>2</v>
      </c>
      <c r="J181" s="65">
        <f t="shared" si="12"/>
        <v>0</v>
      </c>
      <c r="K181" s="41" t="s">
        <v>221</v>
      </c>
      <c r="L181" s="41"/>
    </row>
    <row r="182" ht="24" spans="1:12">
      <c r="A182" s="70">
        <v>4</v>
      </c>
      <c r="B182" s="70"/>
      <c r="C182" s="71" t="s">
        <v>61</v>
      </c>
      <c r="D182" s="70" t="s">
        <v>357</v>
      </c>
      <c r="E182" s="70" t="s">
        <v>324</v>
      </c>
      <c r="F182" s="70" t="s">
        <v>64</v>
      </c>
      <c r="G182" s="54">
        <f>14.88+18.5-0.64</f>
        <v>32.74</v>
      </c>
      <c r="H182" s="70">
        <v>1</v>
      </c>
      <c r="I182" s="70">
        <v>2</v>
      </c>
      <c r="J182" s="64">
        <f t="shared" si="12"/>
        <v>65.48</v>
      </c>
      <c r="K182" s="41"/>
      <c r="L182" s="41"/>
    </row>
    <row r="183" ht="24" spans="1:12">
      <c r="A183" s="70"/>
      <c r="B183" s="70"/>
      <c r="C183" s="71" t="s">
        <v>365</v>
      </c>
      <c r="D183" s="70" t="s">
        <v>366</v>
      </c>
      <c r="E183" s="70"/>
      <c r="F183" s="70" t="s">
        <v>64</v>
      </c>
      <c r="G183" s="54">
        <v>0.64</v>
      </c>
      <c r="H183" s="70">
        <v>1</v>
      </c>
      <c r="I183" s="70">
        <v>2</v>
      </c>
      <c r="J183" s="64">
        <f t="shared" si="12"/>
        <v>1.28</v>
      </c>
      <c r="K183" s="41"/>
      <c r="L183" s="41"/>
    </row>
    <row r="184" spans="1:12">
      <c r="A184" s="70">
        <v>6</v>
      </c>
      <c r="B184" s="70"/>
      <c r="C184" s="73" t="s">
        <v>66</v>
      </c>
      <c r="D184" s="70" t="s">
        <v>209</v>
      </c>
      <c r="E184" s="70"/>
      <c r="F184" s="70" t="s">
        <v>64</v>
      </c>
      <c r="G184" s="70">
        <f>18.34*2.8-1*2.3-2.1*2.3-1.1*2.8*2-0.56</f>
        <v>37.502</v>
      </c>
      <c r="H184" s="70">
        <v>1</v>
      </c>
      <c r="I184" s="70">
        <v>2</v>
      </c>
      <c r="J184" s="64">
        <f t="shared" si="12"/>
        <v>75.004</v>
      </c>
      <c r="K184" s="41"/>
      <c r="L184" s="41"/>
    </row>
    <row r="185" ht="24" spans="1:12">
      <c r="A185" s="70">
        <v>8</v>
      </c>
      <c r="B185" s="70"/>
      <c r="C185" s="73" t="s">
        <v>358</v>
      </c>
      <c r="D185" s="70"/>
      <c r="E185" s="70"/>
      <c r="F185" s="70" t="s">
        <v>359</v>
      </c>
      <c r="G185" s="70">
        <v>17.29</v>
      </c>
      <c r="H185" s="70">
        <v>1</v>
      </c>
      <c r="I185" s="70">
        <v>2</v>
      </c>
      <c r="J185" s="64">
        <f t="shared" si="12"/>
        <v>34.58</v>
      </c>
      <c r="K185" s="41"/>
      <c r="L185" s="41"/>
    </row>
    <row r="186" spans="1:12">
      <c r="A186" s="70">
        <v>9</v>
      </c>
      <c r="B186" s="70"/>
      <c r="C186" s="73" t="s">
        <v>83</v>
      </c>
      <c r="D186" s="70" t="s">
        <v>360</v>
      </c>
      <c r="E186" s="70"/>
      <c r="F186" s="70" t="s">
        <v>32</v>
      </c>
      <c r="G186" s="70">
        <v>2</v>
      </c>
      <c r="H186" s="70">
        <v>1</v>
      </c>
      <c r="I186" s="70">
        <v>2</v>
      </c>
      <c r="J186" s="64">
        <f t="shared" si="12"/>
        <v>4</v>
      </c>
      <c r="K186" s="41"/>
      <c r="L186" s="41"/>
    </row>
    <row r="187" ht="24" spans="1:10">
      <c r="A187" s="70">
        <v>1</v>
      </c>
      <c r="B187" s="70" t="s">
        <v>370</v>
      </c>
      <c r="C187" s="71" t="s">
        <v>61</v>
      </c>
      <c r="D187" s="70" t="s">
        <v>323</v>
      </c>
      <c r="E187" s="72" t="s">
        <v>324</v>
      </c>
      <c r="F187" s="72" t="s">
        <v>64</v>
      </c>
      <c r="G187" s="70">
        <f>1.17+1.75</f>
        <v>2.92</v>
      </c>
      <c r="H187" s="70">
        <v>1</v>
      </c>
      <c r="I187" s="70">
        <v>2</v>
      </c>
      <c r="J187" s="64">
        <f t="shared" ref="J187:J194" si="13">I187*H187*G187</f>
        <v>5.84</v>
      </c>
    </row>
    <row r="188" spans="1:10">
      <c r="A188" s="70">
        <v>2</v>
      </c>
      <c r="B188" s="70"/>
      <c r="C188" s="71" t="s">
        <v>61</v>
      </c>
      <c r="D188" s="70" t="s">
        <v>325</v>
      </c>
      <c r="E188" s="72" t="s">
        <v>326</v>
      </c>
      <c r="F188" s="72" t="s">
        <v>64</v>
      </c>
      <c r="G188" s="70">
        <f>1.25*1.56+4.16*1.25</f>
        <v>7.15</v>
      </c>
      <c r="H188" s="70">
        <v>1</v>
      </c>
      <c r="I188" s="70">
        <v>2</v>
      </c>
      <c r="J188" s="64">
        <f t="shared" si="13"/>
        <v>14.3</v>
      </c>
    </row>
    <row r="189" spans="1:10">
      <c r="A189" s="70">
        <v>3</v>
      </c>
      <c r="B189" s="70"/>
      <c r="C189" s="73" t="s">
        <v>327</v>
      </c>
      <c r="D189" s="70" t="s">
        <v>212</v>
      </c>
      <c r="E189" s="70" t="s">
        <v>328</v>
      </c>
      <c r="F189" s="70" t="s">
        <v>64</v>
      </c>
      <c r="G189" s="70"/>
      <c r="H189" s="70">
        <v>1</v>
      </c>
      <c r="I189" s="70">
        <v>2</v>
      </c>
      <c r="J189" s="65">
        <f t="shared" si="13"/>
        <v>0</v>
      </c>
    </row>
    <row r="190" ht="24" spans="1:10">
      <c r="A190" s="70">
        <v>4</v>
      </c>
      <c r="B190" s="70"/>
      <c r="C190" s="71" t="s">
        <v>61</v>
      </c>
      <c r="D190" s="70" t="s">
        <v>357</v>
      </c>
      <c r="E190" s="70" t="s">
        <v>324</v>
      </c>
      <c r="F190" s="70" t="s">
        <v>64</v>
      </c>
      <c r="G190" s="54">
        <f>15.6-0.64+36.93+0.48</f>
        <v>52.37</v>
      </c>
      <c r="H190" s="70">
        <v>1</v>
      </c>
      <c r="I190" s="70">
        <v>2</v>
      </c>
      <c r="J190" s="64">
        <f t="shared" si="13"/>
        <v>104.74</v>
      </c>
    </row>
    <row r="191" ht="24" spans="1:10">
      <c r="A191" s="70">
        <v>5</v>
      </c>
      <c r="B191" s="70"/>
      <c r="C191" s="71" t="s">
        <v>365</v>
      </c>
      <c r="D191" s="70" t="s">
        <v>366</v>
      </c>
      <c r="E191" s="70"/>
      <c r="F191" s="70" t="s">
        <v>64</v>
      </c>
      <c r="G191" s="54">
        <v>0.64</v>
      </c>
      <c r="H191" s="70">
        <v>1</v>
      </c>
      <c r="I191" s="70">
        <v>2</v>
      </c>
      <c r="J191" s="64">
        <f t="shared" si="13"/>
        <v>1.28</v>
      </c>
    </row>
    <row r="192" ht="25.5" customHeight="1" spans="1:10">
      <c r="A192" s="70">
        <v>6</v>
      </c>
      <c r="B192" s="70"/>
      <c r="C192" s="73" t="s">
        <v>66</v>
      </c>
      <c r="D192" s="70" t="s">
        <v>209</v>
      </c>
      <c r="E192" s="70"/>
      <c r="F192" s="70" t="s">
        <v>64</v>
      </c>
      <c r="G192" s="70">
        <f>36.86*2.8-1.14*2.8*2-2.1*2.3-1*2.3-0.56</f>
        <v>89.134</v>
      </c>
      <c r="H192" s="70">
        <v>1</v>
      </c>
      <c r="I192" s="70">
        <v>2</v>
      </c>
      <c r="J192" s="64">
        <f t="shared" si="13"/>
        <v>178.268</v>
      </c>
    </row>
    <row r="193" ht="24" spans="1:10">
      <c r="A193" s="70">
        <v>7</v>
      </c>
      <c r="B193" s="70"/>
      <c r="C193" s="73" t="s">
        <v>358</v>
      </c>
      <c r="D193" s="70"/>
      <c r="E193" s="70"/>
      <c r="F193" s="70" t="s">
        <v>359</v>
      </c>
      <c r="G193" s="70">
        <v>36.21</v>
      </c>
      <c r="H193" s="70">
        <v>1</v>
      </c>
      <c r="I193" s="70">
        <v>2</v>
      </c>
      <c r="J193" s="64">
        <f t="shared" si="13"/>
        <v>72.42</v>
      </c>
    </row>
    <row r="194" spans="1:10">
      <c r="A194" s="70">
        <v>8</v>
      </c>
      <c r="B194" s="70"/>
      <c r="C194" s="73" t="s">
        <v>83</v>
      </c>
      <c r="D194" s="70" t="s">
        <v>360</v>
      </c>
      <c r="E194" s="70"/>
      <c r="F194" s="70" t="s">
        <v>32</v>
      </c>
      <c r="G194" s="70">
        <v>2</v>
      </c>
      <c r="H194" s="70">
        <v>1</v>
      </c>
      <c r="I194" s="70">
        <v>2</v>
      </c>
      <c r="J194" s="64">
        <f t="shared" si="13"/>
        <v>4</v>
      </c>
    </row>
    <row r="195" ht="24" spans="1:10">
      <c r="A195" s="70">
        <v>1</v>
      </c>
      <c r="B195" s="70" t="s">
        <v>371</v>
      </c>
      <c r="C195" s="71" t="s">
        <v>61</v>
      </c>
      <c r="D195" s="70" t="s">
        <v>323</v>
      </c>
      <c r="E195" s="72" t="s">
        <v>324</v>
      </c>
      <c r="F195" s="72" t="s">
        <v>64</v>
      </c>
      <c r="G195" s="70">
        <f>1.25*0.6+(1.87+1.25)*2.6</f>
        <v>8.862</v>
      </c>
      <c r="H195" s="70">
        <v>1</v>
      </c>
      <c r="I195" s="70">
        <v>2</v>
      </c>
      <c r="J195" s="64">
        <f t="shared" ref="J195:J202" si="14">I195*H195*G195</f>
        <v>17.724</v>
      </c>
    </row>
    <row r="196" ht="27.75" customHeight="1" spans="1:10">
      <c r="A196" s="70">
        <v>2</v>
      </c>
      <c r="B196" s="70"/>
      <c r="C196" s="71" t="s">
        <v>61</v>
      </c>
      <c r="D196" s="70" t="s">
        <v>325</v>
      </c>
      <c r="E196" s="72" t="s">
        <v>326</v>
      </c>
      <c r="F196" s="72" t="s">
        <v>64</v>
      </c>
      <c r="G196" s="70">
        <f>(3.38+2.08+1.04)*1.25</f>
        <v>8.125</v>
      </c>
      <c r="H196" s="70">
        <v>1</v>
      </c>
      <c r="I196" s="70">
        <v>2</v>
      </c>
      <c r="J196" s="64">
        <f t="shared" si="14"/>
        <v>16.25</v>
      </c>
    </row>
    <row r="197" ht="34.5" customHeight="1" spans="1:10">
      <c r="A197" s="70">
        <v>3</v>
      </c>
      <c r="B197" s="70"/>
      <c r="C197" s="73" t="s">
        <v>327</v>
      </c>
      <c r="D197" s="70" t="s">
        <v>212</v>
      </c>
      <c r="E197" s="70" t="s">
        <v>328</v>
      </c>
      <c r="F197" s="70" t="s">
        <v>64</v>
      </c>
      <c r="G197" s="70"/>
      <c r="H197" s="70">
        <v>1</v>
      </c>
      <c r="I197" s="70">
        <v>2</v>
      </c>
      <c r="J197" s="65">
        <f t="shared" si="14"/>
        <v>0</v>
      </c>
    </row>
    <row r="198" ht="24" spans="1:10">
      <c r="A198" s="70">
        <v>4</v>
      </c>
      <c r="B198" s="70"/>
      <c r="C198" s="71" t="s">
        <v>61</v>
      </c>
      <c r="D198" s="70" t="s">
        <v>357</v>
      </c>
      <c r="E198" s="70" t="s">
        <v>324</v>
      </c>
      <c r="F198" s="70" t="s">
        <v>64</v>
      </c>
      <c r="G198" s="54">
        <f>18.86+19.86-0.64</f>
        <v>38.08</v>
      </c>
      <c r="H198" s="70">
        <v>1</v>
      </c>
      <c r="I198" s="70">
        <v>2</v>
      </c>
      <c r="J198" s="64">
        <f t="shared" si="14"/>
        <v>76.16</v>
      </c>
    </row>
    <row r="199" ht="24" spans="1:10">
      <c r="A199" s="70">
        <v>5</v>
      </c>
      <c r="B199" s="70"/>
      <c r="C199" s="71" t="s">
        <v>365</v>
      </c>
      <c r="D199" s="70" t="s">
        <v>366</v>
      </c>
      <c r="E199" s="70"/>
      <c r="F199" s="70" t="s">
        <v>64</v>
      </c>
      <c r="G199" s="54">
        <v>0.64</v>
      </c>
      <c r="H199" s="70">
        <v>1</v>
      </c>
      <c r="I199" s="70">
        <v>2</v>
      </c>
      <c r="J199" s="64">
        <f t="shared" si="14"/>
        <v>1.28</v>
      </c>
    </row>
    <row r="200" ht="25.5" customHeight="1" spans="1:10">
      <c r="A200" s="70">
        <v>6</v>
      </c>
      <c r="B200" s="70"/>
      <c r="C200" s="73" t="s">
        <v>66</v>
      </c>
      <c r="D200" s="70" t="s">
        <v>209</v>
      </c>
      <c r="E200" s="70"/>
      <c r="F200" s="70" t="s">
        <v>64</v>
      </c>
      <c r="G200" s="70">
        <f>19.56*2.8-1.19*2.8*2-1*2.3-1.5*2.3</f>
        <v>42.354</v>
      </c>
      <c r="H200" s="70">
        <v>1</v>
      </c>
      <c r="I200" s="70">
        <v>2</v>
      </c>
      <c r="J200" s="64">
        <f t="shared" si="14"/>
        <v>84.708</v>
      </c>
    </row>
    <row r="201" ht="24" spans="1:10">
      <c r="A201" s="70">
        <v>7</v>
      </c>
      <c r="B201" s="70"/>
      <c r="C201" s="73" t="s">
        <v>358</v>
      </c>
      <c r="D201" s="70"/>
      <c r="E201" s="70"/>
      <c r="F201" s="70" t="s">
        <v>359</v>
      </c>
      <c r="G201" s="70">
        <v>17.86</v>
      </c>
      <c r="H201" s="70">
        <v>1</v>
      </c>
      <c r="I201" s="70">
        <v>2</v>
      </c>
      <c r="J201" s="64">
        <f t="shared" si="14"/>
        <v>35.72</v>
      </c>
    </row>
    <row r="202" ht="24.75" customHeight="1" spans="1:10">
      <c r="A202" s="70">
        <v>8</v>
      </c>
      <c r="B202" s="70"/>
      <c r="C202" s="73" t="s">
        <v>83</v>
      </c>
      <c r="D202" s="70" t="s">
        <v>360</v>
      </c>
      <c r="E202" s="70"/>
      <c r="F202" s="70" t="s">
        <v>32</v>
      </c>
      <c r="G202" s="70">
        <v>2</v>
      </c>
      <c r="H202" s="70">
        <v>1</v>
      </c>
      <c r="I202" s="70">
        <v>2</v>
      </c>
      <c r="J202" s="64">
        <f t="shared" si="14"/>
        <v>4</v>
      </c>
    </row>
    <row r="203" ht="24" spans="1:10">
      <c r="A203" s="70">
        <v>1</v>
      </c>
      <c r="B203" s="70" t="s">
        <v>372</v>
      </c>
      <c r="C203" s="71" t="s">
        <v>61</v>
      </c>
      <c r="D203" s="70" t="s">
        <v>323</v>
      </c>
      <c r="E203" s="72" t="s">
        <v>324</v>
      </c>
      <c r="F203" s="72" t="s">
        <v>64</v>
      </c>
      <c r="G203" s="70">
        <f>1.25*0.6+(1.3+1.14)*2.6+0.54*1.25</f>
        <v>7.769</v>
      </c>
      <c r="H203" s="70">
        <v>1</v>
      </c>
      <c r="I203" s="70">
        <v>1</v>
      </c>
      <c r="J203" s="64">
        <f t="shared" ref="J203:J210" si="15">I203*H203*G203</f>
        <v>7.769</v>
      </c>
    </row>
    <row r="204" ht="22.5" customHeight="1" spans="1:10">
      <c r="A204" s="70">
        <v>2</v>
      </c>
      <c r="B204" s="70"/>
      <c r="C204" s="71" t="s">
        <v>61</v>
      </c>
      <c r="D204" s="70" t="s">
        <v>325</v>
      </c>
      <c r="E204" s="72" t="s">
        <v>326</v>
      </c>
      <c r="F204" s="72" t="s">
        <v>64</v>
      </c>
      <c r="G204" s="70">
        <f>(3.38+2.34+0.78)*1.25</f>
        <v>8.125</v>
      </c>
      <c r="H204" s="70">
        <v>1</v>
      </c>
      <c r="I204" s="70">
        <v>1</v>
      </c>
      <c r="J204" s="64">
        <f t="shared" si="15"/>
        <v>8.125</v>
      </c>
    </row>
    <row r="205" ht="24.75" customHeight="1" spans="1:10">
      <c r="A205" s="70">
        <v>3</v>
      </c>
      <c r="B205" s="70"/>
      <c r="C205" s="73" t="s">
        <v>327</v>
      </c>
      <c r="D205" s="70" t="s">
        <v>212</v>
      </c>
      <c r="E205" s="70" t="s">
        <v>328</v>
      </c>
      <c r="F205" s="70" t="s">
        <v>64</v>
      </c>
      <c r="G205" s="70"/>
      <c r="H205" s="70">
        <v>1</v>
      </c>
      <c r="I205" s="70">
        <v>1</v>
      </c>
      <c r="J205" s="65">
        <f t="shared" si="15"/>
        <v>0</v>
      </c>
    </row>
    <row r="206" ht="24" spans="1:10">
      <c r="A206" s="70">
        <v>4</v>
      </c>
      <c r="B206" s="70"/>
      <c r="C206" s="71" t="s">
        <v>61</v>
      </c>
      <c r="D206" s="70" t="s">
        <v>357</v>
      </c>
      <c r="E206" s="70" t="s">
        <v>324</v>
      </c>
      <c r="F206" s="70" t="s">
        <v>64</v>
      </c>
      <c r="G206" s="54">
        <f>18.72+20.9-0.64</f>
        <v>38.98</v>
      </c>
      <c r="H206" s="70">
        <v>1</v>
      </c>
      <c r="I206" s="70">
        <v>1</v>
      </c>
      <c r="J206" s="64">
        <f t="shared" si="15"/>
        <v>38.98</v>
      </c>
    </row>
    <row r="207" ht="24" spans="1:10">
      <c r="A207" s="70">
        <v>5</v>
      </c>
      <c r="B207" s="70"/>
      <c r="C207" s="71" t="s">
        <v>365</v>
      </c>
      <c r="D207" s="70" t="s">
        <v>366</v>
      </c>
      <c r="E207" s="70"/>
      <c r="F207" s="70" t="s">
        <v>64</v>
      </c>
      <c r="G207" s="54">
        <v>0.64</v>
      </c>
      <c r="H207" s="70">
        <v>1</v>
      </c>
      <c r="I207" s="70">
        <v>1</v>
      </c>
      <c r="J207" s="64">
        <f t="shared" si="15"/>
        <v>0.64</v>
      </c>
    </row>
    <row r="208" ht="30" customHeight="1" spans="1:10">
      <c r="A208" s="70">
        <v>6</v>
      </c>
      <c r="B208" s="70"/>
      <c r="C208" s="73" t="s">
        <v>66</v>
      </c>
      <c r="D208" s="70" t="s">
        <v>209</v>
      </c>
      <c r="E208" s="70"/>
      <c r="F208" s="70" t="s">
        <v>64</v>
      </c>
      <c r="G208" s="70">
        <f>23.42*2.8-1.19*2.8*2-1*2.3-1.5*2.3</f>
        <v>53.162</v>
      </c>
      <c r="H208" s="70">
        <v>1</v>
      </c>
      <c r="I208" s="70">
        <v>1</v>
      </c>
      <c r="J208" s="64">
        <f t="shared" si="15"/>
        <v>53.162</v>
      </c>
    </row>
    <row r="209" ht="24" spans="1:10">
      <c r="A209" s="70">
        <v>7</v>
      </c>
      <c r="B209" s="70"/>
      <c r="C209" s="73" t="s">
        <v>358</v>
      </c>
      <c r="D209" s="70"/>
      <c r="E209" s="70"/>
      <c r="F209" s="70" t="s">
        <v>359</v>
      </c>
      <c r="G209" s="70">
        <v>20.9</v>
      </c>
      <c r="H209" s="70">
        <v>1</v>
      </c>
      <c r="I209" s="70">
        <v>1</v>
      </c>
      <c r="J209" s="64">
        <f t="shared" si="15"/>
        <v>20.9</v>
      </c>
    </row>
    <row r="210" ht="22.5" customHeight="1" spans="1:10">
      <c r="A210" s="70">
        <v>8</v>
      </c>
      <c r="B210" s="70"/>
      <c r="C210" s="73" t="s">
        <v>83</v>
      </c>
      <c r="D210" s="70" t="s">
        <v>360</v>
      </c>
      <c r="E210" s="70"/>
      <c r="F210" s="70" t="s">
        <v>32</v>
      </c>
      <c r="G210" s="70">
        <v>2</v>
      </c>
      <c r="H210" s="70">
        <v>1</v>
      </c>
      <c r="I210" s="70">
        <v>1</v>
      </c>
      <c r="J210" s="64">
        <f t="shared" si="15"/>
        <v>2</v>
      </c>
    </row>
    <row r="211" ht="24" spans="1:10">
      <c r="A211" s="70">
        <v>1</v>
      </c>
      <c r="B211" s="70" t="s">
        <v>373</v>
      </c>
      <c r="C211" s="71" t="s">
        <v>61</v>
      </c>
      <c r="D211" s="70" t="s">
        <v>323</v>
      </c>
      <c r="E211" s="72" t="s">
        <v>324</v>
      </c>
      <c r="F211" s="72" t="s">
        <v>64</v>
      </c>
      <c r="G211" s="70">
        <f>1.25*0.6+(1.3+1.14)*2.6+0.54*1.25</f>
        <v>7.769</v>
      </c>
      <c r="H211" s="70">
        <v>1</v>
      </c>
      <c r="I211" s="70">
        <v>1</v>
      </c>
      <c r="J211" s="64">
        <f t="shared" ref="J211:J218" si="16">I211*H211*G211</f>
        <v>7.769</v>
      </c>
    </row>
    <row r="212" spans="1:10">
      <c r="A212" s="70">
        <v>2</v>
      </c>
      <c r="B212" s="70"/>
      <c r="C212" s="71" t="s">
        <v>61</v>
      </c>
      <c r="D212" s="70" t="s">
        <v>325</v>
      </c>
      <c r="E212" s="72" t="s">
        <v>326</v>
      </c>
      <c r="F212" s="72" t="s">
        <v>64</v>
      </c>
      <c r="G212" s="70">
        <f>(3.38+2.34+0.78)*1.25</f>
        <v>8.125</v>
      </c>
      <c r="H212" s="70">
        <v>1</v>
      </c>
      <c r="I212" s="70">
        <v>1</v>
      </c>
      <c r="J212" s="64">
        <f t="shared" si="16"/>
        <v>8.125</v>
      </c>
    </row>
    <row r="213" spans="1:10">
      <c r="A213" s="70">
        <v>3</v>
      </c>
      <c r="B213" s="70"/>
      <c r="C213" s="73" t="s">
        <v>327</v>
      </c>
      <c r="D213" s="70" t="s">
        <v>212</v>
      </c>
      <c r="E213" s="70" t="s">
        <v>328</v>
      </c>
      <c r="F213" s="70" t="s">
        <v>64</v>
      </c>
      <c r="G213" s="70"/>
      <c r="H213" s="70">
        <v>1</v>
      </c>
      <c r="I213" s="70">
        <v>1</v>
      </c>
      <c r="J213" s="65">
        <f t="shared" si="16"/>
        <v>0</v>
      </c>
    </row>
    <row r="214" ht="24" spans="1:10">
      <c r="A214" s="70">
        <v>4</v>
      </c>
      <c r="B214" s="70"/>
      <c r="C214" s="71" t="s">
        <v>61</v>
      </c>
      <c r="D214" s="70" t="s">
        <v>357</v>
      </c>
      <c r="E214" s="70" t="s">
        <v>324</v>
      </c>
      <c r="F214" s="70" t="s">
        <v>64</v>
      </c>
      <c r="G214" s="54">
        <f>18.72+19.1-0.64</f>
        <v>37.18</v>
      </c>
      <c r="H214" s="70">
        <v>1</v>
      </c>
      <c r="I214" s="70">
        <v>1</v>
      </c>
      <c r="J214" s="64">
        <f t="shared" si="16"/>
        <v>37.18</v>
      </c>
    </row>
    <row r="215" ht="24" spans="1:10">
      <c r="A215" s="70">
        <v>5</v>
      </c>
      <c r="B215" s="70"/>
      <c r="C215" s="71" t="s">
        <v>365</v>
      </c>
      <c r="D215" s="70" t="s">
        <v>366</v>
      </c>
      <c r="E215" s="70"/>
      <c r="F215" s="70" t="s">
        <v>64</v>
      </c>
      <c r="G215" s="54">
        <v>0.64</v>
      </c>
      <c r="H215" s="70">
        <v>1</v>
      </c>
      <c r="I215" s="70">
        <v>1</v>
      </c>
      <c r="J215" s="64">
        <f t="shared" si="16"/>
        <v>0.64</v>
      </c>
    </row>
    <row r="216" spans="1:10">
      <c r="A216" s="70">
        <v>6</v>
      </c>
      <c r="B216" s="70"/>
      <c r="C216" s="73" t="s">
        <v>66</v>
      </c>
      <c r="D216" s="70" t="s">
        <v>209</v>
      </c>
      <c r="E216" s="70"/>
      <c r="F216" s="70" t="s">
        <v>64</v>
      </c>
      <c r="G216" s="70">
        <f>19.56*2.8-1.19*2.8*2-1*2.3-2.1*2.3</f>
        <v>40.974</v>
      </c>
      <c r="H216" s="70">
        <v>1</v>
      </c>
      <c r="I216" s="70">
        <v>1</v>
      </c>
      <c r="J216" s="64">
        <f t="shared" si="16"/>
        <v>40.974</v>
      </c>
    </row>
    <row r="217" ht="24" spans="1:10">
      <c r="A217" s="70">
        <v>7</v>
      </c>
      <c r="B217" s="70"/>
      <c r="C217" s="73" t="s">
        <v>358</v>
      </c>
      <c r="D217" s="70"/>
      <c r="E217" s="70"/>
      <c r="F217" s="70" t="s">
        <v>359</v>
      </c>
      <c r="G217" s="70">
        <v>17.87</v>
      </c>
      <c r="H217" s="70">
        <v>1</v>
      </c>
      <c r="I217" s="70">
        <v>1</v>
      </c>
      <c r="J217" s="64">
        <f t="shared" si="16"/>
        <v>17.87</v>
      </c>
    </row>
    <row r="218" spans="1:10">
      <c r="A218" s="70">
        <v>8</v>
      </c>
      <c r="B218" s="70"/>
      <c r="C218" s="73" t="s">
        <v>83</v>
      </c>
      <c r="D218" s="70" t="s">
        <v>360</v>
      </c>
      <c r="E218" s="70"/>
      <c r="F218" s="70" t="s">
        <v>32</v>
      </c>
      <c r="G218" s="70">
        <v>2</v>
      </c>
      <c r="H218" s="70">
        <v>1</v>
      </c>
      <c r="I218" s="70">
        <v>1</v>
      </c>
      <c r="J218" s="64">
        <f t="shared" si="16"/>
        <v>2</v>
      </c>
    </row>
    <row r="219" ht="24" spans="1:10">
      <c r="A219" s="70">
        <v>1</v>
      </c>
      <c r="B219" s="70" t="s">
        <v>374</v>
      </c>
      <c r="C219" s="71" t="s">
        <v>61</v>
      </c>
      <c r="D219" s="70" t="s">
        <v>323</v>
      </c>
      <c r="E219" s="72" t="s">
        <v>324</v>
      </c>
      <c r="F219" s="72" t="s">
        <v>64</v>
      </c>
      <c r="G219" s="70">
        <f>3.38+1.37*2.6+0.52*1.25+1.25*2.6</f>
        <v>10.842</v>
      </c>
      <c r="H219" s="70">
        <v>1</v>
      </c>
      <c r="I219" s="70">
        <v>1</v>
      </c>
      <c r="J219" s="64">
        <f t="shared" ref="J219:J226" si="17">I219*H219*G219</f>
        <v>10.842</v>
      </c>
    </row>
    <row r="220" spans="1:10">
      <c r="A220" s="70">
        <v>2</v>
      </c>
      <c r="B220" s="70"/>
      <c r="C220" s="71" t="s">
        <v>61</v>
      </c>
      <c r="D220" s="70" t="s">
        <v>325</v>
      </c>
      <c r="E220" s="72" t="s">
        <v>326</v>
      </c>
      <c r="F220" s="72" t="s">
        <v>64</v>
      </c>
      <c r="G220" s="70">
        <f>(1.56+2.08+1.04)*1.25</f>
        <v>5.85</v>
      </c>
      <c r="H220" s="70">
        <v>1</v>
      </c>
      <c r="I220" s="70">
        <v>1</v>
      </c>
      <c r="J220" s="64">
        <f t="shared" si="17"/>
        <v>5.85</v>
      </c>
    </row>
    <row r="221" spans="1:10">
      <c r="A221" s="70">
        <v>3</v>
      </c>
      <c r="B221" s="70"/>
      <c r="C221" s="73" t="s">
        <v>327</v>
      </c>
      <c r="D221" s="70" t="s">
        <v>212</v>
      </c>
      <c r="E221" s="70" t="s">
        <v>328</v>
      </c>
      <c r="F221" s="70" t="s">
        <v>64</v>
      </c>
      <c r="G221" s="70"/>
      <c r="H221" s="70">
        <v>1</v>
      </c>
      <c r="I221" s="70">
        <v>1</v>
      </c>
      <c r="J221" s="65">
        <f t="shared" si="17"/>
        <v>0</v>
      </c>
    </row>
    <row r="222" ht="24" spans="1:10">
      <c r="A222" s="70">
        <v>4</v>
      </c>
      <c r="B222" s="70"/>
      <c r="C222" s="71" t="s">
        <v>61</v>
      </c>
      <c r="D222" s="70" t="s">
        <v>357</v>
      </c>
      <c r="E222" s="70" t="s">
        <v>324</v>
      </c>
      <c r="F222" s="70" t="s">
        <v>64</v>
      </c>
      <c r="G222" s="54">
        <f>27.66+12.02-0.64</f>
        <v>39.04</v>
      </c>
      <c r="H222" s="70">
        <v>1</v>
      </c>
      <c r="I222" s="70">
        <v>1</v>
      </c>
      <c r="J222" s="64">
        <f t="shared" si="17"/>
        <v>39.04</v>
      </c>
    </row>
    <row r="223" ht="24" spans="1:10">
      <c r="A223" s="70">
        <v>5</v>
      </c>
      <c r="B223" s="70"/>
      <c r="C223" s="71" t="s">
        <v>365</v>
      </c>
      <c r="D223" s="70" t="s">
        <v>366</v>
      </c>
      <c r="E223" s="70"/>
      <c r="F223" s="70" t="s">
        <v>64</v>
      </c>
      <c r="G223" s="54">
        <v>0.64</v>
      </c>
      <c r="H223" s="70">
        <v>1</v>
      </c>
      <c r="I223" s="70">
        <v>1</v>
      </c>
      <c r="J223" s="64">
        <f t="shared" si="17"/>
        <v>0.64</v>
      </c>
    </row>
    <row r="224" ht="27" customHeight="1" spans="1:10">
      <c r="A224" s="70">
        <v>6</v>
      </c>
      <c r="B224" s="70"/>
      <c r="C224" s="73" t="s">
        <v>66</v>
      </c>
      <c r="D224" s="70" t="s">
        <v>209</v>
      </c>
      <c r="E224" s="70"/>
      <c r="F224" s="70" t="s">
        <v>64</v>
      </c>
      <c r="G224" s="70">
        <f>28.33*2.8-1*2.3-1.19*2.8*2-0.56-2.1*2.3</f>
        <v>64.97</v>
      </c>
      <c r="H224" s="70">
        <v>1</v>
      </c>
      <c r="I224" s="70">
        <v>1</v>
      </c>
      <c r="J224" s="64">
        <f t="shared" si="17"/>
        <v>64.97</v>
      </c>
    </row>
    <row r="225" ht="24" spans="1:10">
      <c r="A225" s="70">
        <v>7</v>
      </c>
      <c r="B225" s="70"/>
      <c r="C225" s="73" t="s">
        <v>358</v>
      </c>
      <c r="D225" s="70"/>
      <c r="E225" s="70"/>
      <c r="F225" s="70" t="s">
        <v>359</v>
      </c>
      <c r="G225" s="70">
        <v>26.39</v>
      </c>
      <c r="H225" s="70">
        <v>1</v>
      </c>
      <c r="I225" s="70">
        <v>1</v>
      </c>
      <c r="J225" s="64">
        <f t="shared" si="17"/>
        <v>26.39</v>
      </c>
    </row>
    <row r="226" spans="1:10">
      <c r="A226" s="70">
        <v>8</v>
      </c>
      <c r="B226" s="70"/>
      <c r="C226" s="73" t="s">
        <v>83</v>
      </c>
      <c r="D226" s="70" t="s">
        <v>360</v>
      </c>
      <c r="E226" s="70"/>
      <c r="F226" s="70" t="s">
        <v>32</v>
      </c>
      <c r="G226" s="70">
        <v>2</v>
      </c>
      <c r="H226" s="70">
        <v>1</v>
      </c>
      <c r="I226" s="70">
        <v>1</v>
      </c>
      <c r="J226" s="64">
        <f t="shared" si="17"/>
        <v>2</v>
      </c>
    </row>
    <row r="227" ht="24" spans="1:10">
      <c r="A227" s="70">
        <v>1</v>
      </c>
      <c r="B227" s="70" t="s">
        <v>375</v>
      </c>
      <c r="C227" s="71" t="s">
        <v>61</v>
      </c>
      <c r="D227" s="70" t="s">
        <v>323</v>
      </c>
      <c r="E227" s="72" t="s">
        <v>324</v>
      </c>
      <c r="F227" s="72" t="s">
        <v>64</v>
      </c>
      <c r="G227" s="70">
        <f>3.38+1.37*2.6+0.52*1.25+1.25*2.6</f>
        <v>10.842</v>
      </c>
      <c r="H227" s="70">
        <v>1</v>
      </c>
      <c r="I227" s="70">
        <v>1</v>
      </c>
      <c r="J227" s="64">
        <f t="shared" ref="J227:J242" si="18">I227*H227*G227</f>
        <v>10.842</v>
      </c>
    </row>
    <row r="228" spans="1:10">
      <c r="A228" s="70">
        <v>2</v>
      </c>
      <c r="B228" s="70"/>
      <c r="C228" s="71" t="s">
        <v>61</v>
      </c>
      <c r="D228" s="70" t="s">
        <v>325</v>
      </c>
      <c r="E228" s="72" t="s">
        <v>326</v>
      </c>
      <c r="F228" s="72" t="s">
        <v>64</v>
      </c>
      <c r="G228" s="70">
        <f>(1.56+2.08+1.04)*1.25</f>
        <v>5.85</v>
      </c>
      <c r="H228" s="70">
        <v>1</v>
      </c>
      <c r="I228" s="70">
        <v>1</v>
      </c>
      <c r="J228" s="64">
        <f t="shared" si="18"/>
        <v>5.85</v>
      </c>
    </row>
    <row r="229" spans="1:10">
      <c r="A229" s="70">
        <v>3</v>
      </c>
      <c r="B229" s="70"/>
      <c r="C229" s="73" t="s">
        <v>327</v>
      </c>
      <c r="D229" s="70" t="s">
        <v>212</v>
      </c>
      <c r="E229" s="70" t="s">
        <v>328</v>
      </c>
      <c r="F229" s="70" t="s">
        <v>64</v>
      </c>
      <c r="G229" s="70"/>
      <c r="H229" s="70">
        <v>1</v>
      </c>
      <c r="I229" s="70">
        <v>1</v>
      </c>
      <c r="J229" s="65">
        <f t="shared" si="18"/>
        <v>0</v>
      </c>
    </row>
    <row r="230" ht="24" spans="1:10">
      <c r="A230" s="70">
        <v>4</v>
      </c>
      <c r="B230" s="70"/>
      <c r="C230" s="71" t="s">
        <v>61</v>
      </c>
      <c r="D230" s="70" t="s">
        <v>357</v>
      </c>
      <c r="E230" s="70" t="s">
        <v>324</v>
      </c>
      <c r="F230" s="70" t="s">
        <v>64</v>
      </c>
      <c r="G230" s="54">
        <f>25.11+12.02-0.64</f>
        <v>36.49</v>
      </c>
      <c r="H230" s="70">
        <v>1</v>
      </c>
      <c r="I230" s="70">
        <v>1</v>
      </c>
      <c r="J230" s="64">
        <f t="shared" si="18"/>
        <v>36.49</v>
      </c>
    </row>
    <row r="231" ht="24" spans="1:10">
      <c r="A231" s="70">
        <v>5</v>
      </c>
      <c r="B231" s="70"/>
      <c r="C231" s="71" t="s">
        <v>365</v>
      </c>
      <c r="D231" s="70" t="s">
        <v>366</v>
      </c>
      <c r="E231" s="70"/>
      <c r="F231" s="70" t="s">
        <v>64</v>
      </c>
      <c r="G231" s="54">
        <v>0.64</v>
      </c>
      <c r="H231" s="70">
        <v>1</v>
      </c>
      <c r="I231" s="70">
        <v>1</v>
      </c>
      <c r="J231" s="64">
        <f t="shared" si="18"/>
        <v>0.64</v>
      </c>
    </row>
    <row r="232" spans="1:10">
      <c r="A232" s="70">
        <v>6</v>
      </c>
      <c r="B232" s="70"/>
      <c r="C232" s="73" t="s">
        <v>66</v>
      </c>
      <c r="D232" s="70" t="s">
        <v>209</v>
      </c>
      <c r="E232" s="70"/>
      <c r="F232" s="70" t="s">
        <v>64</v>
      </c>
      <c r="G232" s="70">
        <f>22.16*2.8-1*2.3-1.19*2.8*2-0.56-2.1*2.3</f>
        <v>47.694</v>
      </c>
      <c r="H232" s="70">
        <v>1</v>
      </c>
      <c r="I232" s="70">
        <v>1</v>
      </c>
      <c r="J232" s="64">
        <f t="shared" si="18"/>
        <v>47.694</v>
      </c>
    </row>
    <row r="233" ht="24" spans="1:10">
      <c r="A233" s="70">
        <v>7</v>
      </c>
      <c r="B233" s="70"/>
      <c r="C233" s="73" t="s">
        <v>358</v>
      </c>
      <c r="D233" s="70"/>
      <c r="E233" s="70"/>
      <c r="F233" s="70" t="s">
        <v>359</v>
      </c>
      <c r="G233" s="70">
        <v>23.85</v>
      </c>
      <c r="H233" s="70">
        <v>1</v>
      </c>
      <c r="I233" s="70">
        <v>1</v>
      </c>
      <c r="J233" s="64">
        <f t="shared" si="18"/>
        <v>23.85</v>
      </c>
    </row>
    <row r="234" spans="1:10">
      <c r="A234" s="70">
        <v>8</v>
      </c>
      <c r="B234" s="70"/>
      <c r="C234" s="73" t="s">
        <v>83</v>
      </c>
      <c r="D234" s="70" t="s">
        <v>360</v>
      </c>
      <c r="E234" s="70"/>
      <c r="F234" s="70" t="s">
        <v>32</v>
      </c>
      <c r="G234" s="70">
        <v>2</v>
      </c>
      <c r="H234" s="70">
        <v>1</v>
      </c>
      <c r="I234" s="70">
        <v>1</v>
      </c>
      <c r="J234" s="64">
        <f t="shared" si="18"/>
        <v>2</v>
      </c>
    </row>
    <row r="235" ht="24" spans="1:10">
      <c r="A235" s="70">
        <v>1</v>
      </c>
      <c r="B235" s="70" t="s">
        <v>376</v>
      </c>
      <c r="C235" s="71" t="s">
        <v>61</v>
      </c>
      <c r="D235" s="70" t="s">
        <v>323</v>
      </c>
      <c r="E235" s="72" t="s">
        <v>324</v>
      </c>
      <c r="F235" s="72" t="s">
        <v>64</v>
      </c>
      <c r="G235" s="70">
        <f>1.25*1.51+(1.68+1.25)*2.6</f>
        <v>9.5055</v>
      </c>
      <c r="H235" s="70">
        <v>1</v>
      </c>
      <c r="I235" s="70">
        <v>2</v>
      </c>
      <c r="J235" s="64">
        <f t="shared" si="18"/>
        <v>19.011</v>
      </c>
    </row>
    <row r="236" spans="1:10">
      <c r="A236" s="70">
        <v>2</v>
      </c>
      <c r="B236" s="70"/>
      <c r="C236" s="71" t="s">
        <v>61</v>
      </c>
      <c r="D236" s="70" t="s">
        <v>325</v>
      </c>
      <c r="E236" s="72" t="s">
        <v>326</v>
      </c>
      <c r="F236" s="72" t="s">
        <v>64</v>
      </c>
      <c r="G236" s="70">
        <f>(1.56+2.08+1.04)*1.25</f>
        <v>5.85</v>
      </c>
      <c r="H236" s="70">
        <v>1</v>
      </c>
      <c r="I236" s="70">
        <v>2</v>
      </c>
      <c r="J236" s="64">
        <f t="shared" si="18"/>
        <v>11.7</v>
      </c>
    </row>
    <row r="237" spans="1:10">
      <c r="A237" s="70">
        <v>3</v>
      </c>
      <c r="B237" s="70"/>
      <c r="C237" s="73" t="s">
        <v>327</v>
      </c>
      <c r="D237" s="70" t="s">
        <v>212</v>
      </c>
      <c r="E237" s="70" t="s">
        <v>328</v>
      </c>
      <c r="F237" s="70" t="s">
        <v>64</v>
      </c>
      <c r="G237" s="70"/>
      <c r="H237" s="70">
        <v>1</v>
      </c>
      <c r="I237" s="70">
        <v>2</v>
      </c>
      <c r="J237" s="65">
        <f t="shared" si="18"/>
        <v>0</v>
      </c>
    </row>
    <row r="238" ht="24" spans="1:10">
      <c r="A238" s="70">
        <v>4</v>
      </c>
      <c r="B238" s="70"/>
      <c r="C238" s="71" t="s">
        <v>61</v>
      </c>
      <c r="D238" s="70" t="s">
        <v>357</v>
      </c>
      <c r="E238" s="70" t="s">
        <v>324</v>
      </c>
      <c r="F238" s="70" t="s">
        <v>64</v>
      </c>
      <c r="G238" s="54">
        <f>18.72+19.1-0.64</f>
        <v>37.18</v>
      </c>
      <c r="H238" s="70">
        <v>1</v>
      </c>
      <c r="I238" s="70">
        <v>2</v>
      </c>
      <c r="J238" s="64">
        <f t="shared" si="18"/>
        <v>74.36</v>
      </c>
    </row>
    <row r="239" ht="24" spans="1:10">
      <c r="A239" s="70">
        <v>5</v>
      </c>
      <c r="B239" s="70"/>
      <c r="C239" s="71" t="s">
        <v>365</v>
      </c>
      <c r="D239" s="70" t="s">
        <v>366</v>
      </c>
      <c r="E239" s="70"/>
      <c r="F239" s="70" t="s">
        <v>64</v>
      </c>
      <c r="G239" s="54">
        <v>0.64</v>
      </c>
      <c r="H239" s="70">
        <v>1</v>
      </c>
      <c r="I239" s="70">
        <v>2</v>
      </c>
      <c r="J239" s="64">
        <f t="shared" si="18"/>
        <v>1.28</v>
      </c>
    </row>
    <row r="240" spans="1:10">
      <c r="A240" s="70">
        <v>6</v>
      </c>
      <c r="B240" s="70"/>
      <c r="C240" s="73" t="s">
        <v>66</v>
      </c>
      <c r="D240" s="70" t="s">
        <v>209</v>
      </c>
      <c r="E240" s="70"/>
      <c r="F240" s="70" t="s">
        <v>64</v>
      </c>
      <c r="G240" s="70">
        <f>19.56*2.8-1.19*2.8*2-1*2.3-2.1*2.3</f>
        <v>40.974</v>
      </c>
      <c r="H240" s="70">
        <v>1</v>
      </c>
      <c r="I240" s="70">
        <v>2</v>
      </c>
      <c r="J240" s="64">
        <f t="shared" si="18"/>
        <v>81.948</v>
      </c>
    </row>
    <row r="241" ht="24" spans="1:10">
      <c r="A241" s="70">
        <v>7</v>
      </c>
      <c r="B241" s="70"/>
      <c r="C241" s="73" t="s">
        <v>358</v>
      </c>
      <c r="D241" s="70"/>
      <c r="E241" s="70"/>
      <c r="F241" s="70" t="s">
        <v>359</v>
      </c>
      <c r="G241" s="70">
        <v>17.87</v>
      </c>
      <c r="H241" s="70">
        <v>1</v>
      </c>
      <c r="I241" s="70">
        <v>2</v>
      </c>
      <c r="J241" s="64">
        <f t="shared" si="18"/>
        <v>35.74</v>
      </c>
    </row>
    <row r="242" spans="1:10">
      <c r="A242" s="70">
        <v>8</v>
      </c>
      <c r="B242" s="70"/>
      <c r="C242" s="73" t="s">
        <v>83</v>
      </c>
      <c r="D242" s="70" t="s">
        <v>360</v>
      </c>
      <c r="E242" s="70"/>
      <c r="F242" s="70" t="s">
        <v>32</v>
      </c>
      <c r="G242" s="70">
        <v>2</v>
      </c>
      <c r="H242" s="70">
        <v>1</v>
      </c>
      <c r="I242" s="70">
        <v>2</v>
      </c>
      <c r="J242" s="64">
        <f t="shared" si="18"/>
        <v>4</v>
      </c>
    </row>
  </sheetData>
  <autoFilter xmlns:etc="http://www.wps.cn/officeDocument/2017/etCustomData" ref="A2:J242" etc:filterBottomFollowUsedRange="0">
    <extLst/>
  </autoFilter>
  <mergeCells count="27">
    <mergeCell ref="A1:J1"/>
    <mergeCell ref="B5:B18"/>
    <mergeCell ref="B19:B28"/>
    <mergeCell ref="B29:B38"/>
    <mergeCell ref="B39:B48"/>
    <mergeCell ref="B49:B58"/>
    <mergeCell ref="B59:B68"/>
    <mergeCell ref="B69:B78"/>
    <mergeCell ref="B79:B88"/>
    <mergeCell ref="B89:B98"/>
    <mergeCell ref="B99:B108"/>
    <mergeCell ref="B109:B118"/>
    <mergeCell ref="B120:B127"/>
    <mergeCell ref="B128:B135"/>
    <mergeCell ref="B136:B144"/>
    <mergeCell ref="B145:B153"/>
    <mergeCell ref="B154:B161"/>
    <mergeCell ref="B162:B169"/>
    <mergeCell ref="B170:B178"/>
    <mergeCell ref="B179:B186"/>
    <mergeCell ref="B187:B194"/>
    <mergeCell ref="B195:B202"/>
    <mergeCell ref="B203:B210"/>
    <mergeCell ref="B211:B218"/>
    <mergeCell ref="B219:B226"/>
    <mergeCell ref="B227:B234"/>
    <mergeCell ref="B235:B242"/>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3"/>
  <sheetViews>
    <sheetView zoomScale="115" zoomScaleNormal="115" topLeftCell="A99" workbookViewId="0">
      <selection activeCell="D4" sqref="D4"/>
    </sheetView>
  </sheetViews>
  <sheetFormatPr defaultColWidth="9" defaultRowHeight="13.5" outlineLevelCol="4"/>
  <cols>
    <col min="1" max="1" width="9.13333333333333" customWidth="1"/>
    <col min="2" max="2" width="24.6333333333333" customWidth="1"/>
    <col min="3" max="3" width="9" style="23"/>
    <col min="4" max="4" width="17.25" customWidth="1"/>
    <col min="6" max="6" width="9.38333333333333"/>
    <col min="7" max="7" width="12.6333333333333"/>
    <col min="10" max="10" width="75" customWidth="1"/>
  </cols>
  <sheetData>
    <row r="1" ht="25.5" spans="1:5">
      <c r="A1" s="24" t="s">
        <v>377</v>
      </c>
      <c r="B1" s="24"/>
      <c r="C1" s="24"/>
      <c r="D1" s="24"/>
      <c r="E1" s="24"/>
    </row>
    <row r="2" ht="35.1" customHeight="1" spans="1:5">
      <c r="A2" s="25" t="s">
        <v>46</v>
      </c>
      <c r="B2" s="25" t="s">
        <v>24</v>
      </c>
      <c r="C2" s="25" t="s">
        <v>25</v>
      </c>
      <c r="D2" s="25" t="s">
        <v>378</v>
      </c>
      <c r="E2" s="25" t="s">
        <v>29</v>
      </c>
    </row>
    <row r="3" ht="18" customHeight="1" spans="1:5">
      <c r="A3" s="26"/>
      <c r="B3" s="27" t="s">
        <v>379</v>
      </c>
      <c r="C3" s="28" t="s">
        <v>64</v>
      </c>
      <c r="D3" s="29">
        <v>17.99</v>
      </c>
      <c r="E3" s="30"/>
    </row>
    <row r="4" ht="18" customHeight="1" spans="1:5">
      <c r="A4" s="26"/>
      <c r="B4" s="31" t="s">
        <v>380</v>
      </c>
      <c r="C4" s="28" t="s">
        <v>64</v>
      </c>
      <c r="D4" s="29">
        <f>0.15*11+1.15*0.2*2</f>
        <v>2.11</v>
      </c>
      <c r="E4" s="30"/>
    </row>
    <row r="5" ht="18" customHeight="1" spans="1:5">
      <c r="A5" s="26"/>
      <c r="B5" s="31" t="s">
        <v>381</v>
      </c>
      <c r="C5" s="28"/>
      <c r="D5" s="29">
        <f>1.493*(1.3+1.15*2)</f>
        <v>5.3748</v>
      </c>
      <c r="E5" s="30"/>
    </row>
    <row r="6" ht="18" customHeight="1" spans="1:5">
      <c r="A6" s="26"/>
      <c r="B6" s="31" t="s">
        <v>382</v>
      </c>
      <c r="C6" s="28" t="s">
        <v>64</v>
      </c>
      <c r="D6" s="27">
        <f>0.43*2</f>
        <v>0.86</v>
      </c>
      <c r="E6" s="30"/>
    </row>
    <row r="7" ht="18" customHeight="1" spans="1:5">
      <c r="A7" s="26"/>
      <c r="B7" s="32" t="s">
        <v>383</v>
      </c>
      <c r="C7" s="26" t="s">
        <v>64</v>
      </c>
      <c r="D7" s="30">
        <f>0.168*2</f>
        <v>0.336</v>
      </c>
      <c r="E7" s="30"/>
    </row>
    <row r="8" ht="18" customHeight="1" spans="1:5">
      <c r="A8" s="26"/>
      <c r="B8" s="32" t="s">
        <v>384</v>
      </c>
      <c r="C8" s="26" t="s">
        <v>64</v>
      </c>
      <c r="D8" s="30">
        <f>0.604*2</f>
        <v>1.208</v>
      </c>
      <c r="E8" s="30"/>
    </row>
    <row r="9" ht="18" customHeight="1" spans="1:5">
      <c r="A9" s="26"/>
      <c r="B9" s="32" t="s">
        <v>385</v>
      </c>
      <c r="C9" s="26" t="s">
        <v>64</v>
      </c>
      <c r="D9" s="30">
        <f>1.986*(0.7+0.6+1)*2</f>
        <v>9.1356</v>
      </c>
      <c r="E9" s="30"/>
    </row>
    <row r="10" ht="18" customHeight="1" spans="1:5">
      <c r="A10" s="26"/>
      <c r="B10" s="31" t="s">
        <v>386</v>
      </c>
      <c r="C10" s="28" t="s">
        <v>64</v>
      </c>
      <c r="D10" s="29">
        <f>2.721*1.3*4</f>
        <v>14.1492</v>
      </c>
      <c r="E10" s="30"/>
    </row>
    <row r="11" ht="18" customHeight="1" spans="1:5">
      <c r="A11" s="26"/>
      <c r="B11" s="33" t="s">
        <v>387</v>
      </c>
      <c r="C11" s="26" t="s">
        <v>64</v>
      </c>
      <c r="D11" s="29">
        <f>0.338*3.46*2+0.441*4.7</f>
        <v>4.41166</v>
      </c>
      <c r="E11" s="30"/>
    </row>
    <row r="12" ht="18" customHeight="1" spans="1:5">
      <c r="A12" s="26"/>
      <c r="B12" s="33" t="s">
        <v>388</v>
      </c>
      <c r="C12" s="26" t="s">
        <v>64</v>
      </c>
      <c r="D12" s="27"/>
      <c r="E12" s="30"/>
    </row>
    <row r="13" ht="18" customHeight="1" spans="1:5">
      <c r="A13" s="26"/>
      <c r="B13" s="33" t="s">
        <v>389</v>
      </c>
      <c r="C13" s="28" t="s">
        <v>64</v>
      </c>
      <c r="D13" s="27">
        <f>0.15*(7.1+0.5+0.5)</f>
        <v>1.215</v>
      </c>
      <c r="E13" s="30"/>
    </row>
    <row r="14" ht="18" customHeight="1" spans="1:5">
      <c r="A14" s="26"/>
      <c r="B14" s="32" t="s">
        <v>28</v>
      </c>
      <c r="C14" s="26"/>
      <c r="D14" s="30">
        <f>SUBTOTAL(9,D3:D13)</f>
        <v>56.79026</v>
      </c>
      <c r="E14" s="30"/>
    </row>
    <row r="15" ht="18" customHeight="1" spans="1:5">
      <c r="A15" s="34"/>
      <c r="B15" s="34"/>
      <c r="C15" s="35"/>
      <c r="D15" s="34"/>
      <c r="E15" s="34"/>
    </row>
    <row r="16" ht="25.5" spans="1:5">
      <c r="A16" s="24" t="s">
        <v>390</v>
      </c>
      <c r="B16" s="24"/>
      <c r="C16" s="24"/>
      <c r="D16" s="24"/>
      <c r="E16" s="24"/>
    </row>
    <row r="17" spans="1:5">
      <c r="A17" s="25" t="s">
        <v>46</v>
      </c>
      <c r="B17" s="25" t="s">
        <v>24</v>
      </c>
      <c r="C17" s="25" t="s">
        <v>25</v>
      </c>
      <c r="D17" s="25" t="s">
        <v>378</v>
      </c>
      <c r="E17" s="25" t="s">
        <v>29</v>
      </c>
    </row>
    <row r="18" spans="1:5">
      <c r="A18" s="26"/>
      <c r="B18" s="27" t="s">
        <v>379</v>
      </c>
      <c r="C18" s="28" t="s">
        <v>64</v>
      </c>
      <c r="D18" s="36">
        <v>17.41</v>
      </c>
      <c r="E18" s="30"/>
    </row>
    <row r="19" spans="1:5">
      <c r="A19" s="26"/>
      <c r="B19" s="31" t="s">
        <v>380</v>
      </c>
      <c r="C19" s="28" t="s">
        <v>64</v>
      </c>
      <c r="D19" s="36">
        <f>0.15*10.1+1.15*0.2*2</f>
        <v>1.975</v>
      </c>
      <c r="E19" s="30"/>
    </row>
    <row r="20" spans="1:5">
      <c r="A20" s="26"/>
      <c r="B20" s="31" t="s">
        <v>381</v>
      </c>
      <c r="C20" s="28"/>
      <c r="D20" s="36">
        <f>1.493*(2.3*2)</f>
        <v>6.8678</v>
      </c>
      <c r="E20" s="30"/>
    </row>
    <row r="21" spans="1:5">
      <c r="A21" s="26"/>
      <c r="B21" s="31" t="s">
        <v>382</v>
      </c>
      <c r="C21" s="28" t="s">
        <v>64</v>
      </c>
      <c r="D21" s="27">
        <f>0.43*2</f>
        <v>0.86</v>
      </c>
      <c r="E21" s="30"/>
    </row>
    <row r="22" spans="1:5">
      <c r="A22" s="26"/>
      <c r="B22" s="32" t="s">
        <v>383</v>
      </c>
      <c r="C22" s="26" t="s">
        <v>64</v>
      </c>
      <c r="D22" s="30">
        <f>0.168*2</f>
        <v>0.336</v>
      </c>
      <c r="E22" s="30"/>
    </row>
    <row r="23" spans="1:5">
      <c r="A23" s="26"/>
      <c r="B23" s="32" t="s">
        <v>384</v>
      </c>
      <c r="C23" s="26" t="s">
        <v>64</v>
      </c>
      <c r="D23" s="30">
        <f>0.604*2</f>
        <v>1.208</v>
      </c>
      <c r="E23" s="30"/>
    </row>
    <row r="24" spans="1:5">
      <c r="A24" s="26"/>
      <c r="B24" s="32" t="s">
        <v>385</v>
      </c>
      <c r="C24" s="26" t="s">
        <v>64</v>
      </c>
      <c r="D24" s="30">
        <f>1.986*(0.8+0.6+1)*2</f>
        <v>9.5328</v>
      </c>
      <c r="E24" s="30"/>
    </row>
    <row r="25" spans="1:5">
      <c r="A25" s="26"/>
      <c r="B25" s="31" t="s">
        <v>386</v>
      </c>
      <c r="C25" s="28" t="s">
        <v>64</v>
      </c>
      <c r="D25" s="36">
        <f>2.721*3.9</f>
        <v>10.6119</v>
      </c>
      <c r="E25" s="30"/>
    </row>
    <row r="26" spans="1:5">
      <c r="A26" s="26"/>
      <c r="B26" s="33" t="s">
        <v>387</v>
      </c>
      <c r="C26" s="26" t="s">
        <v>64</v>
      </c>
      <c r="D26" s="36">
        <f>0.332*3.56*2+0.441*3.48</f>
        <v>3.89852</v>
      </c>
      <c r="E26" s="30"/>
    </row>
    <row r="27" spans="1:5">
      <c r="A27" s="26"/>
      <c r="B27" s="33" t="s">
        <v>388</v>
      </c>
      <c r="C27" s="26" t="s">
        <v>64</v>
      </c>
      <c r="D27" s="27"/>
      <c r="E27" s="30"/>
    </row>
    <row r="28" spans="1:5">
      <c r="A28" s="26"/>
      <c r="B28" s="33" t="s">
        <v>389</v>
      </c>
      <c r="C28" s="28" t="s">
        <v>64</v>
      </c>
      <c r="D28" s="27">
        <f>0.15*(5.8+0.5+0.5)</f>
        <v>1.02</v>
      </c>
      <c r="E28" s="30"/>
    </row>
    <row r="29" spans="1:5">
      <c r="A29" s="26"/>
      <c r="B29" s="32" t="s">
        <v>28</v>
      </c>
      <c r="C29" s="26"/>
      <c r="D29" s="30">
        <f>SUBTOTAL(9,D18:D28)</f>
        <v>53.72002</v>
      </c>
      <c r="E29" s="30"/>
    </row>
    <row r="30" ht="48" customHeight="1" spans="1:5">
      <c r="A30" s="24" t="s">
        <v>391</v>
      </c>
      <c r="B30" s="24"/>
      <c r="C30" s="24"/>
      <c r="D30" s="24"/>
      <c r="E30" s="24"/>
    </row>
    <row r="31" ht="26.1" customHeight="1" spans="1:5">
      <c r="A31" s="25" t="s">
        <v>46</v>
      </c>
      <c r="B31" s="25" t="s">
        <v>24</v>
      </c>
      <c r="C31" s="25" t="s">
        <v>25</v>
      </c>
      <c r="D31" s="25" t="s">
        <v>378</v>
      </c>
      <c r="E31" s="25" t="s">
        <v>29</v>
      </c>
    </row>
    <row r="32" ht="26.1" customHeight="1" spans="1:5">
      <c r="A32" s="26"/>
      <c r="B32" s="27" t="s">
        <v>379</v>
      </c>
      <c r="C32" s="28" t="s">
        <v>64</v>
      </c>
      <c r="D32" s="36">
        <v>17.14</v>
      </c>
      <c r="E32" s="30"/>
    </row>
    <row r="33" ht="26.1" customHeight="1" spans="1:5">
      <c r="A33" s="26"/>
      <c r="B33" s="31" t="s">
        <v>380</v>
      </c>
      <c r="C33" s="28" t="s">
        <v>64</v>
      </c>
      <c r="D33" s="36">
        <f>0.15*10.25+1.15*0.2*2</f>
        <v>1.9975</v>
      </c>
      <c r="E33" s="30"/>
    </row>
    <row r="34" ht="26.1" customHeight="1" spans="1:5">
      <c r="A34" s="26"/>
      <c r="B34" s="31" t="s">
        <v>381</v>
      </c>
      <c r="C34" s="28"/>
      <c r="D34" s="36">
        <f>1.493*(0.85*2)*2</f>
        <v>5.0762</v>
      </c>
      <c r="E34" s="30"/>
    </row>
    <row r="35" ht="26.1" customHeight="1" spans="1:5">
      <c r="A35" s="26"/>
      <c r="B35" s="31" t="s">
        <v>382</v>
      </c>
      <c r="C35" s="28" t="s">
        <v>64</v>
      </c>
      <c r="D35" s="27">
        <f>0.43*2</f>
        <v>0.86</v>
      </c>
      <c r="E35" s="30"/>
    </row>
    <row r="36" ht="26.1" customHeight="1" spans="1:5">
      <c r="A36" s="26"/>
      <c r="B36" s="32" t="s">
        <v>383</v>
      </c>
      <c r="C36" s="26" t="s">
        <v>64</v>
      </c>
      <c r="D36" s="30">
        <f>0.168*2</f>
        <v>0.336</v>
      </c>
      <c r="E36" s="30"/>
    </row>
    <row r="37" ht="26.1" customHeight="1" spans="1:5">
      <c r="A37" s="26"/>
      <c r="B37" s="32" t="s">
        <v>384</v>
      </c>
      <c r="C37" s="26" t="s">
        <v>64</v>
      </c>
      <c r="D37" s="30">
        <f>0.604*2</f>
        <v>1.208</v>
      </c>
      <c r="E37" s="30"/>
    </row>
    <row r="38" ht="26.1" customHeight="1" spans="1:5">
      <c r="A38" s="26"/>
      <c r="B38" s="32" t="s">
        <v>385</v>
      </c>
      <c r="C38" s="26" t="s">
        <v>64</v>
      </c>
      <c r="D38" s="30">
        <f>1.986*(0.7+0.6+1)*2</f>
        <v>9.1356</v>
      </c>
      <c r="E38" s="30"/>
    </row>
    <row r="39" ht="26.1" customHeight="1" spans="1:5">
      <c r="A39" s="26"/>
      <c r="B39" s="31" t="s">
        <v>386</v>
      </c>
      <c r="C39" s="28" t="s">
        <v>64</v>
      </c>
      <c r="D39" s="36">
        <f>2.721*4.65</f>
        <v>12.65265</v>
      </c>
      <c r="E39" s="30"/>
    </row>
    <row r="40" ht="26.1" customHeight="1" spans="1:5">
      <c r="A40" s="26"/>
      <c r="B40" s="33" t="s">
        <v>387</v>
      </c>
      <c r="C40" s="26" t="s">
        <v>64</v>
      </c>
      <c r="D40" s="36">
        <f>0.338*3.46*2+0.441*4.23</f>
        <v>4.20439</v>
      </c>
      <c r="E40" s="30"/>
    </row>
    <row r="41" ht="26.1" customHeight="1" spans="1:5">
      <c r="A41" s="26"/>
      <c r="B41" s="33" t="s">
        <v>388</v>
      </c>
      <c r="C41" s="26" t="s">
        <v>64</v>
      </c>
      <c r="D41" s="27"/>
      <c r="E41" s="30"/>
    </row>
    <row r="42" ht="26.1" customHeight="1" spans="1:5">
      <c r="A42" s="26"/>
      <c r="B42" s="33" t="s">
        <v>389</v>
      </c>
      <c r="C42" s="28" t="s">
        <v>64</v>
      </c>
      <c r="D42" s="27">
        <f>0.15*(4.65+0.5+0.5)</f>
        <v>0.8475</v>
      </c>
      <c r="E42" s="30"/>
    </row>
    <row r="43" ht="26.1" customHeight="1" spans="1:5">
      <c r="A43" s="26"/>
      <c r="B43" s="32" t="s">
        <v>28</v>
      </c>
      <c r="C43" s="26"/>
      <c r="D43" s="30">
        <f>SUBTOTAL(9,D32:D42)</f>
        <v>53.45784</v>
      </c>
      <c r="E43" s="30"/>
    </row>
    <row r="44" ht="26.1" customHeight="1" spans="1:5">
      <c r="A44" s="24" t="s">
        <v>392</v>
      </c>
      <c r="B44" s="24"/>
      <c r="C44" s="24"/>
      <c r="D44" s="24"/>
      <c r="E44" s="24"/>
    </row>
    <row r="45" ht="26.1" customHeight="1" spans="1:5">
      <c r="A45" s="25" t="s">
        <v>46</v>
      </c>
      <c r="B45" s="25" t="s">
        <v>24</v>
      </c>
      <c r="C45" s="25" t="s">
        <v>25</v>
      </c>
      <c r="D45" s="25" t="s">
        <v>378</v>
      </c>
      <c r="E45" s="25" t="s">
        <v>29</v>
      </c>
    </row>
    <row r="46" ht="27.95" customHeight="1" spans="1:5">
      <c r="A46" s="26"/>
      <c r="B46" s="27" t="s">
        <v>379</v>
      </c>
      <c r="C46" s="28" t="s">
        <v>64</v>
      </c>
      <c r="D46" s="36">
        <v>16.94</v>
      </c>
      <c r="E46" s="30"/>
    </row>
    <row r="47" ht="27.95" customHeight="1" spans="1:5">
      <c r="A47" s="26"/>
      <c r="B47" s="31" t="s">
        <v>380</v>
      </c>
      <c r="C47" s="28" t="s">
        <v>64</v>
      </c>
      <c r="D47" s="36">
        <f>0.15*8.54+1.15*0.2*2</f>
        <v>1.741</v>
      </c>
      <c r="E47" s="30"/>
    </row>
    <row r="48" ht="27.95" customHeight="1" spans="1:5">
      <c r="A48" s="26"/>
      <c r="B48" s="31" t="s">
        <v>381</v>
      </c>
      <c r="C48" s="28"/>
      <c r="D48" s="36">
        <f>1.493*(0.82)*2</f>
        <v>2.44852</v>
      </c>
      <c r="E48" s="30"/>
    </row>
    <row r="49" ht="27.95" customHeight="1" spans="1:5">
      <c r="A49" s="26"/>
      <c r="B49" s="31" t="s">
        <v>382</v>
      </c>
      <c r="C49" s="28" t="s">
        <v>64</v>
      </c>
      <c r="D49" s="27">
        <f>0.43*2</f>
        <v>0.86</v>
      </c>
      <c r="E49" s="30"/>
    </row>
    <row r="50" ht="27.95" customHeight="1" spans="1:5">
      <c r="A50" s="26"/>
      <c r="B50" s="32" t="s">
        <v>383</v>
      </c>
      <c r="C50" s="26" t="s">
        <v>64</v>
      </c>
      <c r="D50" s="30">
        <f>0.168*2</f>
        <v>0.336</v>
      </c>
      <c r="E50" s="30"/>
    </row>
    <row r="51" ht="27.95" customHeight="1" spans="1:5">
      <c r="A51" s="26"/>
      <c r="B51" s="32" t="s">
        <v>384</v>
      </c>
      <c r="C51" s="26" t="s">
        <v>64</v>
      </c>
      <c r="D51" s="30">
        <f>0.604*2</f>
        <v>1.208</v>
      </c>
      <c r="E51" s="30"/>
    </row>
    <row r="52" ht="27.95" customHeight="1" spans="1:5">
      <c r="A52" s="26"/>
      <c r="B52" s="32" t="s">
        <v>385</v>
      </c>
      <c r="C52" s="26" t="s">
        <v>64</v>
      </c>
      <c r="D52" s="30">
        <f>1.986*(0.7+0.6+1)*2</f>
        <v>9.1356</v>
      </c>
      <c r="E52" s="30"/>
    </row>
    <row r="53" ht="27.95" customHeight="1" spans="1:5">
      <c r="A53" s="26"/>
      <c r="B53" s="31" t="s">
        <v>386</v>
      </c>
      <c r="C53" s="28" t="s">
        <v>64</v>
      </c>
      <c r="D53" s="36">
        <f>2.721*4.9</f>
        <v>13.3329</v>
      </c>
      <c r="E53" s="30"/>
    </row>
    <row r="54" ht="27.95" customHeight="1" spans="1:5">
      <c r="A54" s="26"/>
      <c r="B54" s="33" t="s">
        <v>387</v>
      </c>
      <c r="C54" s="26" t="s">
        <v>64</v>
      </c>
      <c r="D54" s="36">
        <f>0.338*2.9*2+0.441*4.48</f>
        <v>3.93608</v>
      </c>
      <c r="E54" s="30"/>
    </row>
    <row r="55" ht="27.95" customHeight="1" spans="1:5">
      <c r="A55" s="26"/>
      <c r="B55" s="33" t="s">
        <v>388</v>
      </c>
      <c r="C55" s="26" t="s">
        <v>64</v>
      </c>
      <c r="D55" s="27"/>
      <c r="E55" s="30"/>
    </row>
    <row r="56" ht="27.95" customHeight="1" spans="1:5">
      <c r="A56" s="26"/>
      <c r="B56" s="33" t="s">
        <v>389</v>
      </c>
      <c r="C56" s="28" t="s">
        <v>64</v>
      </c>
      <c r="D56" s="27">
        <f>0.15*(6.8+0.5+0.5)</f>
        <v>1.17</v>
      </c>
      <c r="E56" s="30"/>
    </row>
    <row r="57" ht="27.95" customHeight="1" spans="1:5">
      <c r="A57" s="26"/>
      <c r="B57" s="32" t="s">
        <v>28</v>
      </c>
      <c r="C57" s="26"/>
      <c r="D57" s="30">
        <f>SUBTOTAL(9,D46:D56)</f>
        <v>51.1081</v>
      </c>
      <c r="E57" s="30"/>
    </row>
    <row r="58" ht="25.5" spans="1:5">
      <c r="A58" s="24" t="s">
        <v>393</v>
      </c>
      <c r="B58" s="24"/>
      <c r="C58" s="24"/>
      <c r="D58" s="24"/>
      <c r="E58" s="24"/>
    </row>
    <row r="59" ht="24" customHeight="1" spans="1:5">
      <c r="A59" s="25" t="s">
        <v>46</v>
      </c>
      <c r="B59" s="25" t="s">
        <v>24</v>
      </c>
      <c r="C59" s="25" t="s">
        <v>25</v>
      </c>
      <c r="D59" s="25" t="s">
        <v>378</v>
      </c>
      <c r="E59" s="25" t="s">
        <v>29</v>
      </c>
    </row>
    <row r="60" ht="24" customHeight="1" spans="1:5">
      <c r="A60" s="26"/>
      <c r="B60" s="27" t="s">
        <v>379</v>
      </c>
      <c r="C60" s="28" t="s">
        <v>64</v>
      </c>
      <c r="D60" s="37">
        <v>20.77</v>
      </c>
      <c r="E60" s="30"/>
    </row>
    <row r="61" ht="24" customHeight="1" spans="1:5">
      <c r="A61" s="26"/>
      <c r="B61" s="31" t="s">
        <v>380</v>
      </c>
      <c r="C61" s="28" t="s">
        <v>64</v>
      </c>
      <c r="D61" s="37">
        <f>0.15*(3.5+3.5+7.1)+1.15*0.2*2</f>
        <v>2.575</v>
      </c>
      <c r="E61" s="30"/>
    </row>
    <row r="62" ht="24" customHeight="1" spans="1:5">
      <c r="A62" s="26"/>
      <c r="B62" s="31" t="s">
        <v>381</v>
      </c>
      <c r="C62" s="28"/>
      <c r="D62" s="37">
        <f>1.493*(1.125+1.125)*2</f>
        <v>6.7185</v>
      </c>
      <c r="E62" s="30"/>
    </row>
    <row r="63" ht="24" customHeight="1" spans="1:5">
      <c r="A63" s="26"/>
      <c r="B63" s="31" t="s">
        <v>382</v>
      </c>
      <c r="C63" s="28" t="s">
        <v>64</v>
      </c>
      <c r="D63" s="27">
        <f>0.43*2</f>
        <v>0.86</v>
      </c>
      <c r="E63" s="30"/>
    </row>
    <row r="64" ht="24" customHeight="1" spans="1:5">
      <c r="A64" s="26"/>
      <c r="B64" s="32" t="s">
        <v>383</v>
      </c>
      <c r="C64" s="26" t="s">
        <v>64</v>
      </c>
      <c r="D64" s="30">
        <f>0.168*2</f>
        <v>0.336</v>
      </c>
      <c r="E64" s="30"/>
    </row>
    <row r="65" ht="24" customHeight="1" spans="1:5">
      <c r="A65" s="26"/>
      <c r="B65" s="32" t="s">
        <v>384</v>
      </c>
      <c r="C65" s="26" t="s">
        <v>64</v>
      </c>
      <c r="D65" s="30">
        <f>0.604*2</f>
        <v>1.208</v>
      </c>
      <c r="E65" s="30"/>
    </row>
    <row r="66" ht="24" customHeight="1" spans="1:5">
      <c r="A66" s="26"/>
      <c r="B66" s="32" t="s">
        <v>385</v>
      </c>
      <c r="C66" s="26" t="s">
        <v>64</v>
      </c>
      <c r="D66" s="30">
        <f>1.986*(0.7+0.6+1)*2</f>
        <v>9.1356</v>
      </c>
      <c r="E66" s="30"/>
    </row>
    <row r="67" ht="24" customHeight="1" spans="1:5">
      <c r="A67" s="26"/>
      <c r="B67" s="31" t="s">
        <v>386</v>
      </c>
      <c r="C67" s="28" t="s">
        <v>64</v>
      </c>
      <c r="D67" s="37">
        <f>2.721*6.85</f>
        <v>18.63885</v>
      </c>
      <c r="E67" s="30"/>
    </row>
    <row r="68" ht="24" customHeight="1" spans="1:5">
      <c r="A68" s="26"/>
      <c r="B68" s="33" t="s">
        <v>387</v>
      </c>
      <c r="C68" s="26" t="s">
        <v>64</v>
      </c>
      <c r="D68" s="36">
        <f>0.338*2.654*2+0.441*6.85</f>
        <v>4.814954</v>
      </c>
      <c r="E68" s="30"/>
    </row>
    <row r="69" ht="24" customHeight="1" spans="1:5">
      <c r="A69" s="26"/>
      <c r="B69" s="33" t="s">
        <v>388</v>
      </c>
      <c r="C69" s="26" t="s">
        <v>64</v>
      </c>
      <c r="D69" s="27"/>
      <c r="E69" s="30"/>
    </row>
    <row r="70" ht="24" customHeight="1" spans="1:5">
      <c r="A70" s="26"/>
      <c r="B70" s="33" t="s">
        <v>389</v>
      </c>
      <c r="C70" s="28" t="s">
        <v>64</v>
      </c>
      <c r="D70" s="27">
        <f>0.15*(8.85+0.5+0.5)</f>
        <v>1.4775</v>
      </c>
      <c r="E70" s="30"/>
    </row>
    <row r="71" ht="24" customHeight="1" spans="1:5">
      <c r="A71" s="26"/>
      <c r="B71" s="32" t="s">
        <v>28</v>
      </c>
      <c r="C71" s="26"/>
      <c r="D71" s="30">
        <f>SUBTOTAL(9,D60:D70)</f>
        <v>66.534404</v>
      </c>
      <c r="E71" s="30"/>
    </row>
    <row r="72" ht="15" spans="1:5">
      <c r="A72" s="38" t="s">
        <v>394</v>
      </c>
      <c r="B72" s="38"/>
      <c r="C72" s="38"/>
      <c r="D72" s="38"/>
      <c r="E72" s="38"/>
    </row>
    <row r="73" spans="1:5">
      <c r="A73" s="25" t="s">
        <v>46</v>
      </c>
      <c r="B73" s="25" t="s">
        <v>24</v>
      </c>
      <c r="C73" s="25" t="s">
        <v>25</v>
      </c>
      <c r="D73" s="25" t="s">
        <v>378</v>
      </c>
      <c r="E73" s="25" t="s">
        <v>29</v>
      </c>
    </row>
    <row r="74" spans="1:5">
      <c r="A74" s="26"/>
      <c r="B74" s="27" t="s">
        <v>379</v>
      </c>
      <c r="C74" s="28" t="s">
        <v>64</v>
      </c>
      <c r="D74" s="37">
        <v>17.19</v>
      </c>
      <c r="E74" s="30"/>
    </row>
    <row r="75" spans="1:5">
      <c r="A75" s="26"/>
      <c r="B75" s="31" t="s">
        <v>380</v>
      </c>
      <c r="C75" s="28" t="s">
        <v>64</v>
      </c>
      <c r="D75" s="39">
        <f>0.15*(3.07+4.901+1.05)+1.15*0.2*2</f>
        <v>1.81315</v>
      </c>
      <c r="E75" s="30"/>
    </row>
    <row r="76" spans="1:5">
      <c r="A76" s="26"/>
      <c r="B76" s="31" t="s">
        <v>381</v>
      </c>
      <c r="C76" s="28"/>
      <c r="D76" s="37">
        <f>1.493*(1.01)*2</f>
        <v>3.01586</v>
      </c>
      <c r="E76" s="30"/>
    </row>
    <row r="77" spans="1:5">
      <c r="A77" s="26"/>
      <c r="B77" s="31" t="s">
        <v>382</v>
      </c>
      <c r="C77" s="28" t="s">
        <v>64</v>
      </c>
      <c r="D77" s="27">
        <f>0.43*2</f>
        <v>0.86</v>
      </c>
      <c r="E77" s="30"/>
    </row>
    <row r="78" spans="1:5">
      <c r="A78" s="26"/>
      <c r="B78" s="32" t="s">
        <v>383</v>
      </c>
      <c r="C78" s="26" t="s">
        <v>64</v>
      </c>
      <c r="D78" s="30">
        <f>0.168*2</f>
        <v>0.336</v>
      </c>
      <c r="E78" s="30"/>
    </row>
    <row r="79" spans="1:5">
      <c r="A79" s="26"/>
      <c r="B79" s="32" t="s">
        <v>384</v>
      </c>
      <c r="C79" s="26" t="s">
        <v>64</v>
      </c>
      <c r="D79" s="30">
        <f>0.604*2</f>
        <v>1.208</v>
      </c>
      <c r="E79" s="30"/>
    </row>
    <row r="80" spans="1:5">
      <c r="A80" s="26"/>
      <c r="B80" s="32" t="s">
        <v>385</v>
      </c>
      <c r="C80" s="26" t="s">
        <v>64</v>
      </c>
      <c r="D80" s="30">
        <f>1.986*(0.7+0.6+1)*2</f>
        <v>9.1356</v>
      </c>
      <c r="E80" s="30"/>
    </row>
    <row r="81" spans="1:5">
      <c r="A81" s="26"/>
      <c r="B81" s="31" t="s">
        <v>386</v>
      </c>
      <c r="C81" s="28" t="s">
        <v>64</v>
      </c>
      <c r="D81" s="37">
        <f>2.721*5</f>
        <v>13.605</v>
      </c>
      <c r="E81" s="30"/>
    </row>
    <row r="82" spans="1:5">
      <c r="A82" s="26"/>
      <c r="B82" s="33" t="s">
        <v>387</v>
      </c>
      <c r="C82" s="26" t="s">
        <v>64</v>
      </c>
      <c r="D82" s="36">
        <f>0.338*2.654*2+0.441*5</f>
        <v>3.999104</v>
      </c>
      <c r="E82" s="30"/>
    </row>
    <row r="83" spans="1:5">
      <c r="A83" s="26"/>
      <c r="B83" s="33" t="s">
        <v>388</v>
      </c>
      <c r="C83" s="26" t="s">
        <v>64</v>
      </c>
      <c r="D83" s="27"/>
      <c r="E83" s="30"/>
    </row>
    <row r="84" spans="1:5">
      <c r="A84" s="26"/>
      <c r="B84" s="33" t="s">
        <v>389</v>
      </c>
      <c r="C84" s="28" t="s">
        <v>64</v>
      </c>
      <c r="D84" s="27">
        <f>0.15*(7+0.5+0.5)</f>
        <v>1.2</v>
      </c>
      <c r="E84" s="30"/>
    </row>
    <row r="85" spans="1:5">
      <c r="A85" s="26"/>
      <c r="B85" s="32" t="s">
        <v>28</v>
      </c>
      <c r="C85" s="26"/>
      <c r="D85" s="30">
        <f>SUBTOTAL(9,D74:D84)</f>
        <v>52.362714</v>
      </c>
      <c r="E85" s="30"/>
    </row>
    <row r="86" ht="15" spans="1:5">
      <c r="A86" s="38" t="s">
        <v>395</v>
      </c>
      <c r="B86" s="38"/>
      <c r="C86" s="38"/>
      <c r="D86" s="38"/>
      <c r="E86" s="38"/>
    </row>
    <row r="87" spans="1:5">
      <c r="A87" s="25" t="s">
        <v>46</v>
      </c>
      <c r="B87" s="25" t="s">
        <v>24</v>
      </c>
      <c r="C87" s="25" t="s">
        <v>25</v>
      </c>
      <c r="D87" s="25" t="s">
        <v>378</v>
      </c>
      <c r="E87" s="25" t="s">
        <v>29</v>
      </c>
    </row>
    <row r="88" spans="1:5">
      <c r="A88" s="26"/>
      <c r="B88" s="27" t="s">
        <v>379</v>
      </c>
      <c r="C88" s="28" t="s">
        <v>64</v>
      </c>
      <c r="D88" s="27">
        <v>16.32</v>
      </c>
      <c r="E88" s="30"/>
    </row>
    <row r="89" spans="1:5">
      <c r="A89" s="26"/>
      <c r="B89" s="31" t="s">
        <v>380</v>
      </c>
      <c r="C89" s="28" t="s">
        <v>64</v>
      </c>
      <c r="D89" s="40">
        <f>0.15*(1.05*2+6.4)+1.15*0.2*2</f>
        <v>1.735</v>
      </c>
      <c r="E89" s="30"/>
    </row>
    <row r="90" spans="1:5">
      <c r="A90" s="26"/>
      <c r="B90" s="31" t="s">
        <v>381</v>
      </c>
      <c r="C90" s="28"/>
      <c r="D90" s="27"/>
      <c r="E90" s="30"/>
    </row>
    <row r="91" spans="1:5">
      <c r="A91" s="26"/>
      <c r="B91" s="31" t="s">
        <v>382</v>
      </c>
      <c r="C91" s="28" t="s">
        <v>64</v>
      </c>
      <c r="D91" s="27">
        <f>0.43*2</f>
        <v>0.86</v>
      </c>
      <c r="E91" s="30"/>
    </row>
    <row r="92" spans="1:5">
      <c r="A92" s="26"/>
      <c r="B92" s="32" t="s">
        <v>383</v>
      </c>
      <c r="C92" s="26" t="s">
        <v>64</v>
      </c>
      <c r="D92" s="30">
        <f>0.168*2</f>
        <v>0.336</v>
      </c>
      <c r="E92" s="30"/>
    </row>
    <row r="93" spans="1:5">
      <c r="A93" s="26"/>
      <c r="B93" s="32" t="s">
        <v>384</v>
      </c>
      <c r="C93" s="26" t="s">
        <v>64</v>
      </c>
      <c r="D93" s="30">
        <f>0.604*2</f>
        <v>1.208</v>
      </c>
      <c r="E93" s="30"/>
    </row>
    <row r="94" spans="1:5">
      <c r="A94" s="26"/>
      <c r="B94" s="32" t="s">
        <v>385</v>
      </c>
      <c r="C94" s="26" t="s">
        <v>64</v>
      </c>
      <c r="D94" s="30">
        <f>1.986*(0.7+0.6+1)*2</f>
        <v>9.1356</v>
      </c>
      <c r="E94" s="30"/>
    </row>
    <row r="95" spans="1:5">
      <c r="A95" s="26"/>
      <c r="B95" s="31" t="s">
        <v>386</v>
      </c>
      <c r="C95" s="28" t="s">
        <v>64</v>
      </c>
      <c r="D95" s="27">
        <f>2.721*5.8</f>
        <v>15.7818</v>
      </c>
      <c r="E95" s="30"/>
    </row>
    <row r="96" spans="1:5">
      <c r="A96" s="26"/>
      <c r="B96" s="33" t="s">
        <v>387</v>
      </c>
      <c r="C96" s="26" t="s">
        <v>64</v>
      </c>
      <c r="D96" s="27">
        <f>0.338*4.45*2+0.441*5.8</f>
        <v>5.566</v>
      </c>
      <c r="E96" s="30"/>
    </row>
    <row r="97" spans="1:5">
      <c r="A97" s="26"/>
      <c r="B97" s="33" t="s">
        <v>388</v>
      </c>
      <c r="C97" s="26" t="s">
        <v>64</v>
      </c>
      <c r="D97" s="27"/>
      <c r="E97" s="30"/>
    </row>
    <row r="98" spans="1:5">
      <c r="A98" s="26"/>
      <c r="B98" s="33" t="s">
        <v>389</v>
      </c>
      <c r="C98" s="28" t="s">
        <v>64</v>
      </c>
      <c r="D98" s="27">
        <f>0.15*(7.8+0.5+0.5)</f>
        <v>1.32</v>
      </c>
      <c r="E98" s="30"/>
    </row>
    <row r="99" spans="1:5">
      <c r="A99" s="26"/>
      <c r="B99" s="32" t="s">
        <v>28</v>
      </c>
      <c r="C99" s="26"/>
      <c r="D99" s="30">
        <f>SUBTOTAL(9,D88:D98)</f>
        <v>52.2624</v>
      </c>
      <c r="E99" s="30"/>
    </row>
    <row r="100" ht="15" spans="1:5">
      <c r="A100" s="38" t="s">
        <v>396</v>
      </c>
      <c r="B100" s="38"/>
      <c r="C100" s="38"/>
      <c r="D100" s="38"/>
      <c r="E100" s="38"/>
    </row>
    <row r="101" spans="1:5">
      <c r="A101" s="25" t="s">
        <v>46</v>
      </c>
      <c r="B101" s="25" t="s">
        <v>24</v>
      </c>
      <c r="C101" s="25" t="s">
        <v>25</v>
      </c>
      <c r="D101" s="25" t="s">
        <v>378</v>
      </c>
      <c r="E101" s="25" t="s">
        <v>29</v>
      </c>
    </row>
    <row r="102" spans="1:5">
      <c r="A102" s="26"/>
      <c r="B102" s="27" t="s">
        <v>379</v>
      </c>
      <c r="C102" s="28" t="s">
        <v>64</v>
      </c>
      <c r="D102" s="27">
        <v>16.52</v>
      </c>
      <c r="E102" s="30"/>
    </row>
    <row r="103" spans="1:5">
      <c r="A103" s="26"/>
      <c r="B103" s="31" t="s">
        <v>380</v>
      </c>
      <c r="C103" s="28" t="s">
        <v>64</v>
      </c>
      <c r="D103" s="40">
        <f>0.15*(1.05*2+6.55)+1.15*0.2*2</f>
        <v>1.7575</v>
      </c>
      <c r="E103" s="30"/>
    </row>
    <row r="104" spans="1:5">
      <c r="A104" s="26"/>
      <c r="B104" s="31" t="s">
        <v>381</v>
      </c>
      <c r="C104" s="28"/>
      <c r="D104" s="27"/>
      <c r="E104" s="30"/>
    </row>
    <row r="105" spans="1:5">
      <c r="A105" s="26"/>
      <c r="B105" s="31" t="s">
        <v>382</v>
      </c>
      <c r="C105" s="28" t="s">
        <v>64</v>
      </c>
      <c r="D105" s="27">
        <f>0.43*2</f>
        <v>0.86</v>
      </c>
      <c r="E105" s="30"/>
    </row>
    <row r="106" spans="1:5">
      <c r="A106" s="26"/>
      <c r="B106" s="32" t="s">
        <v>383</v>
      </c>
      <c r="C106" s="26" t="s">
        <v>64</v>
      </c>
      <c r="D106" s="30">
        <f>0.168*2</f>
        <v>0.336</v>
      </c>
      <c r="E106" s="30"/>
    </row>
    <row r="107" spans="1:5">
      <c r="A107" s="26"/>
      <c r="B107" s="32" t="s">
        <v>384</v>
      </c>
      <c r="C107" s="26" t="s">
        <v>64</v>
      </c>
      <c r="D107" s="30">
        <f>0.604*2</f>
        <v>1.208</v>
      </c>
      <c r="E107" s="30"/>
    </row>
    <row r="108" spans="1:5">
      <c r="A108" s="26"/>
      <c r="B108" s="32" t="s">
        <v>385</v>
      </c>
      <c r="C108" s="26" t="s">
        <v>64</v>
      </c>
      <c r="D108" s="30">
        <f>1.986*(0.7+0.6+1)*2</f>
        <v>9.1356</v>
      </c>
      <c r="E108" s="30"/>
    </row>
    <row r="109" spans="1:5">
      <c r="A109" s="26"/>
      <c r="B109" s="31" t="s">
        <v>386</v>
      </c>
      <c r="C109" s="28" t="s">
        <v>64</v>
      </c>
      <c r="D109" s="27">
        <f>2.721*5.95</f>
        <v>16.18995</v>
      </c>
      <c r="E109" s="30"/>
    </row>
    <row r="110" spans="1:5">
      <c r="A110" s="26"/>
      <c r="B110" s="33" t="s">
        <v>387</v>
      </c>
      <c r="C110" s="26" t="s">
        <v>64</v>
      </c>
      <c r="D110" s="27">
        <f>0.338*4.45*2+0.441*5.95</f>
        <v>5.63215</v>
      </c>
      <c r="E110" s="30"/>
    </row>
    <row r="111" spans="1:5">
      <c r="A111" s="26"/>
      <c r="B111" s="33" t="s">
        <v>388</v>
      </c>
      <c r="C111" s="26" t="s">
        <v>64</v>
      </c>
      <c r="D111" s="27"/>
      <c r="E111" s="30"/>
    </row>
    <row r="112" spans="1:5">
      <c r="A112" s="26"/>
      <c r="B112" s="33" t="s">
        <v>389</v>
      </c>
      <c r="C112" s="28" t="s">
        <v>64</v>
      </c>
      <c r="D112" s="27">
        <f>0.15*(7.95+0.5+0.5)</f>
        <v>1.3425</v>
      </c>
      <c r="E112" s="30"/>
    </row>
    <row r="113" spans="1:5">
      <c r="A113" s="26"/>
      <c r="B113" s="32" t="s">
        <v>28</v>
      </c>
      <c r="C113" s="26"/>
      <c r="D113" s="30">
        <f>SUBTOTAL(9,D102:D112)</f>
        <v>52.9817</v>
      </c>
      <c r="E113" s="30"/>
    </row>
  </sheetData>
  <autoFilter xmlns:etc="http://www.wps.cn/officeDocument/2017/etCustomData" ref="A2:E13" etc:filterBottomFollowUsedRange="0">
    <extLst/>
  </autoFilter>
  <mergeCells count="8">
    <mergeCell ref="A1:E1"/>
    <mergeCell ref="A16:E16"/>
    <mergeCell ref="A30:E30"/>
    <mergeCell ref="A44:E44"/>
    <mergeCell ref="A58:E58"/>
    <mergeCell ref="A72:E72"/>
    <mergeCell ref="A86:E86"/>
    <mergeCell ref="A100:E10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K17" sqref="K17"/>
    </sheetView>
  </sheetViews>
  <sheetFormatPr defaultColWidth="9" defaultRowHeight="14.25" outlineLevelCol="7"/>
  <cols>
    <col min="1" max="2" width="5.575" style="5" customWidth="1"/>
    <col min="3" max="4" width="12.575" style="5" customWidth="1"/>
    <col min="5" max="5" width="25.575" style="5" customWidth="1"/>
    <col min="6" max="7" width="20.575" style="5" customWidth="1"/>
    <col min="8" max="16384" width="9" style="2"/>
  </cols>
  <sheetData>
    <row r="1" s="1" customFormat="1" ht="20.15" customHeight="1" spans="1:8">
      <c r="A1" s="6" t="s">
        <v>397</v>
      </c>
      <c r="B1" s="7"/>
      <c r="C1" s="7"/>
      <c r="D1" s="7"/>
      <c r="E1" s="7"/>
      <c r="F1" s="7"/>
      <c r="G1" s="7"/>
      <c r="H1" s="8"/>
    </row>
    <row r="2" s="2" customFormat="1" ht="15" customHeight="1" spans="1:8">
      <c r="A2" s="9" t="s">
        <v>398</v>
      </c>
      <c r="B2" s="9"/>
      <c r="C2" s="9"/>
      <c r="D2" s="9"/>
      <c r="E2" s="9"/>
      <c r="F2" s="9"/>
      <c r="G2" s="9"/>
      <c r="H2" s="10"/>
    </row>
    <row r="3" s="3" customFormat="1" ht="25" customHeight="1" spans="1:7">
      <c r="A3" s="11" t="s">
        <v>399</v>
      </c>
      <c r="B3" s="11"/>
      <c r="C3" s="12" t="s">
        <v>400</v>
      </c>
      <c r="D3" s="13"/>
      <c r="E3" s="13"/>
      <c r="F3" s="11"/>
      <c r="G3" s="14"/>
    </row>
    <row r="4" s="4" customFormat="1" ht="25" customHeight="1" spans="1:7">
      <c r="A4" s="11"/>
      <c r="B4" s="11"/>
      <c r="C4" s="13"/>
      <c r="D4" s="13"/>
      <c r="E4" s="13"/>
      <c r="F4" s="11" t="s">
        <v>401</v>
      </c>
      <c r="G4" s="15"/>
    </row>
    <row r="5" s="1" customFormat="1" ht="21" customHeight="1" spans="1:7">
      <c r="A5" s="16" t="s">
        <v>402</v>
      </c>
      <c r="B5" s="16" t="s">
        <v>403</v>
      </c>
      <c r="C5" s="16" t="s">
        <v>404</v>
      </c>
      <c r="D5" s="16" t="s">
        <v>405</v>
      </c>
      <c r="E5" s="16" t="s">
        <v>406</v>
      </c>
      <c r="F5" s="16" t="s">
        <v>407</v>
      </c>
      <c r="G5" s="16" t="s">
        <v>29</v>
      </c>
    </row>
    <row r="6" s="2" customFormat="1" ht="23" customHeight="1" spans="1:7">
      <c r="A6" s="17" t="s">
        <v>408</v>
      </c>
      <c r="B6" s="17" t="s">
        <v>409</v>
      </c>
      <c r="C6" s="17" t="s">
        <v>410</v>
      </c>
      <c r="D6" s="17" t="s">
        <v>411</v>
      </c>
      <c r="E6" s="17" t="s">
        <v>412</v>
      </c>
      <c r="F6" s="17" t="s">
        <v>413</v>
      </c>
      <c r="G6" s="17" t="s">
        <v>414</v>
      </c>
    </row>
    <row r="7" s="2" customFormat="1" ht="78" customHeight="1" spans="1:7">
      <c r="A7" s="18" t="s">
        <v>415</v>
      </c>
      <c r="B7" s="11" t="s">
        <v>416</v>
      </c>
      <c r="C7" s="17"/>
      <c r="D7" s="11" t="s">
        <v>417</v>
      </c>
      <c r="E7" s="11"/>
      <c r="F7" s="11" t="s">
        <v>418</v>
      </c>
      <c r="G7" s="17"/>
    </row>
    <row r="8" s="2" customFormat="1" ht="78" customHeight="1" spans="1:7">
      <c r="A8" s="19"/>
      <c r="B8" s="11" t="s">
        <v>419</v>
      </c>
      <c r="C8" s="17"/>
      <c r="D8" s="11" t="s">
        <v>420</v>
      </c>
      <c r="E8" s="11"/>
      <c r="F8" s="11" t="s">
        <v>421</v>
      </c>
      <c r="G8" s="17"/>
    </row>
    <row r="9" s="2" customFormat="1" ht="78" customHeight="1" spans="1:7">
      <c r="A9" s="19"/>
      <c r="B9" s="11" t="s">
        <v>422</v>
      </c>
      <c r="C9" s="17"/>
      <c r="D9" s="11" t="s">
        <v>277</v>
      </c>
      <c r="E9" s="11"/>
      <c r="F9" s="11" t="s">
        <v>423</v>
      </c>
      <c r="G9" s="17"/>
    </row>
    <row r="10" s="2" customFormat="1" ht="78" customHeight="1" spans="1:7">
      <c r="A10" s="19"/>
      <c r="B10" s="11" t="s">
        <v>424</v>
      </c>
      <c r="C10" s="17"/>
      <c r="D10" s="11" t="s">
        <v>425</v>
      </c>
      <c r="E10" s="11"/>
      <c r="F10" s="11" t="s">
        <v>426</v>
      </c>
      <c r="G10" s="20"/>
    </row>
    <row r="11" s="2" customFormat="1" ht="78" customHeight="1" spans="1:7">
      <c r="A11" s="21"/>
      <c r="B11" s="11" t="s">
        <v>427</v>
      </c>
      <c r="C11" s="17"/>
      <c r="D11" s="11" t="s">
        <v>428</v>
      </c>
      <c r="E11" s="11" t="s">
        <v>429</v>
      </c>
      <c r="F11" s="11" t="s">
        <v>430</v>
      </c>
      <c r="G11" s="20"/>
    </row>
    <row r="12" s="2" customFormat="1" spans="1:7">
      <c r="A12" s="22"/>
      <c r="B12" s="5"/>
      <c r="C12" s="5"/>
      <c r="D12" s="5"/>
      <c r="E12" s="5"/>
      <c r="F12" s="5"/>
      <c r="G12" s="5"/>
    </row>
  </sheetData>
  <mergeCells count="5">
    <mergeCell ref="A1:G1"/>
    <mergeCell ref="A2:G2"/>
    <mergeCell ref="A7:A11"/>
    <mergeCell ref="A3:B4"/>
    <mergeCell ref="C3:E4"/>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5"/>
  <sheetViews>
    <sheetView tabSelected="1" topLeftCell="A34" workbookViewId="0">
      <selection activeCell="F65" sqref="F65"/>
    </sheetView>
  </sheetViews>
  <sheetFormatPr defaultColWidth="7.75" defaultRowHeight="12.75" outlineLevelCol="6"/>
  <cols>
    <col min="1" max="1" width="7.75" style="149"/>
    <col min="2" max="2" width="32.8833333333333" style="149" customWidth="1"/>
    <col min="3" max="3" width="9.63333333333333" style="205" customWidth="1"/>
    <col min="4" max="4" width="9.63333333333333" style="149" customWidth="1"/>
    <col min="5" max="5" width="15.25" style="149" customWidth="1"/>
    <col min="6" max="6" width="15" style="149" customWidth="1"/>
    <col min="7" max="7" width="13.5" style="149" customWidth="1"/>
    <col min="8" max="9" width="7.75" style="149"/>
    <col min="10" max="10" width="12.6333333333333" style="149"/>
    <col min="11" max="16384" width="7.75" style="149"/>
  </cols>
  <sheetData>
    <row r="1" s="204" customFormat="1" ht="54" customHeight="1" spans="1:7">
      <c r="A1" s="206" t="s">
        <v>22</v>
      </c>
      <c r="B1" s="206"/>
      <c r="C1" s="206"/>
      <c r="D1" s="206"/>
      <c r="E1" s="206"/>
      <c r="F1" s="206"/>
      <c r="G1" s="206"/>
    </row>
    <row r="2" s="204" customFormat="1" ht="38.1" customHeight="1" spans="1:7">
      <c r="A2" s="207" t="s">
        <v>23</v>
      </c>
      <c r="B2" s="207" t="s">
        <v>24</v>
      </c>
      <c r="C2" s="207" t="s">
        <v>25</v>
      </c>
      <c r="D2" s="207" t="s">
        <v>26</v>
      </c>
      <c r="E2" s="208" t="s">
        <v>27</v>
      </c>
      <c r="F2" s="208" t="s">
        <v>28</v>
      </c>
      <c r="G2" s="207" t="s">
        <v>29</v>
      </c>
    </row>
    <row r="3" s="204" customFormat="1" ht="22" customHeight="1" spans="1:7">
      <c r="A3" s="209" t="s">
        <v>30</v>
      </c>
      <c r="B3" s="209" t="s">
        <v>31</v>
      </c>
      <c r="C3" s="209"/>
      <c r="D3" s="209"/>
      <c r="E3" s="210"/>
      <c r="F3" s="210">
        <f>SUM(F4:F11)</f>
        <v>861721.578761941</v>
      </c>
      <c r="G3" s="209"/>
    </row>
    <row r="4" s="204" customFormat="1" ht="21.95" customHeight="1" spans="1:7">
      <c r="A4" s="95">
        <v>1.1</v>
      </c>
      <c r="B4" s="211" t="str">
        <f>精装大堂!B5</f>
        <v>28#楼精装大堂硬质装修部分</v>
      </c>
      <c r="C4" s="95" t="s">
        <v>32</v>
      </c>
      <c r="D4" s="212">
        <v>2</v>
      </c>
      <c r="E4" s="95">
        <f>精装大堂!L22</f>
        <v>36603.776359744</v>
      </c>
      <c r="F4" s="95">
        <f>E4*D4</f>
        <v>73207.552719488</v>
      </c>
      <c r="G4" s="213"/>
    </row>
    <row r="5" s="204" customFormat="1" ht="21.95" customHeight="1" spans="1:7">
      <c r="A5" s="95">
        <v>1.2</v>
      </c>
      <c r="B5" s="211" t="str">
        <f>精装大堂!B23</f>
        <v>29#楼精装大堂硬质装修部分</v>
      </c>
      <c r="C5" s="95" t="s">
        <v>32</v>
      </c>
      <c r="D5" s="212">
        <v>2</v>
      </c>
      <c r="E5" s="95">
        <f>精装大堂!L40</f>
        <v>40343.970406394</v>
      </c>
      <c r="F5" s="95">
        <f t="shared" ref="F5:F11" si="0">E5*D5</f>
        <v>80687.940812788</v>
      </c>
      <c r="G5" s="213"/>
    </row>
    <row r="6" s="204" customFormat="1" ht="21.95" customHeight="1" spans="1:7">
      <c r="A6" s="95">
        <v>1.3</v>
      </c>
      <c r="B6" s="211" t="str">
        <f>精装大堂!B41</f>
        <v>30#楼精装大堂硬质装修部分</v>
      </c>
      <c r="C6" s="95" t="s">
        <v>32</v>
      </c>
      <c r="D6" s="212">
        <v>2</v>
      </c>
      <c r="E6" s="95">
        <f>精装大堂!L57</f>
        <v>59260.3024891</v>
      </c>
      <c r="F6" s="95">
        <f t="shared" si="0"/>
        <v>118520.6049782</v>
      </c>
      <c r="G6" s="213"/>
    </row>
    <row r="7" s="204" customFormat="1" ht="21.95" customHeight="1" spans="1:7">
      <c r="A7" s="95">
        <v>1.4</v>
      </c>
      <c r="B7" s="211" t="str">
        <f>精装大堂!B58</f>
        <v>31#楼精装大堂硬质装修部分</v>
      </c>
      <c r="C7" s="95" t="s">
        <v>32</v>
      </c>
      <c r="D7" s="212">
        <v>2</v>
      </c>
      <c r="E7" s="95">
        <f>精装大堂!L74</f>
        <v>28993.762540666</v>
      </c>
      <c r="F7" s="95">
        <f t="shared" si="0"/>
        <v>57987.525081332</v>
      </c>
      <c r="G7" s="213"/>
    </row>
    <row r="8" s="204" customFormat="1" ht="24" spans="1:7">
      <c r="A8" s="95">
        <v>1.5</v>
      </c>
      <c r="B8" s="211" t="str">
        <f>精装大堂!B75</f>
        <v>36#楼西单元、38#楼西单元精装大堂硬质装修部分、37#楼东西单元</v>
      </c>
      <c r="C8" s="95" t="s">
        <v>32</v>
      </c>
      <c r="D8" s="212">
        <v>4</v>
      </c>
      <c r="E8" s="95">
        <f>精装大堂!L91</f>
        <v>38195.980416774</v>
      </c>
      <c r="F8" s="95">
        <f t="shared" si="0"/>
        <v>152783.921667096</v>
      </c>
      <c r="G8" s="213"/>
    </row>
    <row r="9" s="204" customFormat="1" ht="24" spans="1:7">
      <c r="A9" s="95">
        <v>1.6</v>
      </c>
      <c r="B9" s="211" t="str">
        <f>精装大堂!B92</f>
        <v>36#楼东单元、38#楼东单元精装大堂硬质装修部分、</v>
      </c>
      <c r="C9" s="95" t="s">
        <v>32</v>
      </c>
      <c r="D9" s="212">
        <v>2</v>
      </c>
      <c r="E9" s="95">
        <f>精装大堂!L108</f>
        <v>59451.108794685</v>
      </c>
      <c r="F9" s="95">
        <f t="shared" si="0"/>
        <v>118902.21758937</v>
      </c>
      <c r="G9" s="213"/>
    </row>
    <row r="10" s="204" customFormat="1" ht="14.25" spans="1:7">
      <c r="A10" s="95">
        <v>1.7</v>
      </c>
      <c r="B10" s="211" t="str">
        <f>精装大堂!B109</f>
        <v>39#楼精装大堂硬质装修部分</v>
      </c>
      <c r="C10" s="95" t="s">
        <v>32</v>
      </c>
      <c r="D10" s="212">
        <v>2</v>
      </c>
      <c r="E10" s="95">
        <f>精装大堂!L125</f>
        <v>57459.561801279</v>
      </c>
      <c r="F10" s="95">
        <f t="shared" si="0"/>
        <v>114919.123602558</v>
      </c>
      <c r="G10" s="213"/>
    </row>
    <row r="11" s="204" customFormat="1" ht="14.25" spans="1:7">
      <c r="A11" s="95">
        <v>1.8</v>
      </c>
      <c r="B11" s="211" t="str">
        <f>精装大堂!B126</f>
        <v>50#楼精装大堂硬质装修部分</v>
      </c>
      <c r="C11" s="95" t="s">
        <v>32</v>
      </c>
      <c r="D11" s="212">
        <v>2</v>
      </c>
      <c r="E11" s="95">
        <f>精装大堂!L142</f>
        <v>72356.3461555545</v>
      </c>
      <c r="F11" s="95">
        <f t="shared" si="0"/>
        <v>144712.692311109</v>
      </c>
      <c r="G11" s="213"/>
    </row>
    <row r="12" s="204" customFormat="1" ht="21" customHeight="1" spans="1:7">
      <c r="A12" s="209" t="s">
        <v>33</v>
      </c>
      <c r="B12" s="209" t="s">
        <v>34</v>
      </c>
      <c r="C12" s="209"/>
      <c r="D12" s="209"/>
      <c r="E12" s="210"/>
      <c r="F12" s="210">
        <f>SUM(F13:F22)</f>
        <v>189791.74086678</v>
      </c>
      <c r="G12" s="209"/>
    </row>
    <row r="13" s="204" customFormat="1" ht="21" customHeight="1" spans="1:7">
      <c r="A13" s="95">
        <v>2.1</v>
      </c>
      <c r="B13" s="211" t="str">
        <f>'一层大堂及地下入口-安装'!B5</f>
        <v>28#大堂及地下安装</v>
      </c>
      <c r="C13" s="95" t="s">
        <v>32</v>
      </c>
      <c r="D13" s="212">
        <v>2</v>
      </c>
      <c r="E13" s="95">
        <f>'一层大堂及地下入口-安装'!N22</f>
        <v>10779.8827891665</v>
      </c>
      <c r="F13" s="95">
        <f>E13*D13</f>
        <v>21559.7655783331</v>
      </c>
      <c r="G13" s="207"/>
    </row>
    <row r="14" s="204" customFormat="1" ht="21" customHeight="1" spans="1:7">
      <c r="A14" s="95">
        <v>2.2</v>
      </c>
      <c r="B14" s="211" t="str">
        <f>'一层大堂及地下入口-安装'!B23</f>
        <v>29#一层大堂安装</v>
      </c>
      <c r="C14" s="95" t="s">
        <v>32</v>
      </c>
      <c r="D14" s="212">
        <v>2</v>
      </c>
      <c r="E14" s="95">
        <f>'一层大堂及地下入口-安装'!N40</f>
        <v>10316.9559315519</v>
      </c>
      <c r="F14" s="95">
        <f t="shared" ref="F14:F22" si="1">E14*D14</f>
        <v>20633.9118631038</v>
      </c>
      <c r="G14" s="207"/>
    </row>
    <row r="15" s="204" customFormat="1" ht="21" customHeight="1" spans="1:7">
      <c r="A15" s="95">
        <v>2.3</v>
      </c>
      <c r="B15" s="211" t="str">
        <f>'一层大堂及地下入口-安装'!B41</f>
        <v>30#大堂及地下安装</v>
      </c>
      <c r="C15" s="95" t="s">
        <v>32</v>
      </c>
      <c r="D15" s="212">
        <v>2</v>
      </c>
      <c r="E15" s="95">
        <f>'一层大堂及地下入口-安装'!N58</f>
        <v>11180.5425248117</v>
      </c>
      <c r="F15" s="95">
        <f t="shared" si="1"/>
        <v>22361.0850496234</v>
      </c>
      <c r="G15" s="207"/>
    </row>
    <row r="16" s="204" customFormat="1" ht="21" customHeight="1" spans="1:7">
      <c r="A16" s="95">
        <v>2.4</v>
      </c>
      <c r="B16" s="211" t="str">
        <f>'一层大堂及地下入口-安装'!B59</f>
        <v>31#大堂及地下安装</v>
      </c>
      <c r="C16" s="95" t="s">
        <v>32</v>
      </c>
      <c r="D16" s="212">
        <v>2</v>
      </c>
      <c r="E16" s="95">
        <f>'一层大堂及地下入口-安装'!N75</f>
        <v>9430.5644906617</v>
      </c>
      <c r="F16" s="95">
        <f t="shared" si="1"/>
        <v>18861.1289813234</v>
      </c>
      <c r="G16" s="207"/>
    </row>
    <row r="17" s="204" customFormat="1" ht="21" customHeight="1" spans="1:7">
      <c r="A17" s="95">
        <v>2.5</v>
      </c>
      <c r="B17" s="211" t="str">
        <f>'一层大堂及地下入口-安装'!B76</f>
        <v>36、38#东单元大堂及地下安装</v>
      </c>
      <c r="C17" s="95" t="s">
        <v>32</v>
      </c>
      <c r="D17" s="212">
        <v>2</v>
      </c>
      <c r="E17" s="95">
        <f>'一层大堂及地下入口-安装'!N92</f>
        <v>11104.9003419045</v>
      </c>
      <c r="F17" s="95">
        <f t="shared" si="1"/>
        <v>22209.800683809</v>
      </c>
      <c r="G17" s="207"/>
    </row>
    <row r="18" s="204" customFormat="1" ht="21" customHeight="1" spans="1:7">
      <c r="A18" s="95">
        <v>2.6</v>
      </c>
      <c r="B18" s="211" t="str">
        <f>'一层大堂及地下入口-安装'!B93</f>
        <v>36、38#西单元大堂及地下安装</v>
      </c>
      <c r="C18" s="95" t="s">
        <v>32</v>
      </c>
      <c r="D18" s="212">
        <v>2</v>
      </c>
      <c r="E18" s="95">
        <f>'一层大堂及地下入口-安装'!N109</f>
        <v>10601.9710773545</v>
      </c>
      <c r="F18" s="95">
        <f t="shared" si="1"/>
        <v>21203.942154709</v>
      </c>
      <c r="G18" s="207"/>
    </row>
    <row r="19" s="204" customFormat="1" ht="21" customHeight="1" spans="1:7">
      <c r="A19" s="95">
        <v>2.7</v>
      </c>
      <c r="B19" s="211" t="str">
        <f>'一层大堂及地下入口-安装'!B110</f>
        <v>37#大堂及地下安装</v>
      </c>
      <c r="C19" s="95" t="s">
        <v>32</v>
      </c>
      <c r="D19" s="212">
        <v>2</v>
      </c>
      <c r="E19" s="95">
        <f>'一层大堂及地下入口-安装'!N126</f>
        <v>10243.1802988925</v>
      </c>
      <c r="F19" s="95">
        <f t="shared" si="1"/>
        <v>20486.360597785</v>
      </c>
      <c r="G19" s="207"/>
    </row>
    <row r="20" s="204" customFormat="1" ht="21" customHeight="1" spans="1:7">
      <c r="A20" s="95">
        <v>2.8</v>
      </c>
      <c r="B20" s="211" t="str">
        <f>'一层大堂及地下入口-安装'!B127</f>
        <v>39#一层大堂及地下室安装</v>
      </c>
      <c r="C20" s="95" t="s">
        <v>32</v>
      </c>
      <c r="D20" s="212">
        <v>1</v>
      </c>
      <c r="E20" s="95">
        <f>'一层大堂及地下入口-安装'!N143</f>
        <v>11040.0631990039</v>
      </c>
      <c r="F20" s="95">
        <f t="shared" si="1"/>
        <v>11040.0631990039</v>
      </c>
      <c r="G20" s="207"/>
    </row>
    <row r="21" s="204" customFormat="1" ht="21" customHeight="1" spans="1:7">
      <c r="A21" s="95">
        <v>2.9</v>
      </c>
      <c r="B21" s="211" t="str">
        <f>'一层大堂及地下入口-安装'!B144</f>
        <v>39#一层大堂及地下室安装</v>
      </c>
      <c r="C21" s="95" t="s">
        <v>32</v>
      </c>
      <c r="D21" s="212">
        <v>1</v>
      </c>
      <c r="E21" s="95">
        <f>'一层大堂及地下入口-安装'!N160</f>
        <v>10269.3613061355</v>
      </c>
      <c r="F21" s="95">
        <f t="shared" si="1"/>
        <v>10269.3613061355</v>
      </c>
      <c r="G21" s="207"/>
    </row>
    <row r="22" s="204" customFormat="1" ht="21" customHeight="1" spans="1:7">
      <c r="A22" s="95">
        <v>2.1</v>
      </c>
      <c r="B22" s="211" t="str">
        <f>'一层大堂及地下入口-安装'!B161</f>
        <v>50#一层大堂及地下室安装</v>
      </c>
      <c r="C22" s="95" t="s">
        <v>32</v>
      </c>
      <c r="D22" s="212">
        <v>2</v>
      </c>
      <c r="E22" s="95">
        <f>'一层大堂及地下入口-安装'!N177</f>
        <v>10583.1607264769</v>
      </c>
      <c r="F22" s="95">
        <f t="shared" si="1"/>
        <v>21166.3214529538</v>
      </c>
      <c r="G22" s="207"/>
    </row>
    <row r="23" s="204" customFormat="1" ht="24" customHeight="1" spans="1:7">
      <c r="A23" s="214" t="s">
        <v>35</v>
      </c>
      <c r="B23" s="215" t="s">
        <v>36</v>
      </c>
      <c r="C23" s="214"/>
      <c r="D23" s="216"/>
      <c r="E23" s="217"/>
      <c r="F23" s="214">
        <f>SUM(F24:F31)</f>
        <v>943871.121140742</v>
      </c>
      <c r="G23" s="218"/>
    </row>
    <row r="24" s="204" customFormat="1" ht="21" customHeight="1" spans="1:7">
      <c r="A24" s="95">
        <v>3.1</v>
      </c>
      <c r="B24" s="211" t="str">
        <f>单元门头装饰!B5</f>
        <v>28#楼门头部分</v>
      </c>
      <c r="C24" s="95" t="s">
        <v>32</v>
      </c>
      <c r="D24" s="212">
        <v>2</v>
      </c>
      <c r="E24" s="181">
        <f>单元门头装饰!L12</f>
        <v>55324.638620527</v>
      </c>
      <c r="F24" s="95">
        <f>E24*D24</f>
        <v>110649.277241054</v>
      </c>
      <c r="G24" s="213"/>
    </row>
    <row r="25" s="204" customFormat="1" ht="15.95" customHeight="1" spans="1:7">
      <c r="A25" s="95">
        <v>3.2</v>
      </c>
      <c r="B25" s="211" t="str">
        <f>单元门头装饰!B13</f>
        <v>29#楼门头部分</v>
      </c>
      <c r="C25" s="95" t="s">
        <v>32</v>
      </c>
      <c r="D25" s="212">
        <v>2</v>
      </c>
      <c r="E25" s="181">
        <f>单元门头装饰!L20</f>
        <v>52529.6195667059</v>
      </c>
      <c r="F25" s="95">
        <f t="shared" ref="F25:F32" si="2">E25*D25</f>
        <v>105059.239133412</v>
      </c>
      <c r="G25" s="213"/>
    </row>
    <row r="26" s="204" customFormat="1" ht="15.95" customHeight="1" spans="1:7">
      <c r="A26" s="95">
        <v>3.3</v>
      </c>
      <c r="B26" s="211" t="str">
        <f>单元门头装饰!B21</f>
        <v>30#楼门头部分</v>
      </c>
      <c r="C26" s="95" t="s">
        <v>32</v>
      </c>
      <c r="D26" s="212">
        <v>2</v>
      </c>
      <c r="E26" s="181">
        <f>单元门头装饰!L28</f>
        <v>52746.7911576458</v>
      </c>
      <c r="F26" s="95">
        <f t="shared" si="2"/>
        <v>105493.582315292</v>
      </c>
      <c r="G26" s="213"/>
    </row>
    <row r="27" s="204" customFormat="1" ht="15.95" customHeight="1" spans="1:7">
      <c r="A27" s="95">
        <v>3.4</v>
      </c>
      <c r="B27" s="211" t="str">
        <f>单元门头装饰!B29</f>
        <v>31#楼门头部分</v>
      </c>
      <c r="C27" s="95" t="s">
        <v>32</v>
      </c>
      <c r="D27" s="212">
        <v>2</v>
      </c>
      <c r="E27" s="181">
        <f>单元门头装饰!L36</f>
        <v>48991.5464807072</v>
      </c>
      <c r="F27" s="95">
        <f t="shared" si="2"/>
        <v>97983.0929614144</v>
      </c>
      <c r="G27" s="213"/>
    </row>
    <row r="28" s="204" customFormat="1" ht="27" customHeight="1" spans="1:7">
      <c r="A28" s="95">
        <v>3.5</v>
      </c>
      <c r="B28" s="219" t="str">
        <f>单元门头装饰!B37</f>
        <v>36#楼东单元、38#楼东单元门头部分</v>
      </c>
      <c r="C28" s="95" t="s">
        <v>32</v>
      </c>
      <c r="D28" s="212">
        <v>2</v>
      </c>
      <c r="E28" s="181">
        <f>单元门头装饰!L44</f>
        <v>58374.9327313279</v>
      </c>
      <c r="F28" s="95">
        <f t="shared" si="2"/>
        <v>116749.865462656</v>
      </c>
      <c r="G28" s="213"/>
    </row>
    <row r="29" s="204" customFormat="1" ht="30.95" customHeight="1" spans="1:7">
      <c r="A29" s="95">
        <v>3.6</v>
      </c>
      <c r="B29" s="211" t="str">
        <f>单元门头装饰!B45</f>
        <v>36#楼西单元、38#楼西单元、37#楼两单元门头部分</v>
      </c>
      <c r="C29" s="95" t="s">
        <v>32</v>
      </c>
      <c r="D29" s="212">
        <v>4</v>
      </c>
      <c r="E29" s="181">
        <f>单元门头装饰!L52</f>
        <v>49082.7690896016</v>
      </c>
      <c r="F29" s="95">
        <f t="shared" si="2"/>
        <v>196331.076358406</v>
      </c>
      <c r="G29" s="213"/>
    </row>
    <row r="30" s="204" customFormat="1" ht="15.95" customHeight="1" spans="1:7">
      <c r="A30" s="95">
        <v>3.7</v>
      </c>
      <c r="B30" s="211" t="str">
        <f>单元门头装饰!B53</f>
        <v>39#楼两单元门头部分</v>
      </c>
      <c r="C30" s="95" t="s">
        <v>32</v>
      </c>
      <c r="D30" s="212">
        <v>2</v>
      </c>
      <c r="E30" s="181">
        <f>单元门头装饰!L60</f>
        <v>52661.078586387</v>
      </c>
      <c r="F30" s="95">
        <f t="shared" si="2"/>
        <v>105322.157172774</v>
      </c>
      <c r="G30" s="213"/>
    </row>
    <row r="31" s="204" customFormat="1" ht="15.95" customHeight="1" spans="1:7">
      <c r="A31" s="95">
        <v>3.8</v>
      </c>
      <c r="B31" s="211" t="str">
        <f>单元门头装饰!B61</f>
        <v>50#楼两单元门头部分</v>
      </c>
      <c r="C31" s="95" t="s">
        <v>32</v>
      </c>
      <c r="D31" s="212">
        <v>2</v>
      </c>
      <c r="E31" s="181">
        <f>单元门头装饰!L68</f>
        <v>53141.4152478668</v>
      </c>
      <c r="F31" s="95">
        <f t="shared" si="2"/>
        <v>106282.830495734</v>
      </c>
      <c r="G31" s="213"/>
    </row>
    <row r="32" s="204" customFormat="1" ht="24" customHeight="1" spans="1:7">
      <c r="A32" s="214" t="s">
        <v>37</v>
      </c>
      <c r="B32" s="215" t="s">
        <v>38</v>
      </c>
      <c r="C32" s="214" t="s">
        <v>39</v>
      </c>
      <c r="D32" s="216">
        <v>1</v>
      </c>
      <c r="E32" s="214">
        <f>公共区域装修!L18</f>
        <v>4591581.20887123</v>
      </c>
      <c r="F32" s="214">
        <f t="shared" si="2"/>
        <v>4591581.20887123</v>
      </c>
      <c r="G32" s="218"/>
    </row>
    <row r="33" s="204" customFormat="1" ht="22" customHeight="1" spans="1:7">
      <c r="A33" s="214" t="s">
        <v>40</v>
      </c>
      <c r="B33" s="215" t="s">
        <v>41</v>
      </c>
      <c r="C33" s="214"/>
      <c r="D33" s="216"/>
      <c r="E33" s="214"/>
      <c r="F33" s="214">
        <f>SUM(F34:F49)</f>
        <v>228596.146400816</v>
      </c>
      <c r="G33" s="218"/>
    </row>
    <row r="34" s="204" customFormat="1" ht="14.25" spans="1:7">
      <c r="A34" s="95">
        <v>5.1</v>
      </c>
      <c r="B34" s="211" t="str">
        <f>'下客区部门（硬质铺装）'!B5</f>
        <v>28#楼下客区精装</v>
      </c>
      <c r="C34" s="95" t="s">
        <v>32</v>
      </c>
      <c r="D34" s="212">
        <v>2</v>
      </c>
      <c r="E34" s="95">
        <f>'下客区部门（硬质铺装）'!L5</f>
        <v>13895.1627727429</v>
      </c>
      <c r="F34" s="95">
        <f>E34*D34</f>
        <v>27790.3255454858</v>
      </c>
      <c r="G34" s="213"/>
    </row>
    <row r="35" s="204" customFormat="1" ht="14.25" spans="1:7">
      <c r="A35" s="95">
        <v>5.2</v>
      </c>
      <c r="B35" s="211" t="str">
        <f>'下客区部门（硬质铺装）'!B13</f>
        <v>29#楼西单元下客区精装</v>
      </c>
      <c r="C35" s="95" t="s">
        <v>32</v>
      </c>
      <c r="D35" s="212">
        <v>1</v>
      </c>
      <c r="E35" s="95">
        <f>'下客区部门（硬质铺装）'!L13</f>
        <v>12653.3059782819</v>
      </c>
      <c r="F35" s="95">
        <f t="shared" ref="F35:F49" si="3">E35*D35</f>
        <v>12653.3059782819</v>
      </c>
      <c r="G35" s="213"/>
    </row>
    <row r="36" s="204" customFormat="1" ht="14.25" spans="1:7">
      <c r="A36" s="95">
        <v>5.3</v>
      </c>
      <c r="B36" s="211" t="str">
        <f>'下客区部门（硬质铺装）'!B21</f>
        <v>29#楼东单元下客区精装</v>
      </c>
      <c r="C36" s="95" t="s">
        <v>32</v>
      </c>
      <c r="D36" s="212">
        <v>1</v>
      </c>
      <c r="E36" s="95">
        <f>'下客区部门（硬质铺装）'!L21</f>
        <v>17249.5092649802</v>
      </c>
      <c r="F36" s="95">
        <f t="shared" si="3"/>
        <v>17249.5092649802</v>
      </c>
      <c r="G36" s="213"/>
    </row>
    <row r="37" s="204" customFormat="1" ht="14.25" spans="1:7">
      <c r="A37" s="95">
        <v>5.4</v>
      </c>
      <c r="B37" s="211" t="str">
        <f>'下客区部门（硬质铺装）'!B29</f>
        <v>30#楼东单元下客区精装</v>
      </c>
      <c r="C37" s="95" t="s">
        <v>32</v>
      </c>
      <c r="D37" s="212">
        <v>1</v>
      </c>
      <c r="E37" s="95">
        <f>'下客区部门（硬质铺装）'!L29</f>
        <v>16000.4176834876</v>
      </c>
      <c r="F37" s="95">
        <f t="shared" si="3"/>
        <v>16000.4176834876</v>
      </c>
      <c r="G37" s="213"/>
    </row>
    <row r="38" s="204" customFormat="1" ht="14.25" spans="1:7">
      <c r="A38" s="95">
        <v>5.5</v>
      </c>
      <c r="B38" s="211" t="str">
        <f>'下客区部门（硬质铺装）'!B37</f>
        <v>30#楼西单元下客区精装</v>
      </c>
      <c r="C38" s="95" t="s">
        <v>32</v>
      </c>
      <c r="D38" s="212">
        <v>1</v>
      </c>
      <c r="E38" s="95">
        <f>'下客区部门（硬质铺装）'!L37</f>
        <v>14661.640681997</v>
      </c>
      <c r="F38" s="95">
        <f t="shared" si="3"/>
        <v>14661.640681997</v>
      </c>
      <c r="G38" s="213"/>
    </row>
    <row r="39" s="204" customFormat="1" ht="14.25" spans="1:7">
      <c r="A39" s="95">
        <v>5.6</v>
      </c>
      <c r="B39" s="211" t="str">
        <f>'下客区部门（硬质铺装）'!B45</f>
        <v>31#楼下客区精装</v>
      </c>
      <c r="C39" s="95" t="s">
        <v>32</v>
      </c>
      <c r="D39" s="212">
        <v>2</v>
      </c>
      <c r="E39" s="95">
        <f>'下客区部门（硬质铺装）'!L45</f>
        <v>9293.02020729255</v>
      </c>
      <c r="F39" s="95">
        <f t="shared" si="3"/>
        <v>18586.0404145851</v>
      </c>
      <c r="G39" s="213"/>
    </row>
    <row r="40" s="204" customFormat="1" ht="14.25" spans="1:7">
      <c r="A40" s="95">
        <v>5.7</v>
      </c>
      <c r="B40" s="211" t="str">
        <f>'下客区部门（硬质铺装）'!B53</f>
        <v>36#楼西单元下客区精装</v>
      </c>
      <c r="C40" s="95" t="s">
        <v>32</v>
      </c>
      <c r="D40" s="212">
        <v>1</v>
      </c>
      <c r="E40" s="95">
        <f>'下客区部门（硬质铺装）'!L53</f>
        <v>9155.5249888891</v>
      </c>
      <c r="F40" s="95">
        <f t="shared" si="3"/>
        <v>9155.5249888891</v>
      </c>
      <c r="G40" s="213"/>
    </row>
    <row r="41" s="204" customFormat="1" ht="14.25" spans="1:7">
      <c r="A41" s="95">
        <v>5.8</v>
      </c>
      <c r="B41" s="211" t="str">
        <f>'下客区部门（硬质铺装）'!B61</f>
        <v>36#楼东单元下客区精装</v>
      </c>
      <c r="C41" s="95" t="s">
        <v>32</v>
      </c>
      <c r="D41" s="212">
        <v>1</v>
      </c>
      <c r="E41" s="95">
        <f>'下客区部门（硬质铺装）'!L61</f>
        <v>13898.4367284292</v>
      </c>
      <c r="F41" s="95">
        <f t="shared" si="3"/>
        <v>13898.4367284292</v>
      </c>
      <c r="G41" s="213"/>
    </row>
    <row r="42" s="204" customFormat="1" ht="14.25" spans="1:7">
      <c r="A42" s="95">
        <v>5.9</v>
      </c>
      <c r="B42" s="211" t="str">
        <f>'下客区部门（硬质铺装）'!B69</f>
        <v>37#楼西单元下客区精装</v>
      </c>
      <c r="C42" s="95" t="s">
        <v>32</v>
      </c>
      <c r="D42" s="212">
        <v>1</v>
      </c>
      <c r="E42" s="95">
        <f>'下客区部门（硬质铺装）'!L69</f>
        <v>11574.2917248061</v>
      </c>
      <c r="F42" s="95">
        <f t="shared" si="3"/>
        <v>11574.2917248061</v>
      </c>
      <c r="G42" s="213"/>
    </row>
    <row r="43" s="204" customFormat="1" ht="14.25" spans="1:7">
      <c r="A43" s="95">
        <v>5.1</v>
      </c>
      <c r="B43" s="211" t="str">
        <f>'下客区部门（硬质铺装）'!B77</f>
        <v>37#楼东单元下客区精装</v>
      </c>
      <c r="C43" s="95" t="s">
        <v>32</v>
      </c>
      <c r="D43" s="212">
        <v>1</v>
      </c>
      <c r="E43" s="95">
        <f>'下客区部门（硬质铺装）'!L77</f>
        <v>8831.95020788115</v>
      </c>
      <c r="F43" s="95">
        <f t="shared" si="3"/>
        <v>8831.95020788115</v>
      </c>
      <c r="G43" s="213"/>
    </row>
    <row r="44" s="204" customFormat="1" ht="14.25" spans="1:7">
      <c r="A44" s="95">
        <v>5.11</v>
      </c>
      <c r="B44" s="211" t="str">
        <f>'下客区部门（硬质铺装）'!B85</f>
        <v>38#楼西单元下客区精装</v>
      </c>
      <c r="C44" s="95" t="s">
        <v>32</v>
      </c>
      <c r="D44" s="212">
        <v>1</v>
      </c>
      <c r="E44" s="95">
        <f>'下客区部门（硬质铺装）'!L85</f>
        <v>17610.8814948458</v>
      </c>
      <c r="F44" s="95">
        <f t="shared" si="3"/>
        <v>17610.8814948458</v>
      </c>
      <c r="G44" s="213"/>
    </row>
    <row r="45" s="204" customFormat="1" ht="14.25" spans="1:7">
      <c r="A45" s="95">
        <v>5.12</v>
      </c>
      <c r="B45" s="211" t="str">
        <f>'下客区部门（硬质铺装）'!B93</f>
        <v>38#楼东单元下客区精装</v>
      </c>
      <c r="C45" s="95" t="s">
        <v>32</v>
      </c>
      <c r="D45" s="212">
        <v>1</v>
      </c>
      <c r="E45" s="95">
        <f>'下客区部门（硬质铺装）'!L93</f>
        <v>13898.4367284292</v>
      </c>
      <c r="F45" s="95">
        <f t="shared" si="3"/>
        <v>13898.4367284292</v>
      </c>
      <c r="G45" s="213"/>
    </row>
    <row r="46" s="204" customFormat="1" ht="14.25" spans="1:7">
      <c r="A46" s="95">
        <v>5.13</v>
      </c>
      <c r="B46" s="211" t="str">
        <f>'下客区部门（硬质铺装）'!B101</f>
        <v>39#楼西单元下客区精装</v>
      </c>
      <c r="C46" s="95" t="s">
        <v>32</v>
      </c>
      <c r="D46" s="212">
        <v>1</v>
      </c>
      <c r="E46" s="95">
        <f>'下客区部门（硬质铺装）'!L101</f>
        <v>13230.9176463615</v>
      </c>
      <c r="F46" s="95">
        <f t="shared" si="3"/>
        <v>13230.9176463615</v>
      </c>
      <c r="G46" s="213"/>
    </row>
    <row r="47" s="204" customFormat="1" ht="14.25" spans="1:7">
      <c r="A47" s="95">
        <v>5.14</v>
      </c>
      <c r="B47" s="211" t="str">
        <f>'下客区部门（硬质铺装）'!B109</f>
        <v>39#楼东单元下客区精装</v>
      </c>
      <c r="C47" s="95" t="s">
        <v>32</v>
      </c>
      <c r="D47" s="212">
        <v>1</v>
      </c>
      <c r="E47" s="95">
        <f>'下客区部门（硬质铺装）'!L109</f>
        <v>12155.7271520648</v>
      </c>
      <c r="F47" s="95">
        <f t="shared" si="3"/>
        <v>12155.7271520648</v>
      </c>
      <c r="G47" s="213"/>
    </row>
    <row r="48" s="204" customFormat="1" ht="14.25" spans="1:7">
      <c r="A48" s="95">
        <v>5.15</v>
      </c>
      <c r="B48" s="211" t="str">
        <f>'下客区部门（硬质铺装）'!B117</f>
        <v>50#楼西单元下客区精装</v>
      </c>
      <c r="C48" s="95" t="s">
        <v>32</v>
      </c>
      <c r="D48" s="212">
        <v>1</v>
      </c>
      <c r="E48" s="95">
        <f>'下客区部门（硬质铺装）'!L117</f>
        <v>12036.3096955444</v>
      </c>
      <c r="F48" s="95">
        <f t="shared" si="3"/>
        <v>12036.3096955444</v>
      </c>
      <c r="G48" s="213"/>
    </row>
    <row r="49" s="204" customFormat="1" ht="14.25" spans="1:7">
      <c r="A49" s="95">
        <v>5.16</v>
      </c>
      <c r="B49" s="211" t="str">
        <f>'下客区部门（硬质铺装）'!B125</f>
        <v>50#楼东单元下客区精装</v>
      </c>
      <c r="C49" s="95" t="s">
        <v>32</v>
      </c>
      <c r="D49" s="212">
        <v>1</v>
      </c>
      <c r="E49" s="95">
        <f>'下客区部门（硬质铺装）'!L125</f>
        <v>9262.43046474672</v>
      </c>
      <c r="F49" s="95">
        <f t="shared" si="3"/>
        <v>9262.43046474672</v>
      </c>
      <c r="G49" s="213"/>
    </row>
    <row r="50" s="204" customFormat="1" ht="24" customHeight="1" spans="1:7">
      <c r="A50" s="214" t="s">
        <v>42</v>
      </c>
      <c r="B50" s="215" t="s">
        <v>43</v>
      </c>
      <c r="C50" s="214"/>
      <c r="D50" s="216"/>
      <c r="E50" s="214"/>
      <c r="F50" s="214">
        <f>SUM(F51:F64)</f>
        <v>64438.5945559992</v>
      </c>
      <c r="G50" s="218"/>
    </row>
    <row r="51" s="204" customFormat="1" ht="18" customHeight="1" spans="1:7">
      <c r="A51" s="95">
        <v>6.1</v>
      </c>
      <c r="B51" s="211" t="str">
        <f>'下客区（安装）'!B5</f>
        <v>28#落客区安装</v>
      </c>
      <c r="C51" s="95" t="s">
        <v>32</v>
      </c>
      <c r="D51" s="212">
        <v>2</v>
      </c>
      <c r="E51" s="95">
        <f>'下客区（安装）'!N12</f>
        <v>3963.183818893</v>
      </c>
      <c r="F51" s="95">
        <f>E51*D51</f>
        <v>7926.367637786</v>
      </c>
      <c r="G51" s="213"/>
    </row>
    <row r="52" s="204" customFormat="1" ht="18" customHeight="1" spans="1:7">
      <c r="A52" s="95">
        <v>6.2</v>
      </c>
      <c r="B52" s="211" t="str">
        <f>'下客区（安装）'!B13</f>
        <v>29##落客区安装</v>
      </c>
      <c r="C52" s="95" t="s">
        <v>32</v>
      </c>
      <c r="D52" s="212">
        <v>2</v>
      </c>
      <c r="E52" s="95">
        <f>'下客区（安装）'!N20</f>
        <v>4324.2162117632</v>
      </c>
      <c r="F52" s="95">
        <f t="shared" ref="F52:F64" si="4">E52*D52</f>
        <v>8648.4324235264</v>
      </c>
      <c r="G52" s="213"/>
    </row>
    <row r="53" s="204" customFormat="1" ht="18" customHeight="1" spans="1:7">
      <c r="A53" s="95">
        <v>6.3</v>
      </c>
      <c r="B53" s="211" t="str">
        <f>'下客区（安装）'!B21</f>
        <v>30##落客区安装</v>
      </c>
      <c r="C53" s="95" t="s">
        <v>32</v>
      </c>
      <c r="D53" s="212">
        <v>2</v>
      </c>
      <c r="E53" s="95">
        <f>'下客区（安装）'!N28</f>
        <v>4029.8741958166</v>
      </c>
      <c r="F53" s="95">
        <f t="shared" si="4"/>
        <v>8059.7483916332</v>
      </c>
      <c r="G53" s="213"/>
    </row>
    <row r="54" s="204" customFormat="1" ht="18" customHeight="1" spans="1:7">
      <c r="A54" s="95">
        <v>6.4</v>
      </c>
      <c r="B54" s="211" t="str">
        <f>'下客区（安装）'!B29</f>
        <v>31##落客区安装</v>
      </c>
      <c r="C54" s="95" t="s">
        <v>32</v>
      </c>
      <c r="D54" s="212">
        <v>2</v>
      </c>
      <c r="E54" s="95">
        <f>'下客区（安装）'!N36</f>
        <v>4062.4660504638</v>
      </c>
      <c r="F54" s="95">
        <f t="shared" si="4"/>
        <v>8124.9321009276</v>
      </c>
      <c r="G54" s="213"/>
    </row>
    <row r="55" s="204" customFormat="1" ht="18" customHeight="1" spans="1:7">
      <c r="A55" s="95">
        <v>6.5</v>
      </c>
      <c r="B55" s="211" t="str">
        <f>'下客区（安装）'!B37</f>
        <v>36#东单元落客区安装</v>
      </c>
      <c r="C55" s="95" t="s">
        <v>32</v>
      </c>
      <c r="D55" s="212">
        <v>1</v>
      </c>
      <c r="E55" s="95">
        <f>'下客区（安装）'!N44</f>
        <v>2915.2009405348</v>
      </c>
      <c r="F55" s="95">
        <f t="shared" si="4"/>
        <v>2915.2009405348</v>
      </c>
      <c r="G55" s="213"/>
    </row>
    <row r="56" s="204" customFormat="1" ht="18" customHeight="1" spans="1:7">
      <c r="A56" s="95">
        <v>6.6</v>
      </c>
      <c r="B56" s="211" t="str">
        <f>'下客区（安装）'!B45</f>
        <v>36#西单元落客区安装</v>
      </c>
      <c r="C56" s="95" t="s">
        <v>32</v>
      </c>
      <c r="D56" s="212">
        <v>1</v>
      </c>
      <c r="E56" s="95">
        <f>'下客区（安装）'!N52</f>
        <v>3301.3078250988</v>
      </c>
      <c r="F56" s="95">
        <f t="shared" si="4"/>
        <v>3301.3078250988</v>
      </c>
      <c r="G56" s="213"/>
    </row>
    <row r="57" s="204" customFormat="1" ht="18" customHeight="1" spans="1:7">
      <c r="A57" s="95">
        <v>6.7</v>
      </c>
      <c r="B57" s="211" t="str">
        <f>'下客区（安装）'!B53</f>
        <v>37#西单元落客区安装</v>
      </c>
      <c r="C57" s="95" t="s">
        <v>32</v>
      </c>
      <c r="D57" s="212">
        <v>1</v>
      </c>
      <c r="E57" s="95">
        <f>'下客区（安装）'!N60</f>
        <v>3112.9963512988</v>
      </c>
      <c r="F57" s="95">
        <f t="shared" si="4"/>
        <v>3112.9963512988</v>
      </c>
      <c r="G57" s="213"/>
    </row>
    <row r="58" s="204" customFormat="1" ht="18" customHeight="1" spans="1:7">
      <c r="A58" s="95">
        <v>6.8</v>
      </c>
      <c r="B58" s="211" t="str">
        <f>'下客区（安装）'!B61</f>
        <v>37#东单元落客区安装</v>
      </c>
      <c r="C58" s="95" t="s">
        <v>32</v>
      </c>
      <c r="D58" s="212">
        <v>1</v>
      </c>
      <c r="E58" s="95">
        <f>'下客区（安装）'!N68</f>
        <v>2861.4418392588</v>
      </c>
      <c r="F58" s="95">
        <f t="shared" si="4"/>
        <v>2861.4418392588</v>
      </c>
      <c r="G58" s="213"/>
    </row>
    <row r="59" s="204" customFormat="1" ht="18" customHeight="1" spans="1:7">
      <c r="A59" s="95">
        <v>6.9</v>
      </c>
      <c r="B59" s="211" t="str">
        <f>'下客区（安装）'!B69</f>
        <v>38#西单元落客区安装</v>
      </c>
      <c r="C59" s="95" t="s">
        <v>32</v>
      </c>
      <c r="D59" s="212">
        <v>1</v>
      </c>
      <c r="E59" s="95">
        <f>'下客区（安装）'!N76</f>
        <v>3576.2696892888</v>
      </c>
      <c r="F59" s="95">
        <f t="shared" si="4"/>
        <v>3576.2696892888</v>
      </c>
      <c r="G59" s="213"/>
    </row>
    <row r="60" s="204" customFormat="1" ht="18" customHeight="1" spans="1:7">
      <c r="A60" s="95">
        <v>6.1</v>
      </c>
      <c r="B60" s="211" t="str">
        <f>'下客区（安装）'!B77</f>
        <v>38#东单元落客区安装</v>
      </c>
      <c r="C60" s="95" t="s">
        <v>32</v>
      </c>
      <c r="D60" s="212">
        <v>1</v>
      </c>
      <c r="E60" s="95">
        <f>'下客区（安装）'!N84</f>
        <v>2939.4790986988</v>
      </c>
      <c r="F60" s="95">
        <f t="shared" si="4"/>
        <v>2939.4790986988</v>
      </c>
      <c r="G60" s="213"/>
    </row>
    <row r="61" s="204" customFormat="1" ht="18" customHeight="1" spans="1:7">
      <c r="A61" s="95">
        <v>6.11</v>
      </c>
      <c r="B61" s="211" t="str">
        <f>'下客区（安装）'!B85</f>
        <v>39#西单元落客区安装</v>
      </c>
      <c r="C61" s="95" t="s">
        <v>32</v>
      </c>
      <c r="D61" s="212">
        <v>1</v>
      </c>
      <c r="E61" s="95">
        <f>'下客区（安装）'!N92</f>
        <v>3471.2238277888</v>
      </c>
      <c r="F61" s="95">
        <f t="shared" si="4"/>
        <v>3471.2238277888</v>
      </c>
      <c r="G61" s="213"/>
    </row>
    <row r="62" s="204" customFormat="1" ht="18" customHeight="1" spans="1:7">
      <c r="A62" s="95">
        <v>6.12</v>
      </c>
      <c r="B62" s="211" t="str">
        <f>'下客区（安装）'!B93</f>
        <v>39#东单元落客区安装</v>
      </c>
      <c r="C62" s="95" t="s">
        <v>32</v>
      </c>
      <c r="D62" s="212">
        <v>1</v>
      </c>
      <c r="E62" s="95">
        <f>'下客区（安装）'!N100</f>
        <v>3232.3101056988</v>
      </c>
      <c r="F62" s="95">
        <f t="shared" si="4"/>
        <v>3232.3101056988</v>
      </c>
      <c r="G62" s="213"/>
    </row>
    <row r="63" s="204" customFormat="1" ht="18" customHeight="1" spans="1:7">
      <c r="A63" s="95">
        <v>6.13</v>
      </c>
      <c r="B63" s="211" t="str">
        <f>'下客区（安装）'!B101</f>
        <v>50#西单元落客区安装</v>
      </c>
      <c r="C63" s="95" t="s">
        <v>32</v>
      </c>
      <c r="D63" s="212">
        <v>1</v>
      </c>
      <c r="E63" s="95">
        <f>'下客区（安装）'!N108</f>
        <v>3445.6304429248</v>
      </c>
      <c r="F63" s="95">
        <f t="shared" si="4"/>
        <v>3445.6304429248</v>
      </c>
      <c r="G63" s="213"/>
    </row>
    <row r="64" s="204" customFormat="1" ht="18" customHeight="1" spans="1:7">
      <c r="A64" s="95">
        <v>6.14</v>
      </c>
      <c r="B64" s="211" t="str">
        <f>'下客区（安装）'!B109</f>
        <v>50#东单元落客区安装</v>
      </c>
      <c r="C64" s="95" t="s">
        <v>32</v>
      </c>
      <c r="D64" s="212">
        <v>1</v>
      </c>
      <c r="E64" s="95">
        <f>'下客区（安装）'!N116</f>
        <v>2823.2538815348</v>
      </c>
      <c r="F64" s="95">
        <f t="shared" si="4"/>
        <v>2823.2538815348</v>
      </c>
      <c r="G64" s="213"/>
    </row>
    <row r="65" s="204" customFormat="1" ht="32.1" customHeight="1" spans="1:7">
      <c r="A65" s="220" t="s">
        <v>44</v>
      </c>
      <c r="B65" s="220"/>
      <c r="C65" s="220"/>
      <c r="D65" s="221"/>
      <c r="E65" s="220"/>
      <c r="F65" s="220">
        <f>F3+F12+F23+F32+F50+F33-0.39</f>
        <v>6880000.00059751</v>
      </c>
      <c r="G65" s="222"/>
    </row>
  </sheetData>
  <mergeCells count="2">
    <mergeCell ref="A1:G1"/>
    <mergeCell ref="A65:B6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2"/>
  <sheetViews>
    <sheetView workbookViewId="0">
      <selection activeCell="H62" sqref="H62"/>
    </sheetView>
  </sheetViews>
  <sheetFormatPr defaultColWidth="9" defaultRowHeight="13.5"/>
  <cols>
    <col min="1" max="1" width="7.13333333333333" style="190" customWidth="1"/>
    <col min="2" max="2" width="26" style="191" customWidth="1"/>
    <col min="3" max="3" width="38.1333333333333" style="191" customWidth="1"/>
    <col min="4" max="4" width="6.38333333333333" style="190" customWidth="1"/>
    <col min="5" max="5" width="9" style="192"/>
    <col min="6" max="6" width="9.375" style="190" customWidth="1"/>
    <col min="7" max="7" width="10.625" style="190" customWidth="1"/>
    <col min="8" max="8" width="10.75" style="190" customWidth="1"/>
    <col min="9" max="9" width="11" style="190" customWidth="1"/>
    <col min="10" max="10" width="11.875" style="190" customWidth="1"/>
    <col min="11" max="11" width="9" style="190" customWidth="1"/>
    <col min="12" max="12" width="12.1333333333333" style="190" customWidth="1"/>
    <col min="13" max="13" width="12.375" style="190" customWidth="1"/>
    <col min="14" max="14" width="21.5" style="191" customWidth="1"/>
    <col min="15" max="15" width="13" style="190" customWidth="1"/>
    <col min="16" max="19" width="12.6333333333333" style="191"/>
    <col min="20" max="16384" width="9" style="191"/>
  </cols>
  <sheetData>
    <row r="1" ht="35.1" customHeight="1" spans="1:13">
      <c r="A1" s="193" t="s">
        <v>45</v>
      </c>
      <c r="B1" s="194"/>
      <c r="C1" s="193"/>
      <c r="D1" s="193"/>
      <c r="E1" s="170"/>
      <c r="F1" s="193"/>
      <c r="G1" s="193"/>
      <c r="H1" s="193"/>
      <c r="I1" s="193"/>
      <c r="J1" s="193"/>
      <c r="K1" s="193"/>
      <c r="L1" s="193"/>
      <c r="M1" s="193"/>
    </row>
    <row r="2" s="188" customFormat="1" ht="33.95" customHeight="1" spans="1:13">
      <c r="A2" s="156" t="s">
        <v>46</v>
      </c>
      <c r="B2" s="156" t="s">
        <v>47</v>
      </c>
      <c r="C2" s="156" t="s">
        <v>48</v>
      </c>
      <c r="D2" s="156" t="s">
        <v>25</v>
      </c>
      <c r="E2" s="103" t="s">
        <v>49</v>
      </c>
      <c r="F2" s="155" t="s">
        <v>50</v>
      </c>
      <c r="G2" s="155"/>
      <c r="H2" s="155"/>
      <c r="I2" s="155"/>
      <c r="J2" s="155"/>
      <c r="K2" s="155" t="s">
        <v>51</v>
      </c>
      <c r="L2" s="155" t="s">
        <v>52</v>
      </c>
      <c r="M2" s="155" t="s">
        <v>29</v>
      </c>
    </row>
    <row r="3" s="188" customFormat="1" ht="33.95" customHeight="1" spans="1:13">
      <c r="A3" s="156"/>
      <c r="B3" s="156"/>
      <c r="C3" s="156"/>
      <c r="D3" s="156"/>
      <c r="E3" s="103"/>
      <c r="F3" s="155" t="s">
        <v>53</v>
      </c>
      <c r="G3" s="155" t="s">
        <v>54</v>
      </c>
      <c r="H3" s="155" t="s">
        <v>55</v>
      </c>
      <c r="I3" s="155" t="s">
        <v>56</v>
      </c>
      <c r="J3" s="155" t="s">
        <v>57</v>
      </c>
      <c r="K3" s="155"/>
      <c r="L3" s="155"/>
      <c r="M3" s="155"/>
    </row>
    <row r="4" s="188" customFormat="1" ht="21.95" customHeight="1" spans="1:13">
      <c r="A4" s="156"/>
      <c r="B4" s="156"/>
      <c r="C4" s="156"/>
      <c r="D4" s="156"/>
      <c r="E4" s="103"/>
      <c r="F4" s="155"/>
      <c r="G4" s="155"/>
      <c r="H4" s="155"/>
      <c r="I4" s="155"/>
      <c r="J4" s="155"/>
      <c r="K4" s="155"/>
      <c r="L4" s="155"/>
      <c r="M4" s="155"/>
    </row>
    <row r="5" s="188" customFormat="1" ht="30" customHeight="1" spans="1:13">
      <c r="A5" s="156" t="s">
        <v>30</v>
      </c>
      <c r="B5" s="156" t="s">
        <v>58</v>
      </c>
      <c r="C5" s="156" t="s">
        <v>59</v>
      </c>
      <c r="D5" s="156"/>
      <c r="E5" s="103"/>
      <c r="F5" s="155"/>
      <c r="G5" s="155"/>
      <c r="H5" s="155"/>
      <c r="I5" s="155"/>
      <c r="J5" s="155"/>
      <c r="K5" s="155"/>
      <c r="L5" s="155"/>
      <c r="M5" s="155" t="s">
        <v>60</v>
      </c>
    </row>
    <row r="6" s="189" customFormat="1" ht="29.1" customHeight="1" outlineLevel="1" spans="1:19">
      <c r="A6" s="156">
        <v>1</v>
      </c>
      <c r="B6" s="156" t="s">
        <v>61</v>
      </c>
      <c r="C6" s="156"/>
      <c r="D6" s="156"/>
      <c r="E6" s="103"/>
      <c r="F6" s="155"/>
      <c r="G6" s="155"/>
      <c r="H6" s="155"/>
      <c r="I6" s="155"/>
      <c r="J6" s="155"/>
      <c r="K6" s="155"/>
      <c r="L6" s="155"/>
      <c r="M6" s="155"/>
      <c r="O6" s="190"/>
      <c r="P6" s="191"/>
      <c r="Q6" s="191"/>
      <c r="R6" s="191"/>
      <c r="S6" s="191"/>
    </row>
    <row r="7" s="189" customFormat="1" ht="93" customHeight="1" outlineLevel="1" spans="1:19">
      <c r="A7" s="156">
        <v>1.1</v>
      </c>
      <c r="B7" s="156" t="s">
        <v>62</v>
      </c>
      <c r="C7" s="157" t="s">
        <v>63</v>
      </c>
      <c r="D7" s="156" t="s">
        <v>64</v>
      </c>
      <c r="E7" s="103">
        <v>28.18</v>
      </c>
      <c r="F7" s="134">
        <v>39.3</v>
      </c>
      <c r="G7" s="134">
        <v>70</v>
      </c>
      <c r="H7" s="134">
        <v>39.558</v>
      </c>
      <c r="I7" s="134">
        <f>(F7+G7+H7)*0.09</f>
        <v>13.39722</v>
      </c>
      <c r="J7" s="134">
        <f>(F7+G7+H7+I7)*0.09</f>
        <v>14.6029698</v>
      </c>
      <c r="K7" s="134">
        <f>F7+G7+H7+I7+J7</f>
        <v>176.8581898</v>
      </c>
      <c r="L7" s="155">
        <f t="shared" ref="L7:L21" si="0">E7*K7</f>
        <v>4983.863788564</v>
      </c>
      <c r="M7" s="155" t="s">
        <v>65</v>
      </c>
      <c r="O7" s="190"/>
      <c r="P7" s="191"/>
      <c r="Q7" s="191"/>
      <c r="R7" s="191"/>
      <c r="S7" s="191"/>
    </row>
    <row r="8" s="189" customFormat="1" ht="26.1" customHeight="1" outlineLevel="1" spans="1:19">
      <c r="A8" s="156">
        <v>2</v>
      </c>
      <c r="B8" s="156" t="s">
        <v>66</v>
      </c>
      <c r="C8" s="156"/>
      <c r="D8" s="156"/>
      <c r="E8" s="103"/>
      <c r="F8" s="155"/>
      <c r="G8" s="155"/>
      <c r="H8" s="155"/>
      <c r="I8" s="155"/>
      <c r="J8" s="155"/>
      <c r="K8" s="155"/>
      <c r="L8" s="155"/>
      <c r="M8" s="155"/>
      <c r="O8" s="190"/>
      <c r="P8" s="191"/>
      <c r="Q8" s="191"/>
      <c r="R8" s="191"/>
      <c r="S8" s="191"/>
    </row>
    <row r="9" ht="72.95" customHeight="1" outlineLevel="1" spans="1:13">
      <c r="A9" s="156">
        <v>2.1</v>
      </c>
      <c r="B9" s="195" t="s">
        <v>67</v>
      </c>
      <c r="C9" s="196" t="s">
        <v>68</v>
      </c>
      <c r="D9" s="156" t="s">
        <v>64</v>
      </c>
      <c r="E9" s="103">
        <f>19.22-15.36+(15.36-4.8)*0.08+16.22+7.45-6.02+5.4+15.17-2+7.45+6.8-2.18-1.8+5.6*0.08+13.35-2.92*2-2.47</f>
        <v>56.6828</v>
      </c>
      <c r="F9" s="134">
        <v>58</v>
      </c>
      <c r="G9" s="134">
        <v>61.999</v>
      </c>
      <c r="H9" s="134">
        <v>27.401</v>
      </c>
      <c r="I9" s="190">
        <f>(F9+H9+G9)*0.09</f>
        <v>13.266</v>
      </c>
      <c r="J9" s="134">
        <f t="shared" ref="J9:J15" si="1">(F9+G9+H9+I9)*0.09</f>
        <v>14.45994</v>
      </c>
      <c r="K9" s="134">
        <f>SUBTOTAL(9,F9:J9)</f>
        <v>175.12594</v>
      </c>
      <c r="L9" s="155">
        <f t="shared" si="0"/>
        <v>9926.628631832</v>
      </c>
      <c r="M9" s="156" t="s">
        <v>69</v>
      </c>
    </row>
    <row r="10" ht="72.95" customHeight="1" outlineLevel="1" spans="1:13">
      <c r="A10" s="156">
        <v>2.2</v>
      </c>
      <c r="B10" s="195" t="s">
        <v>70</v>
      </c>
      <c r="C10" s="196" t="s">
        <v>71</v>
      </c>
      <c r="D10" s="156" t="s">
        <v>64</v>
      </c>
      <c r="E10" s="103">
        <v>4.75</v>
      </c>
      <c r="F10" s="134">
        <v>25.25</v>
      </c>
      <c r="G10" s="134">
        <v>137.312</v>
      </c>
      <c r="H10" s="156">
        <v>58.848</v>
      </c>
      <c r="I10" s="156">
        <f t="shared" ref="I10:I16" si="2">(F10+G10+H10)*0.09</f>
        <v>19.9269</v>
      </c>
      <c r="J10" s="156">
        <f t="shared" si="1"/>
        <v>21.720321</v>
      </c>
      <c r="K10" s="156">
        <f t="shared" ref="K10:K16" si="3">F10+G10+H10+I10+J10</f>
        <v>263.057221</v>
      </c>
      <c r="L10" s="155">
        <f t="shared" si="0"/>
        <v>1249.52179975</v>
      </c>
      <c r="M10" s="156"/>
    </row>
    <row r="11" ht="72.95" customHeight="1" outlineLevel="1" spans="1:13">
      <c r="A11" s="156">
        <v>2.3</v>
      </c>
      <c r="B11" s="197" t="s">
        <v>72</v>
      </c>
      <c r="C11" s="196" t="s">
        <v>73</v>
      </c>
      <c r="D11" s="156" t="s">
        <v>64</v>
      </c>
      <c r="E11" s="103">
        <v>1.14</v>
      </c>
      <c r="F11" s="134">
        <v>15.52</v>
      </c>
      <c r="G11" s="134">
        <v>6.508</v>
      </c>
      <c r="H11" s="134">
        <v>5.932</v>
      </c>
      <c r="I11" s="134">
        <f t="shared" si="2"/>
        <v>2.5164</v>
      </c>
      <c r="J11" s="134">
        <f t="shared" si="1"/>
        <v>2.742876</v>
      </c>
      <c r="K11" s="134">
        <f t="shared" si="3"/>
        <v>33.219276</v>
      </c>
      <c r="L11" s="155">
        <f t="shared" si="0"/>
        <v>37.86997464</v>
      </c>
      <c r="M11" s="156"/>
    </row>
    <row r="12" ht="72.95" customHeight="1" outlineLevel="1" spans="1:13">
      <c r="A12" s="156">
        <v>2.4</v>
      </c>
      <c r="B12" s="195" t="s">
        <v>74</v>
      </c>
      <c r="C12" s="196" t="s">
        <v>75</v>
      </c>
      <c r="D12" s="156" t="s">
        <v>64</v>
      </c>
      <c r="E12" s="103">
        <v>6.02</v>
      </c>
      <c r="F12" s="134">
        <v>52.99</v>
      </c>
      <c r="G12" s="134">
        <v>132.258</v>
      </c>
      <c r="H12" s="156">
        <v>56.682</v>
      </c>
      <c r="I12" s="156">
        <f t="shared" si="2"/>
        <v>21.7737</v>
      </c>
      <c r="J12" s="156">
        <f t="shared" si="1"/>
        <v>23.733333</v>
      </c>
      <c r="K12" s="156">
        <f t="shared" si="3"/>
        <v>287.437033</v>
      </c>
      <c r="L12" s="155">
        <f t="shared" si="0"/>
        <v>1730.37093866</v>
      </c>
      <c r="M12" s="156"/>
    </row>
    <row r="13" ht="72.95" customHeight="1" outlineLevel="1" spans="1:13">
      <c r="A13" s="156">
        <v>2.5</v>
      </c>
      <c r="B13" s="195" t="s">
        <v>76</v>
      </c>
      <c r="C13" s="198" t="s">
        <v>77</v>
      </c>
      <c r="D13" s="156" t="s">
        <v>78</v>
      </c>
      <c r="E13" s="103">
        <f>0.27+0.27+4.14+0.2+0.2+2.16+8.37-1-0.24+0.13+0.1+0.355+0.095+0.4+0.505+0.505+0.4</f>
        <v>16.86</v>
      </c>
      <c r="F13" s="134">
        <v>7.49</v>
      </c>
      <c r="G13" s="134">
        <v>11.907</v>
      </c>
      <c r="H13" s="134">
        <v>5.103</v>
      </c>
      <c r="I13" s="134">
        <f t="shared" si="2"/>
        <v>2.205</v>
      </c>
      <c r="J13" s="134">
        <f t="shared" si="1"/>
        <v>2.40345</v>
      </c>
      <c r="K13" s="134">
        <f t="shared" si="3"/>
        <v>29.10845</v>
      </c>
      <c r="L13" s="155">
        <f t="shared" si="0"/>
        <v>490.768467</v>
      </c>
      <c r="M13" s="155"/>
    </row>
    <row r="14" ht="72.95" customHeight="1" outlineLevel="1" spans="1:13">
      <c r="A14" s="156">
        <v>2.6</v>
      </c>
      <c r="B14" s="156" t="s">
        <v>79</v>
      </c>
      <c r="C14" s="157" t="s">
        <v>80</v>
      </c>
      <c r="D14" s="156" t="s">
        <v>78</v>
      </c>
      <c r="E14" s="103">
        <v>6.2</v>
      </c>
      <c r="F14" s="134">
        <v>13.61</v>
      </c>
      <c r="G14" s="134">
        <v>87.976</v>
      </c>
      <c r="H14" s="155">
        <v>37.704</v>
      </c>
      <c r="I14" s="155">
        <f t="shared" si="2"/>
        <v>12.5361</v>
      </c>
      <c r="J14" s="190">
        <f t="shared" si="1"/>
        <v>13.664349</v>
      </c>
      <c r="K14" s="155">
        <f t="shared" si="3"/>
        <v>165.490449</v>
      </c>
      <c r="L14" s="155">
        <f t="shared" si="0"/>
        <v>1026.0407838</v>
      </c>
      <c r="M14" s="155"/>
    </row>
    <row r="15" s="189" customFormat="1" ht="44.1" customHeight="1" outlineLevel="1" spans="1:19">
      <c r="A15" s="156">
        <v>2.7</v>
      </c>
      <c r="B15" s="156" t="s">
        <v>81</v>
      </c>
      <c r="C15" s="157" t="s">
        <v>82</v>
      </c>
      <c r="D15" s="156" t="s">
        <v>64</v>
      </c>
      <c r="E15" s="103">
        <f>4.8*3.2</f>
        <v>15.36</v>
      </c>
      <c r="F15" s="134">
        <v>26.89</v>
      </c>
      <c r="G15" s="134">
        <v>388.92</v>
      </c>
      <c r="H15" s="155">
        <v>166.68</v>
      </c>
      <c r="I15" s="155">
        <f t="shared" si="2"/>
        <v>52.4241</v>
      </c>
      <c r="J15" s="155">
        <f t="shared" si="1"/>
        <v>57.142269</v>
      </c>
      <c r="K15" s="155">
        <f t="shared" si="3"/>
        <v>692.056369</v>
      </c>
      <c r="L15" s="155">
        <f t="shared" si="0"/>
        <v>10629.98582784</v>
      </c>
      <c r="M15" s="155"/>
      <c r="O15" s="190"/>
      <c r="P15" s="191"/>
      <c r="Q15" s="191"/>
      <c r="R15" s="191"/>
      <c r="S15" s="191"/>
    </row>
    <row r="16" s="189" customFormat="1" ht="51" customHeight="1" outlineLevel="1" spans="1:19">
      <c r="A16" s="156">
        <v>2.8</v>
      </c>
      <c r="B16" s="156" t="s">
        <v>83</v>
      </c>
      <c r="C16" s="157" t="s">
        <v>84</v>
      </c>
      <c r="D16" s="156" t="s">
        <v>85</v>
      </c>
      <c r="E16" s="103">
        <v>1</v>
      </c>
      <c r="F16" s="134">
        <v>114.54</v>
      </c>
      <c r="G16" s="134">
        <v>479.46</v>
      </c>
      <c r="H16" s="155">
        <v>234.154</v>
      </c>
      <c r="I16" s="155">
        <f t="shared" si="2"/>
        <v>74.53386</v>
      </c>
      <c r="J16" s="155">
        <f>(F16+G16+I16+H16)*0.09</f>
        <v>81.2419074</v>
      </c>
      <c r="K16" s="155">
        <f t="shared" si="3"/>
        <v>983.9297674</v>
      </c>
      <c r="L16" s="155">
        <f t="shared" si="0"/>
        <v>983.9297674</v>
      </c>
      <c r="M16" s="155"/>
      <c r="O16" s="190"/>
      <c r="P16" s="191"/>
      <c r="Q16" s="191"/>
      <c r="R16" s="191"/>
      <c r="S16" s="191"/>
    </row>
    <row r="17" s="189" customFormat="1" ht="30" customHeight="1" outlineLevel="1" spans="1:19">
      <c r="A17" s="156">
        <v>3</v>
      </c>
      <c r="B17" s="156" t="s">
        <v>86</v>
      </c>
      <c r="C17" s="156"/>
      <c r="D17" s="156"/>
      <c r="E17" s="103"/>
      <c r="F17" s="155"/>
      <c r="G17" s="155"/>
      <c r="H17" s="155"/>
      <c r="I17" s="155"/>
      <c r="J17" s="155"/>
      <c r="K17" s="155"/>
      <c r="L17" s="155"/>
      <c r="M17" s="155"/>
      <c r="O17" s="190"/>
      <c r="P17" s="191"/>
      <c r="Q17" s="191"/>
      <c r="R17" s="191"/>
      <c r="S17" s="191"/>
    </row>
    <row r="18" s="189" customFormat="1" ht="146.1" customHeight="1" outlineLevel="1" spans="1:19">
      <c r="A18" s="156">
        <v>3.1</v>
      </c>
      <c r="B18" s="156" t="s">
        <v>87</v>
      </c>
      <c r="C18" s="157" t="s">
        <v>88</v>
      </c>
      <c r="D18" s="156" t="s">
        <v>89</v>
      </c>
      <c r="E18" s="103">
        <v>11.5</v>
      </c>
      <c r="F18" s="134">
        <v>69.95</v>
      </c>
      <c r="G18" s="134">
        <v>100.73</v>
      </c>
      <c r="H18" s="134">
        <v>20.94</v>
      </c>
      <c r="I18" s="134">
        <f>(F18+G18+H18)*0.09</f>
        <v>17.2458</v>
      </c>
      <c r="J18" s="134">
        <f>(F18+G18+H18+I18)*0.09</f>
        <v>18.797922</v>
      </c>
      <c r="K18" s="134">
        <f>F18+G18+H18+I18+J18</f>
        <v>227.663722</v>
      </c>
      <c r="L18" s="155">
        <f t="shared" si="0"/>
        <v>2618.132803</v>
      </c>
      <c r="M18" s="155"/>
      <c r="O18" s="190"/>
      <c r="P18" s="191"/>
      <c r="Q18" s="191"/>
      <c r="R18" s="191"/>
      <c r="S18" s="191"/>
    </row>
    <row r="19" s="189" customFormat="1" ht="111.95" customHeight="1" outlineLevel="1" spans="1:19">
      <c r="A19" s="156">
        <v>3.3</v>
      </c>
      <c r="B19" s="156" t="s">
        <v>90</v>
      </c>
      <c r="C19" s="157" t="s">
        <v>91</v>
      </c>
      <c r="D19" s="156" t="s">
        <v>64</v>
      </c>
      <c r="E19" s="103">
        <v>8.39</v>
      </c>
      <c r="F19" s="134">
        <v>50.95</v>
      </c>
      <c r="G19" s="134">
        <v>88.543</v>
      </c>
      <c r="H19" s="134">
        <v>25.157</v>
      </c>
      <c r="I19" s="134">
        <f>(F19+G19+H19)*0.09</f>
        <v>14.8185</v>
      </c>
      <c r="J19" s="134">
        <f>(F19+G19+H19+I19)*0.09</f>
        <v>16.152165</v>
      </c>
      <c r="K19" s="134">
        <f>F19+G19+H19+I19+J19</f>
        <v>195.620665</v>
      </c>
      <c r="L19" s="155">
        <f t="shared" si="0"/>
        <v>1641.25737935</v>
      </c>
      <c r="M19" s="155"/>
      <c r="O19" s="190"/>
      <c r="P19" s="191"/>
      <c r="Q19" s="191"/>
      <c r="R19" s="191"/>
      <c r="S19" s="191"/>
    </row>
    <row r="20" s="189" customFormat="1" ht="74.1" customHeight="1" outlineLevel="1" spans="1:19">
      <c r="A20" s="156">
        <v>3.4</v>
      </c>
      <c r="B20" s="156" t="s">
        <v>92</v>
      </c>
      <c r="C20" s="157" t="s">
        <v>93</v>
      </c>
      <c r="D20" s="156" t="s">
        <v>64</v>
      </c>
      <c r="E20" s="103">
        <v>6.1</v>
      </c>
      <c r="F20" s="134">
        <v>15.52</v>
      </c>
      <c r="G20" s="134">
        <v>6.508</v>
      </c>
      <c r="H20" s="134">
        <v>5.932</v>
      </c>
      <c r="I20" s="134">
        <f>(F20+G20+H20)*0.09</f>
        <v>2.5164</v>
      </c>
      <c r="J20" s="134">
        <f>(F20+G20+H20+I20)*0.09</f>
        <v>2.742876</v>
      </c>
      <c r="K20" s="134">
        <f>F20+G20+H20+I20+J20</f>
        <v>33.219276</v>
      </c>
      <c r="L20" s="155">
        <f t="shared" si="0"/>
        <v>202.6375836</v>
      </c>
      <c r="M20" s="155"/>
      <c r="O20" s="190"/>
      <c r="P20" s="191"/>
      <c r="Q20" s="191"/>
      <c r="R20" s="191"/>
      <c r="S20" s="191"/>
    </row>
    <row r="21" s="189" customFormat="1" ht="68.1" customHeight="1" outlineLevel="1" spans="1:19">
      <c r="A21" s="156">
        <v>3.5</v>
      </c>
      <c r="B21" s="156" t="s">
        <v>94</v>
      </c>
      <c r="C21" s="157" t="s">
        <v>95</v>
      </c>
      <c r="D21" s="156" t="s">
        <v>78</v>
      </c>
      <c r="E21" s="103">
        <v>12.84</v>
      </c>
      <c r="F21" s="134">
        <v>25.62</v>
      </c>
      <c r="G21" s="134">
        <v>42.907</v>
      </c>
      <c r="H21" s="155">
        <v>2.45</v>
      </c>
      <c r="I21" s="155">
        <f>(F21+G21+H21)*0.09</f>
        <v>6.38793</v>
      </c>
      <c r="J21" s="155">
        <f>(F21+G21+H21+I21)*0.09</f>
        <v>6.9628437</v>
      </c>
      <c r="K21" s="155">
        <f>F21+G21+H21+I21+J21</f>
        <v>84.3277737</v>
      </c>
      <c r="L21" s="155">
        <f t="shared" si="0"/>
        <v>1082.768614308</v>
      </c>
      <c r="M21" s="202"/>
      <c r="O21" s="190"/>
      <c r="P21" s="191"/>
      <c r="Q21" s="191"/>
      <c r="R21" s="191"/>
      <c r="S21" s="191"/>
    </row>
    <row r="22" s="189" customFormat="1" ht="39" customHeight="1" outlineLevel="1" spans="1:19">
      <c r="A22" s="156">
        <v>4</v>
      </c>
      <c r="B22" s="156" t="s">
        <v>96</v>
      </c>
      <c r="C22" s="156"/>
      <c r="D22" s="156" t="s">
        <v>97</v>
      </c>
      <c r="E22" s="103"/>
      <c r="F22" s="155"/>
      <c r="G22" s="155"/>
      <c r="H22" s="155"/>
      <c r="I22" s="155"/>
      <c r="J22" s="155"/>
      <c r="K22" s="155"/>
      <c r="L22" s="155">
        <f>SUM(L7:L21)</f>
        <v>36603.776359744</v>
      </c>
      <c r="M22" s="202"/>
      <c r="O22" s="190"/>
      <c r="P22" s="191"/>
      <c r="Q22" s="191"/>
      <c r="R22" s="191"/>
      <c r="S22" s="191"/>
    </row>
    <row r="23" s="189" customFormat="1" ht="39" customHeight="1" spans="1:19">
      <c r="A23" s="156" t="s">
        <v>33</v>
      </c>
      <c r="B23" s="199" t="s">
        <v>98</v>
      </c>
      <c r="C23" s="156" t="s">
        <v>99</v>
      </c>
      <c r="D23" s="200"/>
      <c r="E23" s="130"/>
      <c r="F23" s="155"/>
      <c r="G23" s="155"/>
      <c r="H23" s="155"/>
      <c r="I23" s="155"/>
      <c r="J23" s="155"/>
      <c r="K23" s="155"/>
      <c r="L23" s="155"/>
      <c r="M23" s="155" t="s">
        <v>60</v>
      </c>
      <c r="O23" s="190"/>
      <c r="P23" s="191"/>
      <c r="Q23" s="191"/>
      <c r="R23" s="191"/>
      <c r="S23" s="191"/>
    </row>
    <row r="24" s="189" customFormat="1" ht="39" customHeight="1" outlineLevel="1" spans="1:19">
      <c r="A24" s="156">
        <v>1</v>
      </c>
      <c r="B24" s="156" t="s">
        <v>61</v>
      </c>
      <c r="C24" s="156"/>
      <c r="D24" s="156"/>
      <c r="E24" s="103"/>
      <c r="F24" s="155"/>
      <c r="G24" s="155"/>
      <c r="H24" s="155"/>
      <c r="I24" s="155"/>
      <c r="J24" s="155"/>
      <c r="K24" s="155"/>
      <c r="L24" s="155"/>
      <c r="M24" s="155"/>
      <c r="O24" s="190"/>
      <c r="P24" s="191"/>
      <c r="Q24" s="191"/>
      <c r="R24" s="191"/>
      <c r="S24" s="191"/>
    </row>
    <row r="25" s="189" customFormat="1" ht="90.95" customHeight="1" outlineLevel="1" spans="1:19">
      <c r="A25" s="156">
        <v>1.1</v>
      </c>
      <c r="B25" s="156" t="s">
        <v>62</v>
      </c>
      <c r="C25" s="157" t="s">
        <v>63</v>
      </c>
      <c r="D25" s="156" t="s">
        <v>64</v>
      </c>
      <c r="E25" s="103">
        <v>36.55</v>
      </c>
      <c r="F25" s="134">
        <v>39.3</v>
      </c>
      <c r="G25" s="134">
        <v>70</v>
      </c>
      <c r="H25" s="134">
        <v>39.558</v>
      </c>
      <c r="I25" s="134">
        <f t="shared" ref="I25:I30" si="4">(F25+G25+H25)*0.09</f>
        <v>13.39722</v>
      </c>
      <c r="J25" s="134">
        <f t="shared" ref="J25:J33" si="5">(F25+G25+H25+I25)*0.09</f>
        <v>14.6029698</v>
      </c>
      <c r="K25" s="134">
        <f t="shared" ref="K25:K30" si="6">F25+G25+H25+I25+J25</f>
        <v>176.8581898</v>
      </c>
      <c r="L25" s="155">
        <f t="shared" ref="L25:L34" si="7">E25*K25</f>
        <v>6464.16683719</v>
      </c>
      <c r="M25" s="155" t="s">
        <v>65</v>
      </c>
      <c r="O25" s="190"/>
      <c r="P25" s="191"/>
      <c r="Q25" s="191"/>
      <c r="R25" s="191"/>
      <c r="S25" s="191"/>
    </row>
    <row r="26" s="189" customFormat="1" ht="39" customHeight="1" outlineLevel="1" spans="1:19">
      <c r="A26" s="156">
        <v>2</v>
      </c>
      <c r="B26" s="156" t="s">
        <v>66</v>
      </c>
      <c r="C26" s="156"/>
      <c r="D26" s="156"/>
      <c r="E26" s="103"/>
      <c r="F26" s="155"/>
      <c r="G26" s="155"/>
      <c r="H26" s="155"/>
      <c r="I26" s="155"/>
      <c r="J26" s="155"/>
      <c r="K26" s="155"/>
      <c r="L26" s="155"/>
      <c r="M26" s="155"/>
      <c r="O26" s="190"/>
      <c r="P26" s="191"/>
      <c r="Q26" s="191"/>
      <c r="R26" s="191"/>
      <c r="S26" s="191"/>
    </row>
    <row r="27" s="189" customFormat="1" ht="84" customHeight="1" outlineLevel="1" spans="1:19">
      <c r="A27" s="156">
        <v>2.1</v>
      </c>
      <c r="B27" s="195" t="s">
        <v>67</v>
      </c>
      <c r="C27" s="196" t="s">
        <v>68</v>
      </c>
      <c r="D27" s="156" t="s">
        <v>64</v>
      </c>
      <c r="E27" s="201">
        <f>2.41+9.24*0.08+12.38-1.97-5.06+0.72+16.64-0.55-2.18+16.54-0.55-3.15-2.18+5.88-2.49+7.54-2.18-1.14-1.1+5.85-0.52+7.53-2.46+5.85-2.5+7.54-2.46+5.86+7.54-1.1-1.14-2.184+5.61+1*2.3</f>
        <v>76.0152</v>
      </c>
      <c r="F27" s="134">
        <v>58</v>
      </c>
      <c r="G27" s="134">
        <v>61.999</v>
      </c>
      <c r="H27" s="134">
        <v>27.401</v>
      </c>
      <c r="I27" s="190">
        <f>(F27+H27+G27)*0.09</f>
        <v>13.266</v>
      </c>
      <c r="J27" s="134">
        <f t="shared" si="5"/>
        <v>14.45994</v>
      </c>
      <c r="K27" s="134">
        <f>SUBTOTAL(9,F27:J27)</f>
        <v>175.12594</v>
      </c>
      <c r="L27" s="155">
        <f t="shared" si="7"/>
        <v>13312.233354288</v>
      </c>
      <c r="M27" s="156" t="s">
        <v>100</v>
      </c>
      <c r="O27" s="190"/>
      <c r="P27" s="191"/>
      <c r="Q27" s="191"/>
      <c r="R27" s="191"/>
      <c r="S27" s="191"/>
    </row>
    <row r="28" s="189" customFormat="1" ht="51.95" customHeight="1" outlineLevel="1" spans="1:19">
      <c r="A28" s="156"/>
      <c r="B28" s="195" t="s">
        <v>70</v>
      </c>
      <c r="C28" s="196" t="s">
        <v>71</v>
      </c>
      <c r="D28" s="156" t="s">
        <v>64</v>
      </c>
      <c r="E28" s="103">
        <v>4</v>
      </c>
      <c r="F28" s="134">
        <v>25.25</v>
      </c>
      <c r="G28" s="134">
        <v>137.312</v>
      </c>
      <c r="H28" s="156">
        <v>58.848</v>
      </c>
      <c r="I28" s="156">
        <f t="shared" si="4"/>
        <v>19.9269</v>
      </c>
      <c r="J28" s="156">
        <f t="shared" si="5"/>
        <v>21.720321</v>
      </c>
      <c r="K28" s="156">
        <f t="shared" si="6"/>
        <v>263.057221</v>
      </c>
      <c r="L28" s="155">
        <f t="shared" si="7"/>
        <v>1052.228884</v>
      </c>
      <c r="M28" s="156"/>
      <c r="O28" s="190"/>
      <c r="P28" s="191"/>
      <c r="Q28" s="191"/>
      <c r="R28" s="191"/>
      <c r="S28" s="191"/>
    </row>
    <row r="29" s="189" customFormat="1" ht="78" customHeight="1" outlineLevel="1" spans="1:19">
      <c r="A29" s="156"/>
      <c r="B29" s="195" t="s">
        <v>72</v>
      </c>
      <c r="C29" s="196" t="s">
        <v>73</v>
      </c>
      <c r="D29" s="156" t="s">
        <v>64</v>
      </c>
      <c r="E29" s="103">
        <v>1.14</v>
      </c>
      <c r="F29" s="134">
        <v>15.52</v>
      </c>
      <c r="G29" s="134">
        <v>6.508</v>
      </c>
      <c r="H29" s="134">
        <v>5.932</v>
      </c>
      <c r="I29" s="134">
        <f t="shared" si="4"/>
        <v>2.5164</v>
      </c>
      <c r="J29" s="134">
        <f t="shared" si="5"/>
        <v>2.742876</v>
      </c>
      <c r="K29" s="134">
        <f t="shared" si="6"/>
        <v>33.219276</v>
      </c>
      <c r="L29" s="155">
        <f t="shared" si="7"/>
        <v>37.86997464</v>
      </c>
      <c r="M29" s="156"/>
      <c r="O29" s="190"/>
      <c r="P29" s="191"/>
      <c r="Q29" s="191"/>
      <c r="R29" s="191"/>
      <c r="S29" s="191"/>
    </row>
    <row r="30" s="189" customFormat="1" ht="63.95" customHeight="1" outlineLevel="1" spans="1:19">
      <c r="A30" s="156"/>
      <c r="B30" s="195" t="s">
        <v>74</v>
      </c>
      <c r="C30" s="196" t="s">
        <v>75</v>
      </c>
      <c r="D30" s="156" t="s">
        <v>64</v>
      </c>
      <c r="E30" s="103">
        <v>6.37</v>
      </c>
      <c r="F30" s="134">
        <v>52.99</v>
      </c>
      <c r="G30" s="134">
        <v>132.258</v>
      </c>
      <c r="H30" s="156">
        <v>56.682</v>
      </c>
      <c r="I30" s="156">
        <f t="shared" si="4"/>
        <v>21.7737</v>
      </c>
      <c r="J30" s="156">
        <f t="shared" si="5"/>
        <v>23.733333</v>
      </c>
      <c r="K30" s="156">
        <f t="shared" si="6"/>
        <v>287.437033</v>
      </c>
      <c r="L30" s="155">
        <f t="shared" si="7"/>
        <v>1830.97390021</v>
      </c>
      <c r="M30" s="156"/>
      <c r="O30" s="190"/>
      <c r="P30" s="191"/>
      <c r="Q30" s="191"/>
      <c r="R30" s="191"/>
      <c r="S30" s="191"/>
    </row>
    <row r="31" s="189" customFormat="1" ht="57" customHeight="1" outlineLevel="1" spans="1:19">
      <c r="A31" s="156"/>
      <c r="B31" s="195" t="s">
        <v>76</v>
      </c>
      <c r="C31" s="198" t="s">
        <v>77</v>
      </c>
      <c r="D31" s="156" t="s">
        <v>78</v>
      </c>
      <c r="E31" s="201">
        <f>0.23+0.2+1.37+4.43+0.05+0.05+0.275+0.8+3.33+0.85+0.55+0.05+0.405+0.425+2.44+1.335+0.635+0.55+0.85+3.14-1.17+2.444+0.45+0.38+2.44+1</f>
        <v>27.509</v>
      </c>
      <c r="F31" s="134">
        <v>7.49</v>
      </c>
      <c r="G31" s="134">
        <v>11.907</v>
      </c>
      <c r="H31" s="134">
        <v>5.103</v>
      </c>
      <c r="I31" s="134">
        <f t="shared" ref="I31:I34" si="8">(F31+G31+H31)*0.09</f>
        <v>2.205</v>
      </c>
      <c r="J31" s="134">
        <f t="shared" si="5"/>
        <v>2.40345</v>
      </c>
      <c r="K31" s="134">
        <f t="shared" ref="K31:K34" si="9">F31+G31+H31+I31+J31</f>
        <v>29.10845</v>
      </c>
      <c r="L31" s="155">
        <f t="shared" si="7"/>
        <v>800.74435105</v>
      </c>
      <c r="M31" s="156"/>
      <c r="O31" s="190"/>
      <c r="P31" s="191"/>
      <c r="Q31" s="191"/>
      <c r="R31" s="191"/>
      <c r="S31" s="191"/>
    </row>
    <row r="32" s="189" customFormat="1" ht="59.1" customHeight="1" outlineLevel="1" spans="1:19">
      <c r="A32" s="156">
        <v>3.2</v>
      </c>
      <c r="B32" s="156" t="s">
        <v>79</v>
      </c>
      <c r="C32" s="157" t="s">
        <v>80</v>
      </c>
      <c r="D32" s="156" t="s">
        <v>78</v>
      </c>
      <c r="E32" s="103">
        <f>1.16+2.28*2</f>
        <v>5.72</v>
      </c>
      <c r="F32" s="134">
        <v>13.61</v>
      </c>
      <c r="G32" s="134">
        <v>87.976</v>
      </c>
      <c r="H32" s="155">
        <v>37.704</v>
      </c>
      <c r="I32" s="155">
        <f t="shared" si="8"/>
        <v>12.5361</v>
      </c>
      <c r="J32" s="190">
        <f t="shared" si="5"/>
        <v>13.664349</v>
      </c>
      <c r="K32" s="155">
        <f t="shared" si="9"/>
        <v>165.490449</v>
      </c>
      <c r="L32" s="155">
        <f t="shared" si="7"/>
        <v>946.60536828</v>
      </c>
      <c r="M32" s="155"/>
      <c r="O32" s="190"/>
      <c r="P32" s="191"/>
      <c r="Q32" s="191"/>
      <c r="R32" s="191"/>
      <c r="S32" s="191"/>
    </row>
    <row r="33" s="189" customFormat="1" ht="50.1" customHeight="1" outlineLevel="1" spans="1:19">
      <c r="A33" s="156">
        <v>2.2</v>
      </c>
      <c r="B33" s="156" t="s">
        <v>81</v>
      </c>
      <c r="C33" s="157" t="s">
        <v>101</v>
      </c>
      <c r="D33" s="156" t="s">
        <v>64</v>
      </c>
      <c r="E33" s="103">
        <f>3.2*3.5</f>
        <v>11.2</v>
      </c>
      <c r="F33" s="134">
        <v>26.89</v>
      </c>
      <c r="G33" s="134">
        <v>388.92</v>
      </c>
      <c r="H33" s="155">
        <v>166.68</v>
      </c>
      <c r="I33" s="155">
        <f t="shared" si="8"/>
        <v>52.4241</v>
      </c>
      <c r="J33" s="155">
        <f t="shared" si="5"/>
        <v>57.142269</v>
      </c>
      <c r="K33" s="155">
        <f t="shared" si="9"/>
        <v>692.056369</v>
      </c>
      <c r="L33" s="155">
        <f t="shared" si="7"/>
        <v>7751.0313328</v>
      </c>
      <c r="M33" s="155"/>
      <c r="O33" s="190"/>
      <c r="P33" s="191"/>
      <c r="Q33" s="191"/>
      <c r="R33" s="191"/>
      <c r="S33" s="191"/>
    </row>
    <row r="34" s="189" customFormat="1" ht="39" customHeight="1" outlineLevel="1" spans="1:19">
      <c r="A34" s="156">
        <v>2.3</v>
      </c>
      <c r="B34" s="156" t="s">
        <v>83</v>
      </c>
      <c r="C34" s="157" t="s">
        <v>84</v>
      </c>
      <c r="D34" s="156" t="s">
        <v>85</v>
      </c>
      <c r="E34" s="103">
        <v>2</v>
      </c>
      <c r="F34" s="134">
        <v>114.54</v>
      </c>
      <c r="G34" s="134">
        <v>479.46</v>
      </c>
      <c r="H34" s="155">
        <v>234.154</v>
      </c>
      <c r="I34" s="155">
        <f t="shared" si="8"/>
        <v>74.53386</v>
      </c>
      <c r="J34" s="155">
        <f>(F34+G34+I34+H34)*0.09</f>
        <v>81.2419074</v>
      </c>
      <c r="K34" s="155">
        <f t="shared" si="9"/>
        <v>983.9297674</v>
      </c>
      <c r="L34" s="155">
        <f t="shared" si="7"/>
        <v>1967.8595348</v>
      </c>
      <c r="M34" s="155"/>
      <c r="O34" s="190"/>
      <c r="P34" s="191"/>
      <c r="Q34" s="191"/>
      <c r="R34" s="191"/>
      <c r="S34" s="191"/>
    </row>
    <row r="35" s="189" customFormat="1" ht="27.95" customHeight="1" outlineLevel="1" spans="1:19">
      <c r="A35" s="156">
        <v>3</v>
      </c>
      <c r="B35" s="156" t="s">
        <v>86</v>
      </c>
      <c r="C35" s="156"/>
      <c r="D35" s="156"/>
      <c r="E35" s="103"/>
      <c r="F35" s="155"/>
      <c r="G35" s="155"/>
      <c r="H35" s="155"/>
      <c r="I35" s="155"/>
      <c r="J35" s="155"/>
      <c r="K35" s="155"/>
      <c r="L35" s="155"/>
      <c r="M35" s="155"/>
      <c r="O35" s="190"/>
      <c r="P35" s="191"/>
      <c r="Q35" s="191"/>
      <c r="R35" s="191"/>
      <c r="S35" s="191"/>
    </row>
    <row r="36" s="189" customFormat="1" ht="135" customHeight="1" outlineLevel="1" spans="1:19">
      <c r="A36" s="156">
        <v>3.1</v>
      </c>
      <c r="B36" s="156" t="s">
        <v>87</v>
      </c>
      <c r="C36" s="157" t="s">
        <v>88</v>
      </c>
      <c r="D36" s="156" t="s">
        <v>89</v>
      </c>
      <c r="E36" s="103">
        <v>7.46</v>
      </c>
      <c r="F36" s="134">
        <v>69.95</v>
      </c>
      <c r="G36" s="134">
        <v>100.73</v>
      </c>
      <c r="H36" s="134">
        <v>20.94</v>
      </c>
      <c r="I36" s="134">
        <f t="shared" ref="I36:I39" si="10">(F36+G36+H36)*0.09</f>
        <v>17.2458</v>
      </c>
      <c r="J36" s="134">
        <f t="shared" ref="J36:J39" si="11">(F36+G36+H36+I36)*0.09</f>
        <v>18.797922</v>
      </c>
      <c r="K36" s="134">
        <f t="shared" ref="K36:K39" si="12">F36+G36+H36+I36+J36</f>
        <v>227.663722</v>
      </c>
      <c r="L36" s="155">
        <f>E36*K36</f>
        <v>1698.37136612</v>
      </c>
      <c r="M36" s="155"/>
      <c r="O36" s="190"/>
      <c r="P36" s="191"/>
      <c r="Q36" s="191"/>
      <c r="R36" s="191"/>
      <c r="S36" s="191"/>
    </row>
    <row r="37" s="189" customFormat="1" ht="111" customHeight="1" outlineLevel="1" spans="1:19">
      <c r="A37" s="156">
        <v>3.3</v>
      </c>
      <c r="B37" s="156" t="s">
        <v>90</v>
      </c>
      <c r="C37" s="157" t="s">
        <v>91</v>
      </c>
      <c r="D37" s="156" t="s">
        <v>64</v>
      </c>
      <c r="E37" s="103">
        <f>2.57+8.55</f>
        <v>11.12</v>
      </c>
      <c r="F37" s="134">
        <v>50.95</v>
      </c>
      <c r="G37" s="134">
        <v>88.543</v>
      </c>
      <c r="H37" s="134">
        <v>25.157</v>
      </c>
      <c r="I37" s="134">
        <f t="shared" si="10"/>
        <v>14.8185</v>
      </c>
      <c r="J37" s="134">
        <f t="shared" si="11"/>
        <v>16.152165</v>
      </c>
      <c r="K37" s="134">
        <f t="shared" si="12"/>
        <v>195.620665</v>
      </c>
      <c r="L37" s="155">
        <f>E37*K37</f>
        <v>2175.3017948</v>
      </c>
      <c r="M37" s="155"/>
      <c r="O37" s="190"/>
      <c r="P37" s="191"/>
      <c r="Q37" s="191"/>
      <c r="R37" s="191"/>
      <c r="S37" s="191"/>
    </row>
    <row r="38" s="189" customFormat="1" ht="83.1" customHeight="1" outlineLevel="1" spans="1:19">
      <c r="A38" s="156">
        <v>3.4</v>
      </c>
      <c r="B38" s="156" t="s">
        <v>92</v>
      </c>
      <c r="C38" s="157" t="s">
        <v>93</v>
      </c>
      <c r="D38" s="156" t="s">
        <v>64</v>
      </c>
      <c r="E38" s="103">
        <f>7.18+7.22</f>
        <v>14.4</v>
      </c>
      <c r="F38" s="134">
        <v>15.52</v>
      </c>
      <c r="G38" s="134">
        <v>6.508</v>
      </c>
      <c r="H38" s="134">
        <v>5.932</v>
      </c>
      <c r="I38" s="134">
        <f t="shared" si="10"/>
        <v>2.5164</v>
      </c>
      <c r="J38" s="134">
        <f t="shared" si="11"/>
        <v>2.742876</v>
      </c>
      <c r="K38" s="134">
        <f t="shared" si="12"/>
        <v>33.219276</v>
      </c>
      <c r="L38" s="155">
        <f>E38*K38</f>
        <v>478.3575744</v>
      </c>
      <c r="M38" s="155"/>
      <c r="O38" s="190"/>
      <c r="P38" s="191"/>
      <c r="Q38" s="191"/>
      <c r="R38" s="191"/>
      <c r="S38" s="191"/>
    </row>
    <row r="39" s="189" customFormat="1" ht="75" customHeight="1" outlineLevel="1" spans="1:19">
      <c r="A39" s="156">
        <v>3.5</v>
      </c>
      <c r="B39" s="156" t="s">
        <v>94</v>
      </c>
      <c r="C39" s="157" t="s">
        <v>95</v>
      </c>
      <c r="D39" s="156" t="s">
        <v>78</v>
      </c>
      <c r="E39" s="103">
        <f>10.84+10.84</f>
        <v>21.68</v>
      </c>
      <c r="F39" s="134">
        <v>25.62</v>
      </c>
      <c r="G39" s="134">
        <v>42.907</v>
      </c>
      <c r="H39" s="155">
        <v>2.45</v>
      </c>
      <c r="I39" s="155">
        <f t="shared" si="10"/>
        <v>6.38793</v>
      </c>
      <c r="J39" s="155">
        <f t="shared" si="11"/>
        <v>6.9628437</v>
      </c>
      <c r="K39" s="155">
        <f t="shared" si="12"/>
        <v>84.3277737</v>
      </c>
      <c r="L39" s="155">
        <f>E39*K39</f>
        <v>1828.226133816</v>
      </c>
      <c r="M39" s="202"/>
      <c r="O39" s="190"/>
      <c r="P39" s="191"/>
      <c r="Q39" s="191"/>
      <c r="R39" s="191"/>
      <c r="S39" s="191"/>
    </row>
    <row r="40" s="189" customFormat="1" ht="39" customHeight="1" outlineLevel="1" spans="1:19">
      <c r="A40" s="156">
        <v>4</v>
      </c>
      <c r="B40" s="156" t="s">
        <v>96</v>
      </c>
      <c r="C40" s="156"/>
      <c r="D40" s="156" t="s">
        <v>97</v>
      </c>
      <c r="E40" s="103"/>
      <c r="F40" s="155"/>
      <c r="G40" s="155"/>
      <c r="H40" s="155"/>
      <c r="I40" s="155"/>
      <c r="J40" s="155"/>
      <c r="K40" s="155"/>
      <c r="L40" s="155">
        <f>SUM(L25:L39)</f>
        <v>40343.970406394</v>
      </c>
      <c r="M40" s="202"/>
      <c r="O40" s="190"/>
      <c r="P40" s="191"/>
      <c r="Q40" s="191"/>
      <c r="R40" s="191"/>
      <c r="S40" s="191"/>
    </row>
    <row r="41" s="189" customFormat="1" ht="41.1" customHeight="1" spans="1:19">
      <c r="A41" s="156" t="s">
        <v>35</v>
      </c>
      <c r="B41" s="199" t="s">
        <v>102</v>
      </c>
      <c r="C41" s="156" t="s">
        <v>99</v>
      </c>
      <c r="D41" s="200"/>
      <c r="E41" s="130"/>
      <c r="F41" s="155"/>
      <c r="G41" s="155"/>
      <c r="H41" s="155"/>
      <c r="I41" s="155"/>
      <c r="J41" s="155"/>
      <c r="K41" s="155"/>
      <c r="L41" s="155"/>
      <c r="M41" s="155" t="s">
        <v>60</v>
      </c>
      <c r="O41" s="190"/>
      <c r="P41" s="191"/>
      <c r="Q41" s="191"/>
      <c r="R41" s="191"/>
      <c r="S41" s="191"/>
    </row>
    <row r="42" s="189" customFormat="1" ht="39" customHeight="1" outlineLevel="1" spans="1:19">
      <c r="A42" s="156">
        <v>1</v>
      </c>
      <c r="B42" s="156" t="s">
        <v>61</v>
      </c>
      <c r="C42" s="156"/>
      <c r="D42" s="156"/>
      <c r="E42" s="103"/>
      <c r="F42" s="155"/>
      <c r="G42" s="155"/>
      <c r="H42" s="155"/>
      <c r="I42" s="155"/>
      <c r="J42" s="155"/>
      <c r="K42" s="155"/>
      <c r="L42" s="155"/>
      <c r="M42" s="155"/>
      <c r="O42" s="190"/>
      <c r="P42" s="191"/>
      <c r="Q42" s="191"/>
      <c r="R42" s="191"/>
      <c r="S42" s="191"/>
    </row>
    <row r="43" s="189" customFormat="1" ht="87" customHeight="1" outlineLevel="1" spans="1:19">
      <c r="A43" s="156">
        <v>1.1</v>
      </c>
      <c r="B43" s="156" t="s">
        <v>62</v>
      </c>
      <c r="C43" s="157" t="s">
        <v>63</v>
      </c>
      <c r="D43" s="156" t="s">
        <v>64</v>
      </c>
      <c r="E43" s="103">
        <v>58.1</v>
      </c>
      <c r="F43" s="134">
        <v>39.3</v>
      </c>
      <c r="G43" s="134">
        <v>70</v>
      </c>
      <c r="H43" s="134">
        <v>39.558</v>
      </c>
      <c r="I43" s="134">
        <f t="shared" ref="I43:I47" si="13">(F43+G43+H43)*0.09</f>
        <v>13.39722</v>
      </c>
      <c r="J43" s="134">
        <f t="shared" ref="J43:J50" si="14">(F43+G43+H43+I43)*0.09</f>
        <v>14.6029698</v>
      </c>
      <c r="K43" s="134">
        <f t="shared" ref="K43:K47" si="15">F43+G43+H43+I43+J43</f>
        <v>176.8581898</v>
      </c>
      <c r="L43" s="155">
        <f t="shared" ref="L43:L51" si="16">E43*K43</f>
        <v>10275.46082738</v>
      </c>
      <c r="M43" s="155" t="s">
        <v>65</v>
      </c>
      <c r="O43" s="190"/>
      <c r="P43" s="191"/>
      <c r="Q43" s="191"/>
      <c r="R43" s="191"/>
      <c r="S43" s="191"/>
    </row>
    <row r="44" s="189" customFormat="1" ht="57" customHeight="1" outlineLevel="1" spans="1:19">
      <c r="A44" s="156">
        <v>2</v>
      </c>
      <c r="B44" s="156" t="s">
        <v>66</v>
      </c>
      <c r="C44" s="156"/>
      <c r="D44" s="156"/>
      <c r="E44" s="103"/>
      <c r="F44" s="155"/>
      <c r="G44" s="155"/>
      <c r="H44" s="155"/>
      <c r="I44" s="155"/>
      <c r="J44" s="155"/>
      <c r="K44" s="155"/>
      <c r="L44" s="155"/>
      <c r="M44" s="155"/>
      <c r="O44" s="190"/>
      <c r="P44" s="191"/>
      <c r="Q44" s="191"/>
      <c r="R44" s="191"/>
      <c r="S44" s="191"/>
    </row>
    <row r="45" s="189" customFormat="1" ht="90" customHeight="1" outlineLevel="1" spans="1:19">
      <c r="A45" s="156">
        <v>2.1</v>
      </c>
      <c r="B45" s="195" t="s">
        <v>67</v>
      </c>
      <c r="C45" s="196" t="s">
        <v>68</v>
      </c>
      <c r="D45" s="156" t="s">
        <v>64</v>
      </c>
      <c r="E45" s="103">
        <f>15.33-13.41+(14.78-4.19)*0.1+15.33-4.78+(8.78-1.99)*0.1+8.77-7.49+8.77+5.74-4.78+(8.78-1.99)*0.1+10.66-2.5*2+5.74-2.39+10.66-2.39*2+3.94-3.46+(7.68-1.44)*0.1+6.82-2.39+3.94-2.39+6.82+19.79*2.4-(2.39+2.16*2+1.62*2+0.52+2.39+3.3)+19.79*2.4-(2.46*3+2.43)+(2.98-2.46)*2</f>
        <v>124.753</v>
      </c>
      <c r="F45" s="134">
        <v>58</v>
      </c>
      <c r="G45" s="134">
        <v>61.999</v>
      </c>
      <c r="H45" s="134">
        <v>27.401</v>
      </c>
      <c r="I45" s="190">
        <f>(F45+H45+G45)*0.09</f>
        <v>13.266</v>
      </c>
      <c r="J45" s="134">
        <f t="shared" si="14"/>
        <v>14.45994</v>
      </c>
      <c r="K45" s="134">
        <f>SUBTOTAL(9,F45:J45)</f>
        <v>175.12594</v>
      </c>
      <c r="L45" s="155">
        <f t="shared" si="16"/>
        <v>21847.48639282</v>
      </c>
      <c r="M45" s="156" t="s">
        <v>100</v>
      </c>
      <c r="O45" s="190"/>
      <c r="P45" s="191"/>
      <c r="Q45" s="191"/>
      <c r="R45" s="191"/>
      <c r="S45" s="191"/>
    </row>
    <row r="46" s="189" customFormat="1" ht="51" customHeight="1" outlineLevel="1" spans="1:19">
      <c r="A46" s="156"/>
      <c r="B46" s="195" t="s">
        <v>70</v>
      </c>
      <c r="C46" s="196" t="s">
        <v>71</v>
      </c>
      <c r="D46" s="156" t="s">
        <v>64</v>
      </c>
      <c r="E46" s="103"/>
      <c r="F46" s="134">
        <v>25.25</v>
      </c>
      <c r="G46" s="134">
        <v>137.312</v>
      </c>
      <c r="H46" s="156">
        <v>58.848</v>
      </c>
      <c r="I46" s="156">
        <f t="shared" si="13"/>
        <v>19.9269</v>
      </c>
      <c r="J46" s="156">
        <f t="shared" si="14"/>
        <v>21.720321</v>
      </c>
      <c r="K46" s="156">
        <f t="shared" si="15"/>
        <v>263.057221</v>
      </c>
      <c r="L46" s="155">
        <f t="shared" si="16"/>
        <v>0</v>
      </c>
      <c r="M46" s="156"/>
      <c r="O46" s="190"/>
      <c r="P46" s="191"/>
      <c r="Q46" s="191"/>
      <c r="R46" s="191"/>
      <c r="S46" s="191"/>
    </row>
    <row r="47" s="189" customFormat="1" ht="51" customHeight="1" outlineLevel="1" spans="1:19">
      <c r="A47" s="156"/>
      <c r="B47" s="195" t="s">
        <v>74</v>
      </c>
      <c r="C47" s="196" t="s">
        <v>75</v>
      </c>
      <c r="D47" s="156" t="s">
        <v>64</v>
      </c>
      <c r="E47" s="103">
        <v>7.49</v>
      </c>
      <c r="F47" s="134">
        <v>52.99</v>
      </c>
      <c r="G47" s="134">
        <v>132.258</v>
      </c>
      <c r="H47" s="156">
        <v>56.682</v>
      </c>
      <c r="I47" s="156">
        <f t="shared" si="13"/>
        <v>21.7737</v>
      </c>
      <c r="J47" s="156">
        <f t="shared" si="14"/>
        <v>23.733333</v>
      </c>
      <c r="K47" s="156">
        <f t="shared" si="15"/>
        <v>287.437033</v>
      </c>
      <c r="L47" s="155">
        <f t="shared" si="16"/>
        <v>2152.90337717</v>
      </c>
      <c r="M47" s="156"/>
      <c r="O47" s="190"/>
      <c r="P47" s="191"/>
      <c r="Q47" s="191"/>
      <c r="R47" s="191"/>
      <c r="S47" s="191"/>
    </row>
    <row r="48" s="189" customFormat="1" ht="54" customHeight="1" outlineLevel="1" spans="1:19">
      <c r="A48" s="156"/>
      <c r="B48" s="195" t="s">
        <v>76</v>
      </c>
      <c r="C48" s="198" t="s">
        <v>77</v>
      </c>
      <c r="D48" s="156" t="s">
        <v>78</v>
      </c>
      <c r="E48" s="103">
        <f>0.3*2+3.2+0.4+0.4+2.74+0.4+0.55+0.65*2+0.5+1.25+0.8+0.16+1.2+0.2+1.7+0.5+2.84+19.79-1.14-1.2*2-0.9*2-1.14-1.5+19.79-1.17*4+0.07+0.07</f>
        <v>45.8</v>
      </c>
      <c r="F48" s="134">
        <v>7.49</v>
      </c>
      <c r="G48" s="134">
        <v>11.907</v>
      </c>
      <c r="H48" s="134">
        <v>5.103</v>
      </c>
      <c r="I48" s="134">
        <f t="shared" ref="I48:I51" si="17">(F48+G48+H48)*0.09</f>
        <v>2.205</v>
      </c>
      <c r="J48" s="134">
        <f t="shared" si="14"/>
        <v>2.40345</v>
      </c>
      <c r="K48" s="134">
        <f t="shared" ref="K48:K51" si="18">F48+G48+H48+I48+J48</f>
        <v>29.10845</v>
      </c>
      <c r="L48" s="155">
        <f t="shared" si="16"/>
        <v>1333.16701</v>
      </c>
      <c r="M48" s="156"/>
      <c r="O48" s="190"/>
      <c r="P48" s="191"/>
      <c r="Q48" s="191"/>
      <c r="R48" s="191"/>
      <c r="S48" s="191"/>
    </row>
    <row r="49" s="189" customFormat="1" ht="54" customHeight="1" outlineLevel="1" spans="1:19">
      <c r="A49" s="156">
        <v>3.2</v>
      </c>
      <c r="B49" s="156" t="s">
        <v>79</v>
      </c>
      <c r="C49" s="157" t="s">
        <v>80</v>
      </c>
      <c r="D49" s="156" t="s">
        <v>78</v>
      </c>
      <c r="E49" s="103"/>
      <c r="F49" s="134">
        <v>13.61</v>
      </c>
      <c r="G49" s="134">
        <v>87.976</v>
      </c>
      <c r="H49" s="155">
        <v>37.704</v>
      </c>
      <c r="I49" s="155">
        <f t="shared" si="17"/>
        <v>12.5361</v>
      </c>
      <c r="J49" s="190">
        <f t="shared" si="14"/>
        <v>13.664349</v>
      </c>
      <c r="K49" s="155">
        <f t="shared" si="18"/>
        <v>165.490449</v>
      </c>
      <c r="L49" s="155">
        <f t="shared" si="16"/>
        <v>0</v>
      </c>
      <c r="M49" s="155"/>
      <c r="O49" s="190"/>
      <c r="P49" s="191"/>
      <c r="Q49" s="191"/>
      <c r="R49" s="191"/>
      <c r="S49" s="191"/>
    </row>
    <row r="50" s="189" customFormat="1" ht="63" customHeight="1" outlineLevel="1" spans="1:19">
      <c r="A50" s="156">
        <v>2.2</v>
      </c>
      <c r="B50" s="156" t="s">
        <v>81</v>
      </c>
      <c r="C50" s="157" t="s">
        <v>103</v>
      </c>
      <c r="D50" s="156" t="s">
        <v>64</v>
      </c>
      <c r="E50" s="103">
        <f>13.41+3.46</f>
        <v>16.87</v>
      </c>
      <c r="F50" s="134">
        <v>26.89</v>
      </c>
      <c r="G50" s="134">
        <v>388.92</v>
      </c>
      <c r="H50" s="155">
        <v>166.68</v>
      </c>
      <c r="I50" s="155">
        <f t="shared" si="17"/>
        <v>52.4241</v>
      </c>
      <c r="J50" s="155">
        <f t="shared" si="14"/>
        <v>57.142269</v>
      </c>
      <c r="K50" s="155">
        <f t="shared" si="18"/>
        <v>692.056369</v>
      </c>
      <c r="L50" s="155">
        <f t="shared" si="16"/>
        <v>11674.99094503</v>
      </c>
      <c r="M50" s="155"/>
      <c r="O50" s="190"/>
      <c r="P50" s="191"/>
      <c r="Q50" s="191"/>
      <c r="R50" s="191"/>
      <c r="S50" s="191"/>
    </row>
    <row r="51" s="189" customFormat="1" ht="120" customHeight="1" outlineLevel="1" spans="1:19">
      <c r="A51" s="156">
        <v>2.3</v>
      </c>
      <c r="B51" s="156" t="s">
        <v>83</v>
      </c>
      <c r="C51" s="157" t="s">
        <v>84</v>
      </c>
      <c r="D51" s="156" t="s">
        <v>85</v>
      </c>
      <c r="E51" s="103">
        <v>2</v>
      </c>
      <c r="F51" s="134">
        <v>114.54</v>
      </c>
      <c r="G51" s="134">
        <v>479.46</v>
      </c>
      <c r="H51" s="155">
        <v>234.154</v>
      </c>
      <c r="I51" s="155">
        <f t="shared" si="17"/>
        <v>74.53386</v>
      </c>
      <c r="J51" s="155">
        <f>(F51+G51+I51+H51)*0.09</f>
        <v>81.2419074</v>
      </c>
      <c r="K51" s="155">
        <f t="shared" si="18"/>
        <v>983.9297674</v>
      </c>
      <c r="L51" s="155">
        <f t="shared" si="16"/>
        <v>1967.8595348</v>
      </c>
      <c r="M51" s="155"/>
      <c r="O51" s="190"/>
      <c r="P51" s="191"/>
      <c r="Q51" s="191"/>
      <c r="R51" s="191"/>
      <c r="S51" s="191"/>
    </row>
    <row r="52" s="189" customFormat="1" ht="69" customHeight="1" outlineLevel="1" spans="1:19">
      <c r="A52" s="156">
        <v>3</v>
      </c>
      <c r="B52" s="156" t="s">
        <v>86</v>
      </c>
      <c r="C52" s="156"/>
      <c r="D52" s="156"/>
      <c r="E52" s="103"/>
      <c r="F52" s="155"/>
      <c r="G52" s="155"/>
      <c r="H52" s="155"/>
      <c r="I52" s="155"/>
      <c r="J52" s="155"/>
      <c r="K52" s="155"/>
      <c r="L52" s="155"/>
      <c r="M52" s="155"/>
      <c r="O52" s="190"/>
      <c r="P52" s="191"/>
      <c r="Q52" s="191"/>
      <c r="R52" s="191"/>
      <c r="S52" s="191"/>
    </row>
    <row r="53" s="189" customFormat="1" ht="138" customHeight="1" outlineLevel="1" spans="1:19">
      <c r="A53" s="156">
        <v>3.1</v>
      </c>
      <c r="B53" s="156" t="s">
        <v>87</v>
      </c>
      <c r="C53" s="157" t="s">
        <v>88</v>
      </c>
      <c r="D53" s="156" t="s">
        <v>89</v>
      </c>
      <c r="E53" s="103">
        <v>13.12</v>
      </c>
      <c r="F53" s="134">
        <v>69.95</v>
      </c>
      <c r="G53" s="134">
        <v>100.73</v>
      </c>
      <c r="H53" s="134">
        <v>20.94</v>
      </c>
      <c r="I53" s="134">
        <f t="shared" ref="I53:I56" si="19">(F53+G53+H53)*0.09</f>
        <v>17.2458</v>
      </c>
      <c r="J53" s="134">
        <f t="shared" ref="J53:J56" si="20">(F53+G53+H53+I53)*0.09</f>
        <v>18.797922</v>
      </c>
      <c r="K53" s="134">
        <f t="shared" ref="K53:K56" si="21">F53+G53+H53+I53+J53</f>
        <v>227.663722</v>
      </c>
      <c r="L53" s="155">
        <f>E53*K53</f>
        <v>2986.94803264</v>
      </c>
      <c r="M53" s="155"/>
      <c r="O53" s="190"/>
      <c r="P53" s="191"/>
      <c r="Q53" s="191"/>
      <c r="R53" s="191"/>
      <c r="S53" s="191"/>
    </row>
    <row r="54" s="189" customFormat="1" ht="108.95" customHeight="1" outlineLevel="1" spans="1:19">
      <c r="A54" s="156">
        <v>3.3</v>
      </c>
      <c r="B54" s="156" t="s">
        <v>90</v>
      </c>
      <c r="C54" s="157" t="s">
        <v>91</v>
      </c>
      <c r="D54" s="156" t="s">
        <v>64</v>
      </c>
      <c r="E54" s="103"/>
      <c r="F54" s="134">
        <v>50.95</v>
      </c>
      <c r="G54" s="134">
        <v>88.543</v>
      </c>
      <c r="H54" s="134">
        <v>25.157</v>
      </c>
      <c r="I54" s="134">
        <f t="shared" si="19"/>
        <v>14.8185</v>
      </c>
      <c r="J54" s="134">
        <f t="shared" si="20"/>
        <v>16.152165</v>
      </c>
      <c r="K54" s="134">
        <f t="shared" si="21"/>
        <v>195.620665</v>
      </c>
      <c r="L54" s="155">
        <f>E54*K54</f>
        <v>0</v>
      </c>
      <c r="M54" s="155"/>
      <c r="O54" s="190"/>
      <c r="P54" s="191"/>
      <c r="Q54" s="191"/>
      <c r="R54" s="191"/>
      <c r="S54" s="191"/>
    </row>
    <row r="55" s="189" customFormat="1" ht="84" customHeight="1" outlineLevel="1" spans="1:19">
      <c r="A55" s="156">
        <v>3.4</v>
      </c>
      <c r="B55" s="156" t="s">
        <v>92</v>
      </c>
      <c r="C55" s="157" t="s">
        <v>104</v>
      </c>
      <c r="D55" s="156" t="s">
        <v>64</v>
      </c>
      <c r="E55" s="103">
        <f>4.31+4.69+6.69+6+4.51+10.01</f>
        <v>36.21</v>
      </c>
      <c r="F55" s="134">
        <v>15.52</v>
      </c>
      <c r="G55" s="134">
        <v>6.508</v>
      </c>
      <c r="H55" s="134">
        <v>5.932</v>
      </c>
      <c r="I55" s="134">
        <f t="shared" si="19"/>
        <v>2.5164</v>
      </c>
      <c r="J55" s="134">
        <f t="shared" si="20"/>
        <v>2.742876</v>
      </c>
      <c r="K55" s="134">
        <f t="shared" si="21"/>
        <v>33.219276</v>
      </c>
      <c r="L55" s="155">
        <f>E55*K55</f>
        <v>1202.86998396</v>
      </c>
      <c r="M55" s="155"/>
      <c r="O55" s="190"/>
      <c r="P55" s="191"/>
      <c r="Q55" s="191"/>
      <c r="R55" s="191"/>
      <c r="S55" s="191"/>
    </row>
    <row r="56" s="189" customFormat="1" ht="69" customHeight="1" outlineLevel="1" spans="1:19">
      <c r="A56" s="156">
        <v>3.5</v>
      </c>
      <c r="B56" s="156" t="s">
        <v>94</v>
      </c>
      <c r="C56" s="157" t="s">
        <v>105</v>
      </c>
      <c r="D56" s="156" t="s">
        <v>78</v>
      </c>
      <c r="E56" s="103">
        <f>8.64+10.4+13.86+12.66+10.1+13.34</f>
        <v>69</v>
      </c>
      <c r="F56" s="134">
        <v>25.62</v>
      </c>
      <c r="G56" s="134">
        <v>42.907</v>
      </c>
      <c r="H56" s="155">
        <v>2.45</v>
      </c>
      <c r="I56" s="155">
        <f t="shared" si="19"/>
        <v>6.38793</v>
      </c>
      <c r="J56" s="155">
        <f t="shared" si="20"/>
        <v>6.9628437</v>
      </c>
      <c r="K56" s="155">
        <f t="shared" si="21"/>
        <v>84.3277737</v>
      </c>
      <c r="L56" s="155">
        <f>E56*K56</f>
        <v>5818.6163853</v>
      </c>
      <c r="M56" s="202"/>
      <c r="O56" s="190"/>
      <c r="P56" s="191"/>
      <c r="Q56" s="191"/>
      <c r="R56" s="191"/>
      <c r="S56" s="191"/>
    </row>
    <row r="57" s="189" customFormat="1" ht="51" customHeight="1" outlineLevel="1" spans="1:19">
      <c r="A57" s="156">
        <v>4</v>
      </c>
      <c r="B57" s="156" t="s">
        <v>96</v>
      </c>
      <c r="C57" s="156"/>
      <c r="D57" s="156" t="s">
        <v>97</v>
      </c>
      <c r="E57" s="103"/>
      <c r="F57" s="155"/>
      <c r="G57" s="155"/>
      <c r="H57" s="155"/>
      <c r="I57" s="155"/>
      <c r="J57" s="155"/>
      <c r="K57" s="155"/>
      <c r="L57" s="155">
        <f>SUM(L43:L56)</f>
        <v>59260.3024891</v>
      </c>
      <c r="M57" s="202"/>
      <c r="O57" s="190"/>
      <c r="P57" s="191"/>
      <c r="Q57" s="191"/>
      <c r="R57" s="191"/>
      <c r="S57" s="191"/>
    </row>
    <row r="58" s="189" customFormat="1" ht="41.1" customHeight="1" spans="1:19">
      <c r="A58" s="156" t="s">
        <v>37</v>
      </c>
      <c r="B58" s="199" t="s">
        <v>106</v>
      </c>
      <c r="C58" s="156" t="s">
        <v>99</v>
      </c>
      <c r="D58" s="200"/>
      <c r="E58" s="130"/>
      <c r="F58" s="155"/>
      <c r="G58" s="155"/>
      <c r="H58" s="155"/>
      <c r="I58" s="155"/>
      <c r="J58" s="155"/>
      <c r="K58" s="155"/>
      <c r="L58" s="155"/>
      <c r="M58" s="155" t="s">
        <v>60</v>
      </c>
      <c r="O58" s="190"/>
      <c r="P58" s="191"/>
      <c r="Q58" s="191"/>
      <c r="R58" s="191"/>
      <c r="S58" s="191"/>
    </row>
    <row r="59" s="189" customFormat="1" ht="39" customHeight="1" outlineLevel="1" spans="1:19">
      <c r="A59" s="156">
        <v>1</v>
      </c>
      <c r="B59" s="156" t="s">
        <v>61</v>
      </c>
      <c r="C59" s="156"/>
      <c r="D59" s="156"/>
      <c r="E59" s="103"/>
      <c r="F59" s="155"/>
      <c r="G59" s="155"/>
      <c r="H59" s="155"/>
      <c r="I59" s="155"/>
      <c r="J59" s="155"/>
      <c r="K59" s="155"/>
      <c r="L59" s="155"/>
      <c r="M59" s="155"/>
      <c r="O59" s="190"/>
      <c r="P59" s="191"/>
      <c r="Q59" s="191"/>
      <c r="R59" s="191"/>
      <c r="S59" s="191"/>
    </row>
    <row r="60" s="189" customFormat="1" ht="87" customHeight="1" outlineLevel="1" spans="1:19">
      <c r="A60" s="156">
        <v>1.1</v>
      </c>
      <c r="B60" s="156" t="s">
        <v>62</v>
      </c>
      <c r="C60" s="157" t="s">
        <v>63</v>
      </c>
      <c r="D60" s="156" t="s">
        <v>64</v>
      </c>
      <c r="E60" s="103">
        <v>28.67</v>
      </c>
      <c r="F60" s="134">
        <v>39.3</v>
      </c>
      <c r="G60" s="134">
        <v>70</v>
      </c>
      <c r="H60" s="134">
        <v>39.558</v>
      </c>
      <c r="I60" s="134">
        <f t="shared" ref="I60:I64" si="22">(F60+G60+H60)*0.09</f>
        <v>13.39722</v>
      </c>
      <c r="J60" s="134">
        <f t="shared" ref="J60:J67" si="23">(F60+G60+H60+I60)*0.09</f>
        <v>14.6029698</v>
      </c>
      <c r="K60" s="134">
        <f t="shared" ref="K60:K64" si="24">F60+G60+H60+I60+J60</f>
        <v>176.8581898</v>
      </c>
      <c r="L60" s="155">
        <f t="shared" ref="L60:L68" si="25">E60*K60</f>
        <v>5070.524301566</v>
      </c>
      <c r="M60" s="155" t="s">
        <v>65</v>
      </c>
      <c r="O60" s="190"/>
      <c r="P60" s="191"/>
      <c r="Q60" s="191"/>
      <c r="R60" s="191"/>
      <c r="S60" s="191"/>
    </row>
    <row r="61" s="189" customFormat="1" ht="57" customHeight="1" outlineLevel="1" spans="1:19">
      <c r="A61" s="156">
        <v>2</v>
      </c>
      <c r="B61" s="156" t="s">
        <v>66</v>
      </c>
      <c r="C61" s="156"/>
      <c r="D61" s="156"/>
      <c r="E61" s="103"/>
      <c r="F61" s="155"/>
      <c r="G61" s="155"/>
      <c r="H61" s="155"/>
      <c r="I61" s="155"/>
      <c r="J61" s="155"/>
      <c r="K61" s="155"/>
      <c r="L61" s="155"/>
      <c r="M61" s="155"/>
      <c r="O61" s="190"/>
      <c r="P61" s="191"/>
      <c r="Q61" s="191"/>
      <c r="R61" s="191"/>
      <c r="S61" s="191"/>
    </row>
    <row r="62" s="189" customFormat="1" ht="90" customHeight="1" outlineLevel="1" spans="1:19">
      <c r="A62" s="156">
        <v>2.1</v>
      </c>
      <c r="B62" s="195" t="s">
        <v>67</v>
      </c>
      <c r="C62" s="196" t="s">
        <v>68</v>
      </c>
      <c r="D62" s="156" t="s">
        <v>64</v>
      </c>
      <c r="E62" s="103">
        <f>5.43-4.44+(8.58-1.74)*0.1+5.68+5.66+5.43-3.82+5.71-4.59+1.75+3.12-2.16+1.46+1.6-0.7+5.76+7.06-1.6*2+4.76+10.08-2.74-2.92+18.78-2.92-2.74+1.14*1.27</f>
        <v>54.1818</v>
      </c>
      <c r="F62" s="134">
        <v>58</v>
      </c>
      <c r="G62" s="134">
        <v>61.999</v>
      </c>
      <c r="H62" s="134">
        <v>27.401</v>
      </c>
      <c r="I62" s="190">
        <f>(F62+H62+G62)*0.09</f>
        <v>13.266</v>
      </c>
      <c r="J62" s="134">
        <f t="shared" si="23"/>
        <v>14.45994</v>
      </c>
      <c r="K62" s="134">
        <f>SUBTOTAL(9,F62:J62)</f>
        <v>175.12594</v>
      </c>
      <c r="L62" s="155">
        <f t="shared" si="25"/>
        <v>9488.638655892</v>
      </c>
      <c r="M62" s="156" t="s">
        <v>100</v>
      </c>
      <c r="O62" s="190"/>
      <c r="P62" s="191"/>
      <c r="Q62" s="191"/>
      <c r="R62" s="191"/>
      <c r="S62" s="191"/>
    </row>
    <row r="63" s="189" customFormat="1" ht="51" customHeight="1" outlineLevel="1" spans="1:19">
      <c r="A63" s="156"/>
      <c r="B63" s="195" t="s">
        <v>70</v>
      </c>
      <c r="C63" s="196" t="s">
        <v>71</v>
      </c>
      <c r="D63" s="156" t="s">
        <v>64</v>
      </c>
      <c r="E63" s="103"/>
      <c r="F63" s="134">
        <v>25.25</v>
      </c>
      <c r="G63" s="134">
        <v>137.312</v>
      </c>
      <c r="H63" s="156">
        <v>58.848</v>
      </c>
      <c r="I63" s="156">
        <f t="shared" si="22"/>
        <v>19.9269</v>
      </c>
      <c r="J63" s="156">
        <f t="shared" si="23"/>
        <v>21.720321</v>
      </c>
      <c r="K63" s="156">
        <f t="shared" si="24"/>
        <v>263.057221</v>
      </c>
      <c r="L63" s="155">
        <f t="shared" si="25"/>
        <v>0</v>
      </c>
      <c r="M63" s="156"/>
      <c r="O63" s="190"/>
      <c r="P63" s="191"/>
      <c r="Q63" s="191"/>
      <c r="R63" s="191"/>
      <c r="S63" s="191"/>
    </row>
    <row r="64" s="189" customFormat="1" ht="51" customHeight="1" outlineLevel="1" spans="1:19">
      <c r="A64" s="156"/>
      <c r="B64" s="195" t="s">
        <v>74</v>
      </c>
      <c r="C64" s="196" t="s">
        <v>75</v>
      </c>
      <c r="D64" s="156" t="s">
        <v>64</v>
      </c>
      <c r="E64" s="103">
        <v>4.59</v>
      </c>
      <c r="F64" s="134">
        <v>52.99</v>
      </c>
      <c r="G64" s="134">
        <v>132.258</v>
      </c>
      <c r="H64" s="156">
        <v>56.682</v>
      </c>
      <c r="I64" s="156">
        <f t="shared" si="22"/>
        <v>21.7737</v>
      </c>
      <c r="J64" s="156">
        <f t="shared" si="23"/>
        <v>23.733333</v>
      </c>
      <c r="K64" s="156">
        <f t="shared" si="24"/>
        <v>287.437033</v>
      </c>
      <c r="L64" s="155">
        <f t="shared" si="25"/>
        <v>1319.33598147</v>
      </c>
      <c r="M64" s="156"/>
      <c r="O64" s="190"/>
      <c r="P64" s="191"/>
      <c r="Q64" s="191"/>
      <c r="R64" s="191"/>
      <c r="S64" s="191"/>
    </row>
    <row r="65" s="189" customFormat="1" ht="54" customHeight="1" outlineLevel="1" spans="1:19">
      <c r="A65" s="156"/>
      <c r="B65" s="195" t="s">
        <v>76</v>
      </c>
      <c r="C65" s="198" t="s">
        <v>77</v>
      </c>
      <c r="D65" s="156" t="s">
        <v>78</v>
      </c>
      <c r="E65" s="103">
        <f>0.2+4.64-0.24+0.35+0.73+2.03+0.36+0.61+2.4+0.27+0.8+0.27+3+0.76+0.995+1.03+5.4</f>
        <v>23.605</v>
      </c>
      <c r="F65" s="134">
        <v>7.49</v>
      </c>
      <c r="G65" s="134">
        <v>11.907</v>
      </c>
      <c r="H65" s="134">
        <v>5.103</v>
      </c>
      <c r="I65" s="134">
        <f t="shared" ref="I65:I68" si="26">(F65+G65+H65)*0.09</f>
        <v>2.205</v>
      </c>
      <c r="J65" s="134">
        <f t="shared" si="23"/>
        <v>2.40345</v>
      </c>
      <c r="K65" s="134">
        <f t="shared" ref="K65:K68" si="27">F65+G65+H65+I65+J65</f>
        <v>29.10845</v>
      </c>
      <c r="L65" s="155">
        <f t="shared" si="25"/>
        <v>687.10496225</v>
      </c>
      <c r="M65" s="156"/>
      <c r="O65" s="190"/>
      <c r="P65" s="191"/>
      <c r="Q65" s="191"/>
      <c r="R65" s="191"/>
      <c r="S65" s="191"/>
    </row>
    <row r="66" s="189" customFormat="1" ht="54" customHeight="1" outlineLevel="1" spans="1:19">
      <c r="A66" s="156">
        <v>3.2</v>
      </c>
      <c r="B66" s="156" t="s">
        <v>79</v>
      </c>
      <c r="C66" s="157" t="s">
        <v>80</v>
      </c>
      <c r="D66" s="156" t="s">
        <v>78</v>
      </c>
      <c r="E66" s="103">
        <f>7.98-1.55</f>
        <v>6.43</v>
      </c>
      <c r="F66" s="134">
        <v>13.61</v>
      </c>
      <c r="G66" s="134">
        <v>87.976</v>
      </c>
      <c r="H66" s="155">
        <v>37.704</v>
      </c>
      <c r="I66" s="155">
        <f t="shared" si="26"/>
        <v>12.5361</v>
      </c>
      <c r="J66" s="190">
        <f t="shared" si="23"/>
        <v>13.664349</v>
      </c>
      <c r="K66" s="155">
        <f t="shared" si="27"/>
        <v>165.490449</v>
      </c>
      <c r="L66" s="155">
        <f t="shared" si="25"/>
        <v>1064.10358707</v>
      </c>
      <c r="M66" s="155"/>
      <c r="O66" s="190"/>
      <c r="P66" s="191"/>
      <c r="Q66" s="191"/>
      <c r="R66" s="191"/>
      <c r="S66" s="191"/>
    </row>
    <row r="67" s="189" customFormat="1" ht="63" customHeight="1" outlineLevel="1" spans="1:19">
      <c r="A67" s="156">
        <v>2.2</v>
      </c>
      <c r="B67" s="156" t="s">
        <v>81</v>
      </c>
      <c r="C67" s="157" t="s">
        <v>107</v>
      </c>
      <c r="D67" s="156" t="s">
        <v>64</v>
      </c>
      <c r="E67" s="103">
        <f>4.4+1.2*2.5</f>
        <v>7.4</v>
      </c>
      <c r="F67" s="134">
        <v>26.89</v>
      </c>
      <c r="G67" s="134">
        <v>388.92</v>
      </c>
      <c r="H67" s="155">
        <v>166.68</v>
      </c>
      <c r="I67" s="155">
        <f t="shared" si="26"/>
        <v>52.4241</v>
      </c>
      <c r="J67" s="155">
        <f t="shared" si="23"/>
        <v>57.142269</v>
      </c>
      <c r="K67" s="155">
        <f t="shared" si="27"/>
        <v>692.056369</v>
      </c>
      <c r="L67" s="155">
        <f t="shared" si="25"/>
        <v>5121.2171306</v>
      </c>
      <c r="M67" s="155"/>
      <c r="O67" s="190"/>
      <c r="P67" s="191"/>
      <c r="Q67" s="191"/>
      <c r="R67" s="191"/>
      <c r="S67" s="191"/>
    </row>
    <row r="68" s="189" customFormat="1" ht="120" customHeight="1" outlineLevel="1" spans="1:19">
      <c r="A68" s="156">
        <v>2.3</v>
      </c>
      <c r="B68" s="156" t="s">
        <v>83</v>
      </c>
      <c r="C68" s="157" t="s">
        <v>84</v>
      </c>
      <c r="D68" s="156" t="s">
        <v>85</v>
      </c>
      <c r="E68" s="103">
        <v>2</v>
      </c>
      <c r="F68" s="134">
        <v>114.54</v>
      </c>
      <c r="G68" s="134">
        <v>479.46</v>
      </c>
      <c r="H68" s="155">
        <v>294.154</v>
      </c>
      <c r="I68" s="155">
        <f t="shared" si="26"/>
        <v>79.93386</v>
      </c>
      <c r="J68" s="155">
        <f>(F68+G68+I68+H68)*0.09</f>
        <v>87.1279074</v>
      </c>
      <c r="K68" s="155">
        <f t="shared" si="27"/>
        <v>1055.2157674</v>
      </c>
      <c r="L68" s="155">
        <f t="shared" si="25"/>
        <v>2110.4315348</v>
      </c>
      <c r="M68" s="155"/>
      <c r="O68" s="190"/>
      <c r="P68" s="191"/>
      <c r="Q68" s="191"/>
      <c r="R68" s="191"/>
      <c r="S68" s="191"/>
    </row>
    <row r="69" s="189" customFormat="1" ht="69" customHeight="1" outlineLevel="1" spans="1:19">
      <c r="A69" s="156">
        <v>3</v>
      </c>
      <c r="B69" s="156" t="s">
        <v>86</v>
      </c>
      <c r="C69" s="156"/>
      <c r="D69" s="156"/>
      <c r="E69" s="103"/>
      <c r="F69" s="155"/>
      <c r="G69" s="155"/>
      <c r="H69" s="155"/>
      <c r="I69" s="155"/>
      <c r="J69" s="155"/>
      <c r="K69" s="155"/>
      <c r="L69" s="155"/>
      <c r="M69" s="155"/>
      <c r="O69" s="190"/>
      <c r="P69" s="191"/>
      <c r="Q69" s="191"/>
      <c r="R69" s="191"/>
      <c r="S69" s="191"/>
    </row>
    <row r="70" s="189" customFormat="1" ht="138" customHeight="1" outlineLevel="1" spans="1:19">
      <c r="A70" s="156">
        <v>3.1</v>
      </c>
      <c r="B70" s="156" t="s">
        <v>87</v>
      </c>
      <c r="C70" s="157" t="s">
        <v>88</v>
      </c>
      <c r="D70" s="156" t="s">
        <v>89</v>
      </c>
      <c r="E70" s="103">
        <v>3.94</v>
      </c>
      <c r="F70" s="134">
        <v>69.95</v>
      </c>
      <c r="G70" s="134">
        <v>100.73</v>
      </c>
      <c r="H70" s="134">
        <v>20.94</v>
      </c>
      <c r="I70" s="134">
        <f t="shared" ref="I70:I73" si="28">(F70+G70+H70)*0.09</f>
        <v>17.2458</v>
      </c>
      <c r="J70" s="134">
        <f t="shared" ref="J70:J73" si="29">(F70+G70+H70+I70)*0.09</f>
        <v>18.797922</v>
      </c>
      <c r="K70" s="134">
        <f t="shared" ref="K70:K73" si="30">F70+G70+H70+I70+J70</f>
        <v>227.663722</v>
      </c>
      <c r="L70" s="155">
        <f>E70*K70</f>
        <v>896.99506468</v>
      </c>
      <c r="M70" s="155"/>
      <c r="O70" s="190"/>
      <c r="P70" s="191"/>
      <c r="Q70" s="191"/>
      <c r="R70" s="191"/>
      <c r="S70" s="191"/>
    </row>
    <row r="71" s="189" customFormat="1" ht="102" customHeight="1" outlineLevel="1" spans="1:19">
      <c r="A71" s="156">
        <v>3.3</v>
      </c>
      <c r="B71" s="156" t="s">
        <v>90</v>
      </c>
      <c r="C71" s="157" t="s">
        <v>108</v>
      </c>
      <c r="D71" s="156" t="s">
        <v>64</v>
      </c>
      <c r="E71" s="103">
        <v>8.29</v>
      </c>
      <c r="F71" s="134">
        <v>50.95</v>
      </c>
      <c r="G71" s="134">
        <v>88.543</v>
      </c>
      <c r="H71" s="134">
        <v>25.157</v>
      </c>
      <c r="I71" s="134">
        <f t="shared" si="28"/>
        <v>14.8185</v>
      </c>
      <c r="J71" s="134">
        <f t="shared" si="29"/>
        <v>16.152165</v>
      </c>
      <c r="K71" s="134">
        <f t="shared" si="30"/>
        <v>195.620665</v>
      </c>
      <c r="L71" s="155">
        <f>E71*K71</f>
        <v>1621.69531285</v>
      </c>
      <c r="M71" s="155"/>
      <c r="O71" s="190"/>
      <c r="P71" s="191"/>
      <c r="Q71" s="191"/>
      <c r="R71" s="191"/>
      <c r="S71" s="191"/>
    </row>
    <row r="72" s="189" customFormat="1" ht="84" customHeight="1" outlineLevel="1" spans="1:19">
      <c r="A72" s="156">
        <v>3.4</v>
      </c>
      <c r="B72" s="156" t="s">
        <v>92</v>
      </c>
      <c r="C72" s="157" t="s">
        <v>109</v>
      </c>
      <c r="D72" s="156" t="s">
        <v>64</v>
      </c>
      <c r="E72" s="103">
        <f>3.42+11.04</f>
        <v>14.46</v>
      </c>
      <c r="F72" s="134">
        <v>15.52</v>
      </c>
      <c r="G72" s="134">
        <v>6.508</v>
      </c>
      <c r="H72" s="134">
        <v>5.932</v>
      </c>
      <c r="I72" s="134">
        <f t="shared" si="28"/>
        <v>2.5164</v>
      </c>
      <c r="J72" s="134">
        <f t="shared" si="29"/>
        <v>2.742876</v>
      </c>
      <c r="K72" s="134">
        <f t="shared" si="30"/>
        <v>33.219276</v>
      </c>
      <c r="L72" s="155">
        <f>E72*K72</f>
        <v>480.35073096</v>
      </c>
      <c r="M72" s="155"/>
      <c r="O72" s="190"/>
      <c r="P72" s="191"/>
      <c r="Q72" s="191"/>
      <c r="R72" s="191"/>
      <c r="S72" s="191"/>
    </row>
    <row r="73" s="189" customFormat="1" ht="72.95" customHeight="1" outlineLevel="1" spans="1:19">
      <c r="A73" s="156">
        <v>3.5</v>
      </c>
      <c r="B73" s="156" t="s">
        <v>94</v>
      </c>
      <c r="C73" s="157" t="s">
        <v>95</v>
      </c>
      <c r="D73" s="156" t="s">
        <v>78</v>
      </c>
      <c r="E73" s="103">
        <v>13.44</v>
      </c>
      <c r="F73" s="134">
        <v>25.62</v>
      </c>
      <c r="G73" s="134">
        <v>42.907</v>
      </c>
      <c r="H73" s="155">
        <v>2.45</v>
      </c>
      <c r="I73" s="155">
        <f t="shared" si="28"/>
        <v>6.38793</v>
      </c>
      <c r="J73" s="155">
        <f t="shared" si="29"/>
        <v>6.9628437</v>
      </c>
      <c r="K73" s="155">
        <f t="shared" si="30"/>
        <v>84.3277737</v>
      </c>
      <c r="L73" s="155">
        <f>E73*K73</f>
        <v>1133.365278528</v>
      </c>
      <c r="M73" s="202"/>
      <c r="O73" s="190"/>
      <c r="P73" s="191"/>
      <c r="Q73" s="191"/>
      <c r="R73" s="191"/>
      <c r="S73" s="191"/>
    </row>
    <row r="74" s="189" customFormat="1" ht="51" customHeight="1" outlineLevel="1" spans="1:19">
      <c r="A74" s="156">
        <v>4</v>
      </c>
      <c r="B74" s="156" t="s">
        <v>96</v>
      </c>
      <c r="C74" s="156"/>
      <c r="D74" s="156" t="s">
        <v>97</v>
      </c>
      <c r="E74" s="103"/>
      <c r="F74" s="155"/>
      <c r="G74" s="155"/>
      <c r="H74" s="155"/>
      <c r="I74" s="155"/>
      <c r="J74" s="155"/>
      <c r="K74" s="155"/>
      <c r="L74" s="155">
        <f>SUM(L60:L73)</f>
        <v>28993.762540666</v>
      </c>
      <c r="M74" s="202"/>
      <c r="O74" s="190"/>
      <c r="P74" s="191"/>
      <c r="Q74" s="191"/>
      <c r="R74" s="191"/>
      <c r="S74" s="191"/>
    </row>
    <row r="75" ht="54" customHeight="1" spans="1:13">
      <c r="A75" s="156" t="s">
        <v>40</v>
      </c>
      <c r="B75" s="199" t="s">
        <v>110</v>
      </c>
      <c r="C75" s="156" t="s">
        <v>99</v>
      </c>
      <c r="D75" s="200"/>
      <c r="E75" s="130"/>
      <c r="F75" s="155"/>
      <c r="G75" s="155"/>
      <c r="H75" s="155"/>
      <c r="I75" s="155"/>
      <c r="J75" s="155"/>
      <c r="K75" s="155"/>
      <c r="L75" s="155"/>
      <c r="M75" s="155" t="s">
        <v>111</v>
      </c>
    </row>
    <row r="76" outlineLevel="1" spans="1:13">
      <c r="A76" s="156">
        <v>1</v>
      </c>
      <c r="B76" s="156" t="s">
        <v>61</v>
      </c>
      <c r="C76" s="156"/>
      <c r="D76" s="156"/>
      <c r="E76" s="103"/>
      <c r="F76" s="155"/>
      <c r="G76" s="155"/>
      <c r="H76" s="155"/>
      <c r="I76" s="155"/>
      <c r="J76" s="155"/>
      <c r="K76" s="155"/>
      <c r="L76" s="155"/>
      <c r="M76" s="155"/>
    </row>
    <row r="77" ht="75" customHeight="1" outlineLevel="1" spans="1:13">
      <c r="A77" s="156">
        <v>1.1</v>
      </c>
      <c r="B77" s="156" t="s">
        <v>62</v>
      </c>
      <c r="C77" s="157" t="s">
        <v>63</v>
      </c>
      <c r="D77" s="156" t="s">
        <v>64</v>
      </c>
      <c r="E77" s="103">
        <v>34.66</v>
      </c>
      <c r="F77" s="134">
        <v>39.3</v>
      </c>
      <c r="G77" s="134">
        <v>70</v>
      </c>
      <c r="H77" s="134">
        <v>39.558</v>
      </c>
      <c r="I77" s="134">
        <f t="shared" ref="I77:I81" si="31">(F77+G77+H77)*0.09</f>
        <v>13.39722</v>
      </c>
      <c r="J77" s="134">
        <f t="shared" ref="J77:J84" si="32">(F77+G77+H77+I77)*0.09</f>
        <v>14.6029698</v>
      </c>
      <c r="K77" s="134">
        <f t="shared" ref="K77:K81" si="33">F77+G77+H77+I77+J77</f>
        <v>176.8581898</v>
      </c>
      <c r="L77" s="155">
        <f t="shared" ref="L77:L85" si="34">E77*K77</f>
        <v>6129.904858468</v>
      </c>
      <c r="M77" s="155" t="s">
        <v>65</v>
      </c>
    </row>
    <row r="78" outlineLevel="1" spans="1:13">
      <c r="A78" s="156">
        <v>2</v>
      </c>
      <c r="B78" s="156" t="s">
        <v>66</v>
      </c>
      <c r="C78" s="156"/>
      <c r="D78" s="156"/>
      <c r="E78" s="103"/>
      <c r="F78" s="155"/>
      <c r="G78" s="155"/>
      <c r="H78" s="155"/>
      <c r="I78" s="155"/>
      <c r="J78" s="155"/>
      <c r="K78" s="155"/>
      <c r="L78" s="155"/>
      <c r="M78" s="155"/>
    </row>
    <row r="79" ht="81" customHeight="1" outlineLevel="1" spans="1:13">
      <c r="A79" s="156">
        <v>2.1</v>
      </c>
      <c r="B79" s="195" t="s">
        <v>67</v>
      </c>
      <c r="C79" s="196" t="s">
        <v>68</v>
      </c>
      <c r="D79" s="156" t="s">
        <v>64</v>
      </c>
      <c r="E79" s="103">
        <f>5.9-4.4+(8.58-1.74)*0.08+4.84+4.97+5.99-4.3+1.75+4.87-3.75+1.46+3.12-2.16+(6.48-0.94)*0.08+5.76+3.12+5.34+6.38+14.94+0.83*1.78+17.62-2.74*2-0.75-2.98+17.62-1.6-1.6+2.88+5.86-2.92+5.86-2.92+2.88-0.52</f>
        <v>90.2478</v>
      </c>
      <c r="F79" s="134">
        <v>58</v>
      </c>
      <c r="G79" s="134">
        <v>61.999</v>
      </c>
      <c r="H79" s="134">
        <v>27.401</v>
      </c>
      <c r="I79" s="190">
        <f>(F79+H79+G79)*0.09</f>
        <v>13.266</v>
      </c>
      <c r="J79" s="134">
        <f t="shared" si="32"/>
        <v>14.45994</v>
      </c>
      <c r="K79" s="134">
        <f>SUBTOTAL(9,F79:J79)</f>
        <v>175.12594</v>
      </c>
      <c r="L79" s="155">
        <f t="shared" si="34"/>
        <v>15804.730807932</v>
      </c>
      <c r="M79" s="156" t="s">
        <v>112</v>
      </c>
    </row>
    <row r="80" ht="36" customHeight="1" outlineLevel="1" spans="1:13">
      <c r="A80" s="156"/>
      <c r="B80" s="195" t="s">
        <v>70</v>
      </c>
      <c r="C80" s="196" t="s">
        <v>71</v>
      </c>
      <c r="D80" s="156" t="s">
        <v>64</v>
      </c>
      <c r="E80" s="103"/>
      <c r="F80" s="134">
        <v>25.25</v>
      </c>
      <c r="G80" s="134">
        <v>137.312</v>
      </c>
      <c r="H80" s="156">
        <v>58.848</v>
      </c>
      <c r="I80" s="156">
        <f t="shared" si="31"/>
        <v>19.9269</v>
      </c>
      <c r="J80" s="156">
        <f t="shared" si="32"/>
        <v>21.720321</v>
      </c>
      <c r="K80" s="156">
        <f t="shared" si="33"/>
        <v>263.057221</v>
      </c>
      <c r="L80" s="155">
        <f t="shared" si="34"/>
        <v>0</v>
      </c>
      <c r="M80" s="156"/>
    </row>
    <row r="81" ht="45" outlineLevel="1" spans="1:13">
      <c r="A81" s="156"/>
      <c r="B81" s="195" t="s">
        <v>74</v>
      </c>
      <c r="C81" s="196" t="s">
        <v>75</v>
      </c>
      <c r="D81" s="156" t="s">
        <v>64</v>
      </c>
      <c r="E81" s="103">
        <v>3.75</v>
      </c>
      <c r="F81" s="134">
        <v>52.99</v>
      </c>
      <c r="G81" s="134">
        <v>132.258</v>
      </c>
      <c r="H81" s="156">
        <v>56.682</v>
      </c>
      <c r="I81" s="156">
        <f t="shared" si="31"/>
        <v>21.7737</v>
      </c>
      <c r="J81" s="156">
        <f t="shared" si="32"/>
        <v>23.733333</v>
      </c>
      <c r="K81" s="156">
        <f t="shared" si="33"/>
        <v>287.437033</v>
      </c>
      <c r="L81" s="155">
        <f t="shared" si="34"/>
        <v>1077.88887375</v>
      </c>
      <c r="M81" s="156"/>
    </row>
    <row r="82" ht="22.5" outlineLevel="1" spans="1:13">
      <c r="A82" s="156"/>
      <c r="B82" s="195" t="s">
        <v>76</v>
      </c>
      <c r="C82" s="198" t="s">
        <v>77</v>
      </c>
      <c r="D82" s="156" t="s">
        <v>78</v>
      </c>
      <c r="E82" s="103">
        <f>0.4+1.73+2.07+0.73+0.19+0.2+0.61+0.26+2.4+1.3+2.7+2.66+6.7+0.83+7.34-1.1*2-1.24+7.34-0.8*2+1.2+2.44-1.27+2.44-1.27+1.2</f>
        <v>37.16</v>
      </c>
      <c r="F82" s="134">
        <v>7.49</v>
      </c>
      <c r="G82" s="134">
        <v>11.907</v>
      </c>
      <c r="H82" s="134">
        <v>5.103</v>
      </c>
      <c r="I82" s="134">
        <f t="shared" ref="I82:I85" si="35">(F82+G82+H82)*0.09</f>
        <v>2.205</v>
      </c>
      <c r="J82" s="134">
        <f t="shared" si="32"/>
        <v>2.40345</v>
      </c>
      <c r="K82" s="134">
        <f t="shared" ref="K82:K85" si="36">F82+G82+H82+I82+J82</f>
        <v>29.10845</v>
      </c>
      <c r="L82" s="155">
        <f t="shared" si="34"/>
        <v>1081.670002</v>
      </c>
      <c r="M82" s="156"/>
    </row>
    <row r="83" ht="33.75" outlineLevel="1" spans="1:13">
      <c r="A83" s="156">
        <v>3.2</v>
      </c>
      <c r="B83" s="156" t="s">
        <v>79</v>
      </c>
      <c r="C83" s="157" t="s">
        <v>80</v>
      </c>
      <c r="D83" s="156" t="s">
        <v>78</v>
      </c>
      <c r="E83" s="103">
        <f>2.38*2+0.895*2</f>
        <v>6.55</v>
      </c>
      <c r="F83" s="134">
        <v>13.61</v>
      </c>
      <c r="G83" s="134">
        <v>87.976</v>
      </c>
      <c r="H83" s="155">
        <v>37.704</v>
      </c>
      <c r="I83" s="155">
        <f t="shared" si="35"/>
        <v>12.5361</v>
      </c>
      <c r="J83" s="190">
        <f t="shared" si="32"/>
        <v>13.664349</v>
      </c>
      <c r="K83" s="155">
        <f t="shared" si="36"/>
        <v>165.490449</v>
      </c>
      <c r="L83" s="155">
        <f t="shared" si="34"/>
        <v>1083.96244095</v>
      </c>
      <c r="M83" s="155"/>
    </row>
    <row r="84" ht="33.75" outlineLevel="1" spans="1:13">
      <c r="A84" s="156">
        <v>2.2</v>
      </c>
      <c r="B84" s="156" t="s">
        <v>81</v>
      </c>
      <c r="C84" s="157" t="s">
        <v>107</v>
      </c>
      <c r="D84" s="156" t="s">
        <v>64</v>
      </c>
      <c r="E84" s="103">
        <f>4.44+1.2*2.55</f>
        <v>7.5</v>
      </c>
      <c r="F84" s="134">
        <v>26.89</v>
      </c>
      <c r="G84" s="134">
        <v>388.92</v>
      </c>
      <c r="H84" s="155">
        <v>166.68</v>
      </c>
      <c r="I84" s="155">
        <f t="shared" si="35"/>
        <v>52.4241</v>
      </c>
      <c r="J84" s="155">
        <f t="shared" si="32"/>
        <v>57.142269</v>
      </c>
      <c r="K84" s="155">
        <f t="shared" si="36"/>
        <v>692.056369</v>
      </c>
      <c r="L84" s="155">
        <f t="shared" si="34"/>
        <v>5190.4227675</v>
      </c>
      <c r="M84" s="155"/>
    </row>
    <row r="85" ht="33.75" outlineLevel="1" spans="1:13">
      <c r="A85" s="156">
        <v>2.3</v>
      </c>
      <c r="B85" s="156" t="s">
        <v>83</v>
      </c>
      <c r="C85" s="157" t="s">
        <v>84</v>
      </c>
      <c r="D85" s="156" t="s">
        <v>85</v>
      </c>
      <c r="E85" s="103">
        <v>2</v>
      </c>
      <c r="F85" s="134">
        <v>114.54</v>
      </c>
      <c r="G85" s="134">
        <v>479.46</v>
      </c>
      <c r="H85" s="155">
        <v>234.154</v>
      </c>
      <c r="I85" s="155">
        <f t="shared" si="35"/>
        <v>74.53386</v>
      </c>
      <c r="J85" s="155">
        <f>(F85+G85+I85+H85)*0.09</f>
        <v>81.2419074</v>
      </c>
      <c r="K85" s="155">
        <f t="shared" si="36"/>
        <v>983.9297674</v>
      </c>
      <c r="L85" s="155">
        <f t="shared" si="34"/>
        <v>1967.8595348</v>
      </c>
      <c r="M85" s="155"/>
    </row>
    <row r="86" outlineLevel="1" spans="1:13">
      <c r="A86" s="156">
        <v>3</v>
      </c>
      <c r="B86" s="156" t="s">
        <v>86</v>
      </c>
      <c r="C86" s="156"/>
      <c r="D86" s="156"/>
      <c r="E86" s="103"/>
      <c r="F86" s="155"/>
      <c r="G86" s="155"/>
      <c r="H86" s="155"/>
      <c r="I86" s="155"/>
      <c r="J86" s="155"/>
      <c r="K86" s="155"/>
      <c r="L86" s="155"/>
      <c r="M86" s="155"/>
    </row>
    <row r="87" ht="123.75" outlineLevel="1" spans="1:13">
      <c r="A87" s="156">
        <v>3.1</v>
      </c>
      <c r="B87" s="156" t="s">
        <v>87</v>
      </c>
      <c r="C87" s="157" t="s">
        <v>88</v>
      </c>
      <c r="D87" s="156" t="s">
        <v>89</v>
      </c>
      <c r="E87" s="103">
        <v>3.72</v>
      </c>
      <c r="F87" s="134">
        <v>69.95</v>
      </c>
      <c r="G87" s="134">
        <v>100.73</v>
      </c>
      <c r="H87" s="134">
        <v>20.94</v>
      </c>
      <c r="I87" s="134">
        <f t="shared" ref="I87:I90" si="37">(F87+G87+H87)*0.09</f>
        <v>17.2458</v>
      </c>
      <c r="J87" s="134">
        <f t="shared" ref="J87:J90" si="38">(F87+G87+H87+I87)*0.09</f>
        <v>18.797922</v>
      </c>
      <c r="K87" s="134">
        <f t="shared" ref="K87:K90" si="39">F87+G87+H87+I87+J87</f>
        <v>227.663722</v>
      </c>
      <c r="L87" s="155">
        <f>E87*K87</f>
        <v>846.90904584</v>
      </c>
      <c r="M87" s="155"/>
    </row>
    <row r="88" ht="90" outlineLevel="1" spans="1:13">
      <c r="A88" s="156">
        <v>3.3</v>
      </c>
      <c r="B88" s="156" t="s">
        <v>90</v>
      </c>
      <c r="C88" s="157" t="s">
        <v>108</v>
      </c>
      <c r="D88" s="156" t="s">
        <v>64</v>
      </c>
      <c r="E88" s="103">
        <v>15.08</v>
      </c>
      <c r="F88" s="134">
        <v>50.95</v>
      </c>
      <c r="G88" s="134">
        <v>88.543</v>
      </c>
      <c r="H88" s="134">
        <v>25.157</v>
      </c>
      <c r="I88" s="134">
        <f t="shared" si="37"/>
        <v>14.8185</v>
      </c>
      <c r="J88" s="134">
        <f t="shared" si="38"/>
        <v>16.152165</v>
      </c>
      <c r="K88" s="134">
        <f t="shared" si="39"/>
        <v>195.620665</v>
      </c>
      <c r="L88" s="155">
        <f>E88*K88</f>
        <v>2949.9596282</v>
      </c>
      <c r="M88" s="155"/>
    </row>
    <row r="89" ht="56.25" outlineLevel="1" spans="1:13">
      <c r="A89" s="156">
        <v>3.4</v>
      </c>
      <c r="B89" s="156" t="s">
        <v>92</v>
      </c>
      <c r="C89" s="157" t="s">
        <v>109</v>
      </c>
      <c r="D89" s="156" t="s">
        <v>64</v>
      </c>
      <c r="E89" s="103">
        <f>2.73+5.86+5.22</f>
        <v>13.81</v>
      </c>
      <c r="F89" s="134">
        <v>15.52</v>
      </c>
      <c r="G89" s="134">
        <v>6.508</v>
      </c>
      <c r="H89" s="134">
        <v>5.932</v>
      </c>
      <c r="I89" s="134">
        <f t="shared" si="37"/>
        <v>2.5164</v>
      </c>
      <c r="J89" s="134">
        <f t="shared" si="38"/>
        <v>2.742876</v>
      </c>
      <c r="K89" s="134">
        <f t="shared" si="39"/>
        <v>33.219276</v>
      </c>
      <c r="L89" s="155">
        <f>E89*K89</f>
        <v>458.75820156</v>
      </c>
      <c r="M89" s="155"/>
    </row>
    <row r="90" ht="56.25" outlineLevel="1" spans="1:13">
      <c r="A90" s="156">
        <v>3.5</v>
      </c>
      <c r="B90" s="156" t="s">
        <v>94</v>
      </c>
      <c r="C90" s="157" t="s">
        <v>95</v>
      </c>
      <c r="D90" s="156" t="s">
        <v>78</v>
      </c>
      <c r="E90" s="103">
        <f>9.16+9.86</f>
        <v>19.02</v>
      </c>
      <c r="F90" s="134">
        <v>25.62</v>
      </c>
      <c r="G90" s="134">
        <v>42.907</v>
      </c>
      <c r="H90" s="155">
        <v>2.45</v>
      </c>
      <c r="I90" s="155">
        <f t="shared" si="37"/>
        <v>6.38793</v>
      </c>
      <c r="J90" s="155">
        <f t="shared" si="38"/>
        <v>6.9628437</v>
      </c>
      <c r="K90" s="155">
        <f t="shared" si="39"/>
        <v>84.3277737</v>
      </c>
      <c r="L90" s="155">
        <f>E90*K90</f>
        <v>1603.914255774</v>
      </c>
      <c r="M90" s="202"/>
    </row>
    <row r="91" ht="27.95" customHeight="1" outlineLevel="1" spans="1:13">
      <c r="A91" s="156">
        <v>4</v>
      </c>
      <c r="B91" s="156" t="s">
        <v>96</v>
      </c>
      <c r="C91" s="156"/>
      <c r="D91" s="156" t="s">
        <v>97</v>
      </c>
      <c r="E91" s="103"/>
      <c r="F91" s="155"/>
      <c r="G91" s="155"/>
      <c r="H91" s="155"/>
      <c r="I91" s="155"/>
      <c r="J91" s="155"/>
      <c r="K91" s="155"/>
      <c r="L91" s="155">
        <f>SUM(L77:L90)</f>
        <v>38195.980416774</v>
      </c>
      <c r="M91" s="202"/>
    </row>
    <row r="92" ht="78" customHeight="1" spans="1:13">
      <c r="A92" s="156" t="s">
        <v>42</v>
      </c>
      <c r="B92" s="203" t="s">
        <v>113</v>
      </c>
      <c r="C92" s="156" t="s">
        <v>99</v>
      </c>
      <c r="D92" s="200"/>
      <c r="E92" s="130"/>
      <c r="F92" s="155"/>
      <c r="G92" s="155"/>
      <c r="H92" s="155"/>
      <c r="I92" s="155"/>
      <c r="J92" s="155"/>
      <c r="K92" s="155"/>
      <c r="L92" s="155"/>
      <c r="M92" s="155" t="s">
        <v>114</v>
      </c>
    </row>
    <row r="93" ht="27" customHeight="1" outlineLevel="1" spans="1:13">
      <c r="A93" s="156">
        <v>1</v>
      </c>
      <c r="B93" s="156" t="s">
        <v>61</v>
      </c>
      <c r="C93" s="156"/>
      <c r="D93" s="156"/>
      <c r="E93" s="103"/>
      <c r="F93" s="155"/>
      <c r="G93" s="155"/>
      <c r="H93" s="155"/>
      <c r="I93" s="155"/>
      <c r="J93" s="155"/>
      <c r="K93" s="155"/>
      <c r="L93" s="155"/>
      <c r="M93" s="155"/>
    </row>
    <row r="94" ht="81" customHeight="1" outlineLevel="1" spans="1:13">
      <c r="A94" s="103">
        <v>1.1</v>
      </c>
      <c r="B94" s="156" t="s">
        <v>62</v>
      </c>
      <c r="C94" s="157" t="s">
        <v>63</v>
      </c>
      <c r="D94" s="156" t="s">
        <v>64</v>
      </c>
      <c r="E94" s="103">
        <v>38.43</v>
      </c>
      <c r="F94" s="134">
        <v>39.3</v>
      </c>
      <c r="G94" s="134">
        <v>70</v>
      </c>
      <c r="H94" s="134">
        <v>39.558</v>
      </c>
      <c r="I94" s="134">
        <f t="shared" ref="I94:I98" si="40">(F94+G94+H94)*0.09</f>
        <v>13.39722</v>
      </c>
      <c r="J94" s="134">
        <f t="shared" ref="J94:J101" si="41">(F94+G94+H94+I94)*0.09</f>
        <v>14.6029698</v>
      </c>
      <c r="K94" s="134">
        <f t="shared" ref="K94:K98" si="42">F94+G94+H94+I94+J94</f>
        <v>176.8581898</v>
      </c>
      <c r="L94" s="155">
        <f t="shared" ref="L94:L102" si="43">E94*K94</f>
        <v>6796.660234014</v>
      </c>
      <c r="M94" s="155" t="s">
        <v>65</v>
      </c>
    </row>
    <row r="95" outlineLevel="1" spans="1:13">
      <c r="A95" s="156">
        <v>2</v>
      </c>
      <c r="B95" s="156" t="s">
        <v>66</v>
      </c>
      <c r="C95" s="156"/>
      <c r="D95" s="156"/>
      <c r="E95" s="103"/>
      <c r="F95" s="155"/>
      <c r="G95" s="155"/>
      <c r="H95" s="155"/>
      <c r="I95" s="155"/>
      <c r="J95" s="155"/>
      <c r="K95" s="155"/>
      <c r="L95" s="155"/>
      <c r="M95" s="155"/>
    </row>
    <row r="96" ht="67.5" outlineLevel="1" spans="1:13">
      <c r="A96" s="156">
        <v>2.1</v>
      </c>
      <c r="B96" s="195" t="s">
        <v>67</v>
      </c>
      <c r="C96" s="196" t="s">
        <v>68</v>
      </c>
      <c r="D96" s="156" t="s">
        <v>64</v>
      </c>
      <c r="E96" s="103">
        <f>10.19-7.37+(10.88-2.89)*0.08+10.19-2.98+9.74-8.65+5.83+5.83+9.77-2.16+8.4-2.74+6.24-2.74+17.62-2.92*2+5.52-0.75-1.6+8.5-0.52+8.5+5.52-0.75-1.6</f>
        <v>74.7892</v>
      </c>
      <c r="F96" s="134">
        <v>58</v>
      </c>
      <c r="G96" s="134">
        <v>61.999</v>
      </c>
      <c r="H96" s="134">
        <v>27.401</v>
      </c>
      <c r="I96" s="190">
        <f>(F96+H96+G96)*0.09</f>
        <v>13.266</v>
      </c>
      <c r="J96" s="134">
        <f t="shared" si="41"/>
        <v>14.45994</v>
      </c>
      <c r="K96" s="134">
        <f>SUBTOTAL(9,F96:J96)</f>
        <v>175.12594</v>
      </c>
      <c r="L96" s="155">
        <f t="shared" si="43"/>
        <v>13097.528951848</v>
      </c>
      <c r="M96" s="156" t="s">
        <v>112</v>
      </c>
    </row>
    <row r="97" ht="39.95" customHeight="1" outlineLevel="1" spans="1:13">
      <c r="A97" s="156">
        <v>2.2</v>
      </c>
      <c r="B97" s="195" t="s">
        <v>70</v>
      </c>
      <c r="C97" s="196" t="s">
        <v>71</v>
      </c>
      <c r="D97" s="156" t="s">
        <v>64</v>
      </c>
      <c r="E97" s="103"/>
      <c r="F97" s="134">
        <v>25.25</v>
      </c>
      <c r="G97" s="134">
        <v>137.312</v>
      </c>
      <c r="H97" s="156">
        <v>58.848</v>
      </c>
      <c r="I97" s="156">
        <f t="shared" si="40"/>
        <v>19.9269</v>
      </c>
      <c r="J97" s="156">
        <f t="shared" si="41"/>
        <v>21.720321</v>
      </c>
      <c r="K97" s="156">
        <f t="shared" si="42"/>
        <v>263.057221</v>
      </c>
      <c r="L97" s="155">
        <f t="shared" si="43"/>
        <v>0</v>
      </c>
      <c r="M97" s="156"/>
    </row>
    <row r="98" ht="60.95" customHeight="1" outlineLevel="1" spans="1:13">
      <c r="A98" s="156">
        <v>2.3</v>
      </c>
      <c r="B98" s="195" t="s">
        <v>74</v>
      </c>
      <c r="C98" s="196" t="s">
        <v>75</v>
      </c>
      <c r="D98" s="156" t="s">
        <v>64</v>
      </c>
      <c r="E98" s="103">
        <v>8.65</v>
      </c>
      <c r="F98" s="134">
        <v>52.99</v>
      </c>
      <c r="G98" s="134">
        <v>132.258</v>
      </c>
      <c r="H98" s="156">
        <v>56.682</v>
      </c>
      <c r="I98" s="156">
        <f t="shared" si="40"/>
        <v>21.7737</v>
      </c>
      <c r="J98" s="156">
        <f t="shared" si="41"/>
        <v>23.733333</v>
      </c>
      <c r="K98" s="156">
        <f t="shared" si="42"/>
        <v>287.437033</v>
      </c>
      <c r="L98" s="155">
        <f t="shared" si="43"/>
        <v>2486.33033545</v>
      </c>
      <c r="M98" s="156"/>
    </row>
    <row r="99" ht="42" customHeight="1" outlineLevel="1" spans="1:13">
      <c r="A99" s="156">
        <v>2.4</v>
      </c>
      <c r="B99" s="195" t="s">
        <v>76</v>
      </c>
      <c r="C99" s="198" t="s">
        <v>77</v>
      </c>
      <c r="D99" s="156" t="s">
        <v>78</v>
      </c>
      <c r="E99" s="103">
        <f>0.75+2.4+0.2+0.19+2.43+2.43+2.44+0.1+0.4+1.96+0.76+0.7+7.34-1.27*2+1.43+3.54+3.54+1.43</f>
        <v>29.5</v>
      </c>
      <c r="F99" s="134">
        <v>7.49</v>
      </c>
      <c r="G99" s="134">
        <v>11.907</v>
      </c>
      <c r="H99" s="134">
        <v>5.103</v>
      </c>
      <c r="I99" s="134">
        <f t="shared" ref="I99:I102" si="44">(F99+G99+H99)*0.09</f>
        <v>2.205</v>
      </c>
      <c r="J99" s="134">
        <f t="shared" si="41"/>
        <v>2.40345</v>
      </c>
      <c r="K99" s="134">
        <f t="shared" ref="K99:K102" si="45">F99+G99+H99+I99+J99</f>
        <v>29.10845</v>
      </c>
      <c r="L99" s="155">
        <f t="shared" si="43"/>
        <v>858.699275</v>
      </c>
      <c r="M99" s="156"/>
    </row>
    <row r="100" ht="33.75" outlineLevel="1" spans="1:13">
      <c r="A100" s="156">
        <v>2.5</v>
      </c>
      <c r="B100" s="156" t="s">
        <v>79</v>
      </c>
      <c r="C100" s="157" t="s">
        <v>80</v>
      </c>
      <c r="D100" s="156" t="s">
        <v>78</v>
      </c>
      <c r="E100" s="103">
        <f>2.4*2+1.2</f>
        <v>6</v>
      </c>
      <c r="F100" s="134">
        <v>13.61</v>
      </c>
      <c r="G100" s="134">
        <v>87.976</v>
      </c>
      <c r="H100" s="155">
        <v>37.704</v>
      </c>
      <c r="I100" s="155">
        <f t="shared" si="44"/>
        <v>12.5361</v>
      </c>
      <c r="J100" s="190">
        <f t="shared" si="41"/>
        <v>13.664349</v>
      </c>
      <c r="K100" s="155">
        <f t="shared" si="45"/>
        <v>165.490449</v>
      </c>
      <c r="L100" s="155">
        <f t="shared" si="43"/>
        <v>992.942694</v>
      </c>
      <c r="M100" s="155"/>
    </row>
    <row r="101" ht="33.75" outlineLevel="1" spans="1:13">
      <c r="A101" s="156">
        <v>2.6</v>
      </c>
      <c r="B101" s="156" t="s">
        <v>81</v>
      </c>
      <c r="C101" s="157" t="s">
        <v>107</v>
      </c>
      <c r="D101" s="156" t="s">
        <v>64</v>
      </c>
      <c r="E101" s="103">
        <f>7.37+12*2.55</f>
        <v>37.97</v>
      </c>
      <c r="F101" s="134">
        <v>26.89</v>
      </c>
      <c r="G101" s="134">
        <v>388.92</v>
      </c>
      <c r="H101" s="155">
        <v>166.68</v>
      </c>
      <c r="I101" s="155">
        <f t="shared" si="44"/>
        <v>52.4241</v>
      </c>
      <c r="J101" s="155">
        <f t="shared" si="41"/>
        <v>57.142269</v>
      </c>
      <c r="K101" s="155">
        <f t="shared" si="45"/>
        <v>692.056369</v>
      </c>
      <c r="L101" s="155">
        <f t="shared" si="43"/>
        <v>26277.38033093</v>
      </c>
      <c r="M101" s="155"/>
    </row>
    <row r="102" ht="33.75" outlineLevel="1" spans="1:13">
      <c r="A102" s="156">
        <v>2.7</v>
      </c>
      <c r="B102" s="156" t="s">
        <v>83</v>
      </c>
      <c r="C102" s="157" t="s">
        <v>84</v>
      </c>
      <c r="D102" s="156" t="s">
        <v>85</v>
      </c>
      <c r="E102" s="103">
        <v>2</v>
      </c>
      <c r="F102" s="134">
        <v>114.54</v>
      </c>
      <c r="G102" s="134">
        <v>479.46</v>
      </c>
      <c r="H102" s="155">
        <v>234.154</v>
      </c>
      <c r="I102" s="155">
        <f t="shared" si="44"/>
        <v>74.53386</v>
      </c>
      <c r="J102" s="155">
        <f>(F102+G102+I102+H102)*0.09</f>
        <v>81.2419074</v>
      </c>
      <c r="K102" s="155">
        <f t="shared" si="45"/>
        <v>983.9297674</v>
      </c>
      <c r="L102" s="155">
        <f t="shared" si="43"/>
        <v>1967.8595348</v>
      </c>
      <c r="M102" s="155"/>
    </row>
    <row r="103" outlineLevel="1" spans="1:13">
      <c r="A103" s="156">
        <v>3</v>
      </c>
      <c r="B103" s="156" t="s">
        <v>86</v>
      </c>
      <c r="C103" s="156"/>
      <c r="D103" s="156"/>
      <c r="E103" s="103"/>
      <c r="F103" s="155"/>
      <c r="G103" s="155"/>
      <c r="H103" s="155"/>
      <c r="I103" s="155"/>
      <c r="J103" s="155"/>
      <c r="K103" s="155"/>
      <c r="L103" s="155"/>
      <c r="M103" s="155"/>
    </row>
    <row r="104" ht="123.75" outlineLevel="1" spans="1:13">
      <c r="A104" s="156">
        <v>3.1</v>
      </c>
      <c r="B104" s="156" t="s">
        <v>87</v>
      </c>
      <c r="C104" s="157" t="s">
        <v>88</v>
      </c>
      <c r="D104" s="156" t="s">
        <v>89</v>
      </c>
      <c r="E104" s="103">
        <v>12.7</v>
      </c>
      <c r="F104" s="134">
        <v>69.95</v>
      </c>
      <c r="G104" s="134">
        <v>100.73</v>
      </c>
      <c r="H104" s="134">
        <v>20.94</v>
      </c>
      <c r="I104" s="134">
        <f t="shared" ref="I104:I107" si="46">(F104+G104+H104)*0.09</f>
        <v>17.2458</v>
      </c>
      <c r="J104" s="134">
        <f t="shared" ref="J104:J107" si="47">(F104+G104+H104+I104)*0.09</f>
        <v>18.797922</v>
      </c>
      <c r="K104" s="134">
        <f t="shared" ref="K104:K107" si="48">F104+G104+H104+I104+J104</f>
        <v>227.663722</v>
      </c>
      <c r="L104" s="155">
        <f>E104*K104</f>
        <v>2891.3292694</v>
      </c>
      <c r="M104" s="155"/>
    </row>
    <row r="105" ht="90" outlineLevel="1" spans="1:13">
      <c r="A105" s="156">
        <v>3.3</v>
      </c>
      <c r="B105" s="156" t="s">
        <v>90</v>
      </c>
      <c r="C105" s="157" t="s">
        <v>108</v>
      </c>
      <c r="D105" s="156" t="s">
        <v>64</v>
      </c>
      <c r="E105" s="103">
        <v>8.46</v>
      </c>
      <c r="F105" s="134">
        <v>50.95</v>
      </c>
      <c r="G105" s="134">
        <v>88.543</v>
      </c>
      <c r="H105" s="134">
        <v>25.157</v>
      </c>
      <c r="I105" s="134">
        <f t="shared" si="46"/>
        <v>14.8185</v>
      </c>
      <c r="J105" s="134">
        <f t="shared" si="47"/>
        <v>16.152165</v>
      </c>
      <c r="K105" s="134">
        <f t="shared" si="48"/>
        <v>195.620665</v>
      </c>
      <c r="L105" s="155">
        <f>E105*K105</f>
        <v>1654.9508259</v>
      </c>
      <c r="M105" s="155"/>
    </row>
    <row r="106" ht="56.25" outlineLevel="1" spans="1:13">
      <c r="A106" s="156">
        <v>3.4</v>
      </c>
      <c r="B106" s="156" t="s">
        <v>92</v>
      </c>
      <c r="C106" s="157" t="s">
        <v>109</v>
      </c>
      <c r="D106" s="156" t="s">
        <v>64</v>
      </c>
      <c r="E106" s="103">
        <f>6.87+8.35</f>
        <v>15.22</v>
      </c>
      <c r="F106" s="134">
        <v>15.52</v>
      </c>
      <c r="G106" s="134">
        <v>6.508</v>
      </c>
      <c r="H106" s="134">
        <v>5.932</v>
      </c>
      <c r="I106" s="134">
        <f t="shared" si="46"/>
        <v>2.5164</v>
      </c>
      <c r="J106" s="134">
        <f t="shared" si="47"/>
        <v>2.742876</v>
      </c>
      <c r="K106" s="134">
        <f t="shared" si="48"/>
        <v>33.219276</v>
      </c>
      <c r="L106" s="155">
        <f>E106*K106</f>
        <v>505.59738072</v>
      </c>
      <c r="M106" s="155"/>
    </row>
    <row r="107" ht="56.25" outlineLevel="1" spans="1:13">
      <c r="A107" s="156">
        <v>3.5</v>
      </c>
      <c r="B107" s="156" t="s">
        <v>94</v>
      </c>
      <c r="C107" s="157" t="s">
        <v>95</v>
      </c>
      <c r="D107" s="156" t="s">
        <v>78</v>
      </c>
      <c r="E107" s="103">
        <f>10.96+11.83</f>
        <v>22.79</v>
      </c>
      <c r="F107" s="134">
        <v>25.62</v>
      </c>
      <c r="G107" s="134">
        <v>42.907</v>
      </c>
      <c r="H107" s="155">
        <v>2.45</v>
      </c>
      <c r="I107" s="155">
        <f t="shared" si="46"/>
        <v>6.38793</v>
      </c>
      <c r="J107" s="155">
        <f t="shared" si="47"/>
        <v>6.9628437</v>
      </c>
      <c r="K107" s="155">
        <f t="shared" si="48"/>
        <v>84.3277737</v>
      </c>
      <c r="L107" s="155">
        <f>E107*K107</f>
        <v>1921.829962623</v>
      </c>
      <c r="M107" s="202"/>
    </row>
    <row r="108" ht="24" customHeight="1" outlineLevel="1" spans="1:13">
      <c r="A108" s="156">
        <v>4</v>
      </c>
      <c r="B108" s="156" t="s">
        <v>96</v>
      </c>
      <c r="C108" s="156"/>
      <c r="D108" s="156" t="s">
        <v>97</v>
      </c>
      <c r="E108" s="103"/>
      <c r="F108" s="155"/>
      <c r="G108" s="155"/>
      <c r="H108" s="155"/>
      <c r="I108" s="155"/>
      <c r="J108" s="155"/>
      <c r="K108" s="155"/>
      <c r="L108" s="155">
        <f>SUM(L94:L107)</f>
        <v>59451.108794685</v>
      </c>
      <c r="M108" s="202"/>
    </row>
    <row r="109" ht="30.95" customHeight="1" spans="1:13">
      <c r="A109" s="156" t="s">
        <v>115</v>
      </c>
      <c r="B109" s="203" t="s">
        <v>116</v>
      </c>
      <c r="C109" s="156" t="s">
        <v>99</v>
      </c>
      <c r="D109" s="200"/>
      <c r="E109" s="130"/>
      <c r="F109" s="155"/>
      <c r="G109" s="155"/>
      <c r="H109" s="155"/>
      <c r="I109" s="155"/>
      <c r="J109" s="155"/>
      <c r="K109" s="155"/>
      <c r="L109" s="155"/>
      <c r="M109" s="155" t="s">
        <v>60</v>
      </c>
    </row>
    <row r="110" ht="24" customHeight="1" outlineLevel="1" spans="1:13">
      <c r="A110" s="156">
        <v>1</v>
      </c>
      <c r="B110" s="156" t="s">
        <v>61</v>
      </c>
      <c r="C110" s="156"/>
      <c r="D110" s="156"/>
      <c r="E110" s="103"/>
      <c r="F110" s="155"/>
      <c r="G110" s="155"/>
      <c r="H110" s="155"/>
      <c r="I110" s="155"/>
      <c r="J110" s="155"/>
      <c r="K110" s="155"/>
      <c r="L110" s="155"/>
      <c r="M110" s="155"/>
    </row>
    <row r="111" ht="77.1" customHeight="1" outlineLevel="1" spans="1:13">
      <c r="A111" s="103">
        <v>1.1</v>
      </c>
      <c r="B111" s="156" t="s">
        <v>62</v>
      </c>
      <c r="C111" s="157" t="s">
        <v>63</v>
      </c>
      <c r="D111" s="156" t="s">
        <v>64</v>
      </c>
      <c r="E111" s="103">
        <v>47.14</v>
      </c>
      <c r="F111" s="134">
        <v>39.3</v>
      </c>
      <c r="G111" s="134">
        <v>70</v>
      </c>
      <c r="H111" s="134">
        <v>39.558</v>
      </c>
      <c r="I111" s="134">
        <f t="shared" ref="I111:I115" si="49">(F111+G111+H111)*0.09</f>
        <v>13.39722</v>
      </c>
      <c r="J111" s="134">
        <f t="shared" ref="J111:J118" si="50">(F111+G111+H111+I111)*0.09</f>
        <v>14.6029698</v>
      </c>
      <c r="K111" s="134">
        <f t="shared" ref="K111:K115" si="51">F111+G111+H111+I111+J111</f>
        <v>176.8581898</v>
      </c>
      <c r="L111" s="155">
        <f t="shared" ref="L111:L119" si="52">E111*K111</f>
        <v>8337.095067172</v>
      </c>
      <c r="M111" s="155" t="s">
        <v>65</v>
      </c>
    </row>
    <row r="112" ht="27" customHeight="1" outlineLevel="1" spans="1:13">
      <c r="A112" s="156">
        <v>2</v>
      </c>
      <c r="B112" s="156" t="s">
        <v>66</v>
      </c>
      <c r="C112" s="156"/>
      <c r="D112" s="156"/>
      <c r="E112" s="103"/>
      <c r="F112" s="155"/>
      <c r="G112" s="155"/>
      <c r="H112" s="155"/>
      <c r="I112" s="155"/>
      <c r="J112" s="155"/>
      <c r="K112" s="155"/>
      <c r="L112" s="155"/>
      <c r="M112" s="155"/>
    </row>
    <row r="113" ht="67.5" outlineLevel="1" spans="1:13">
      <c r="A113" s="156">
        <v>2.1</v>
      </c>
      <c r="B113" s="195" t="s">
        <v>67</v>
      </c>
      <c r="C113" s="196" t="s">
        <v>68</v>
      </c>
      <c r="D113" s="156" t="s">
        <v>64</v>
      </c>
      <c r="E113" s="201">
        <f>19.16*4.8-2.34*2.4-5.4*4.35-13.63+(3.79+2.74+2.24+0.7+1.56)*2.4-2.34*2.4-0.8*2+(16.76-2.04-1.14*2)*2.73-1.2*2.3*2-2.1*1</f>
        <v>94.8292</v>
      </c>
      <c r="F113" s="134">
        <v>58</v>
      </c>
      <c r="G113" s="134">
        <v>61.999</v>
      </c>
      <c r="H113" s="134">
        <v>27.401</v>
      </c>
      <c r="I113" s="190">
        <f>(F113+H113+G113)*0.09</f>
        <v>13.266</v>
      </c>
      <c r="J113" s="134">
        <f t="shared" si="50"/>
        <v>14.45994</v>
      </c>
      <c r="K113" s="134">
        <f>SUBTOTAL(9,F113:J113)</f>
        <v>175.12594</v>
      </c>
      <c r="L113" s="155">
        <f t="shared" si="52"/>
        <v>16607.052789448</v>
      </c>
      <c r="M113" s="156" t="s">
        <v>112</v>
      </c>
    </row>
    <row r="114" ht="36.95" customHeight="1" outlineLevel="1" spans="1:13">
      <c r="A114" s="156">
        <v>2.2</v>
      </c>
      <c r="B114" s="195" t="s">
        <v>70</v>
      </c>
      <c r="C114" s="196" t="s">
        <v>71</v>
      </c>
      <c r="D114" s="156" t="s">
        <v>64</v>
      </c>
      <c r="E114" s="103"/>
      <c r="F114" s="134">
        <v>25.25</v>
      </c>
      <c r="G114" s="134">
        <v>137.312</v>
      </c>
      <c r="H114" s="156">
        <v>58.848</v>
      </c>
      <c r="I114" s="156">
        <f t="shared" si="49"/>
        <v>19.9269</v>
      </c>
      <c r="J114" s="156">
        <f t="shared" si="50"/>
        <v>21.720321</v>
      </c>
      <c r="K114" s="156">
        <f t="shared" si="51"/>
        <v>263.057221</v>
      </c>
      <c r="L114" s="155">
        <f t="shared" si="52"/>
        <v>0</v>
      </c>
      <c r="M114" s="156"/>
    </row>
    <row r="115" ht="54" customHeight="1" outlineLevel="1" spans="1:13">
      <c r="A115" s="156">
        <v>2.3</v>
      </c>
      <c r="B115" s="195" t="s">
        <v>74</v>
      </c>
      <c r="C115" s="196" t="s">
        <v>75</v>
      </c>
      <c r="D115" s="156" t="s">
        <v>64</v>
      </c>
      <c r="E115" s="103">
        <v>13.63</v>
      </c>
      <c r="F115" s="134">
        <v>52.99</v>
      </c>
      <c r="G115" s="134">
        <v>132.258</v>
      </c>
      <c r="H115" s="156">
        <v>56.682</v>
      </c>
      <c r="I115" s="156">
        <f t="shared" si="49"/>
        <v>21.7737</v>
      </c>
      <c r="J115" s="156">
        <f t="shared" si="50"/>
        <v>23.733333</v>
      </c>
      <c r="K115" s="156">
        <f t="shared" si="51"/>
        <v>287.437033</v>
      </c>
      <c r="L115" s="155">
        <f t="shared" si="52"/>
        <v>3917.76675979</v>
      </c>
      <c r="M115" s="156"/>
    </row>
    <row r="116" ht="40" customHeight="1" outlineLevel="1" spans="1:13">
      <c r="A116" s="156">
        <v>2.4</v>
      </c>
      <c r="B116" s="195" t="s">
        <v>76</v>
      </c>
      <c r="C116" s="198" t="s">
        <v>77</v>
      </c>
      <c r="D116" s="156" t="s">
        <v>78</v>
      </c>
      <c r="E116" s="103">
        <f>19.16-2.34-5.4+3.79+2.74+2.24+0.7+1.56-2.34-0.8+16.76-2.04-1.14*2-1.2*2-1</f>
        <v>28.35</v>
      </c>
      <c r="F116" s="134">
        <v>7.49</v>
      </c>
      <c r="G116" s="134">
        <v>11.907</v>
      </c>
      <c r="H116" s="134">
        <v>5.103</v>
      </c>
      <c r="I116" s="134">
        <f t="shared" ref="I116:I119" si="53">(F116+G116+H116)*0.09</f>
        <v>2.205</v>
      </c>
      <c r="J116" s="134">
        <f t="shared" si="50"/>
        <v>2.40345</v>
      </c>
      <c r="K116" s="134">
        <f t="shared" ref="K116:K119" si="54">F116+G116+H116+I116+J116</f>
        <v>29.10845</v>
      </c>
      <c r="L116" s="155">
        <f t="shared" si="52"/>
        <v>825.2245575</v>
      </c>
      <c r="M116" s="156"/>
    </row>
    <row r="117" ht="48" customHeight="1" outlineLevel="1" spans="1:13">
      <c r="A117" s="156">
        <v>2.5</v>
      </c>
      <c r="B117" s="156" t="s">
        <v>79</v>
      </c>
      <c r="C117" s="157" t="s">
        <v>80</v>
      </c>
      <c r="D117" s="156" t="s">
        <v>78</v>
      </c>
      <c r="E117" s="103">
        <f>2.4*2+2.34</f>
        <v>7.14</v>
      </c>
      <c r="F117" s="134">
        <v>13.61</v>
      </c>
      <c r="G117" s="134">
        <v>87.976</v>
      </c>
      <c r="H117" s="155">
        <v>37.704</v>
      </c>
      <c r="I117" s="155">
        <f t="shared" si="53"/>
        <v>12.5361</v>
      </c>
      <c r="J117" s="190">
        <f t="shared" si="50"/>
        <v>13.664349</v>
      </c>
      <c r="K117" s="155">
        <f t="shared" si="54"/>
        <v>165.490449</v>
      </c>
      <c r="L117" s="155">
        <f t="shared" si="52"/>
        <v>1181.60180586</v>
      </c>
      <c r="M117" s="155"/>
    </row>
    <row r="118" ht="44.1" customHeight="1" outlineLevel="1" spans="1:13">
      <c r="A118" s="156">
        <v>2.6</v>
      </c>
      <c r="B118" s="156" t="s">
        <v>81</v>
      </c>
      <c r="C118" s="157" t="s">
        <v>117</v>
      </c>
      <c r="D118" s="156" t="s">
        <v>64</v>
      </c>
      <c r="E118" s="201">
        <f>5.4*4.35</f>
        <v>23.49</v>
      </c>
      <c r="F118" s="134">
        <v>26.89</v>
      </c>
      <c r="G118" s="134">
        <v>388.92</v>
      </c>
      <c r="H118" s="155">
        <v>166.68</v>
      </c>
      <c r="I118" s="155">
        <f t="shared" si="53"/>
        <v>52.4241</v>
      </c>
      <c r="J118" s="155">
        <f t="shared" si="50"/>
        <v>57.142269</v>
      </c>
      <c r="K118" s="155">
        <f t="shared" si="54"/>
        <v>692.056369</v>
      </c>
      <c r="L118" s="155">
        <f t="shared" si="52"/>
        <v>16256.40410781</v>
      </c>
      <c r="M118" s="155"/>
    </row>
    <row r="119" ht="39" customHeight="1" outlineLevel="1" spans="1:13">
      <c r="A119" s="156">
        <v>2.7</v>
      </c>
      <c r="B119" s="156" t="s">
        <v>83</v>
      </c>
      <c r="C119" s="157" t="s">
        <v>84</v>
      </c>
      <c r="D119" s="156" t="s">
        <v>85</v>
      </c>
      <c r="E119" s="103">
        <v>2</v>
      </c>
      <c r="F119" s="134">
        <v>114.54</v>
      </c>
      <c r="G119" s="134">
        <v>479.46</v>
      </c>
      <c r="H119" s="155">
        <v>234.154</v>
      </c>
      <c r="I119" s="155">
        <f t="shared" si="53"/>
        <v>74.53386</v>
      </c>
      <c r="J119" s="155">
        <f>(F119+G119+I119+H119)*0.09</f>
        <v>81.2419074</v>
      </c>
      <c r="K119" s="155">
        <f t="shared" si="54"/>
        <v>983.9297674</v>
      </c>
      <c r="L119" s="155">
        <f t="shared" si="52"/>
        <v>1967.8595348</v>
      </c>
      <c r="M119" s="155"/>
    </row>
    <row r="120" outlineLevel="1" spans="1:13">
      <c r="A120" s="156">
        <v>3</v>
      </c>
      <c r="B120" s="156" t="s">
        <v>86</v>
      </c>
      <c r="C120" s="156"/>
      <c r="D120" s="156"/>
      <c r="E120" s="103"/>
      <c r="F120" s="155"/>
      <c r="G120" s="155"/>
      <c r="H120" s="155"/>
      <c r="I120" s="155"/>
      <c r="J120" s="155"/>
      <c r="K120" s="155"/>
      <c r="L120" s="155"/>
      <c r="M120" s="155"/>
    </row>
    <row r="121" ht="123.75" outlineLevel="1" spans="1:13">
      <c r="A121" s="156">
        <v>3.1</v>
      </c>
      <c r="B121" s="156" t="s">
        <v>87</v>
      </c>
      <c r="C121" s="157" t="s">
        <v>88</v>
      </c>
      <c r="D121" s="156" t="s">
        <v>89</v>
      </c>
      <c r="E121" s="103">
        <v>20.54</v>
      </c>
      <c r="F121" s="134">
        <v>69.95</v>
      </c>
      <c r="G121" s="134">
        <v>100.73</v>
      </c>
      <c r="H121" s="134">
        <v>20.94</v>
      </c>
      <c r="I121" s="134">
        <f t="shared" ref="I121:I124" si="55">(F121+G121+H121)*0.09</f>
        <v>17.2458</v>
      </c>
      <c r="J121" s="134">
        <f t="shared" ref="J121:J124" si="56">(F121+G121+H121+I121)*0.09</f>
        <v>18.797922</v>
      </c>
      <c r="K121" s="134">
        <f t="shared" ref="K121:K124" si="57">F121+G121+H121+I121+J121</f>
        <v>227.663722</v>
      </c>
      <c r="L121" s="155">
        <f>E121*K121</f>
        <v>4676.21284988</v>
      </c>
      <c r="M121" s="155"/>
    </row>
    <row r="122" ht="121.5" customHeight="1" outlineLevel="1" spans="1:13">
      <c r="A122" s="156">
        <v>3.3</v>
      </c>
      <c r="B122" s="156" t="s">
        <v>90</v>
      </c>
      <c r="C122" s="157" t="s">
        <v>91</v>
      </c>
      <c r="D122" s="156" t="s">
        <v>64</v>
      </c>
      <c r="E122" s="103">
        <v>9.32</v>
      </c>
      <c r="F122" s="134">
        <v>50.95</v>
      </c>
      <c r="G122" s="134">
        <v>88.543</v>
      </c>
      <c r="H122" s="134">
        <v>25.157</v>
      </c>
      <c r="I122" s="134">
        <f t="shared" si="55"/>
        <v>14.8185</v>
      </c>
      <c r="J122" s="134">
        <f t="shared" si="56"/>
        <v>16.152165</v>
      </c>
      <c r="K122" s="134">
        <f t="shared" si="57"/>
        <v>195.620665</v>
      </c>
      <c r="L122" s="155">
        <f>E122*K122</f>
        <v>1823.1845978</v>
      </c>
      <c r="M122" s="155"/>
    </row>
    <row r="123" ht="69" customHeight="1" outlineLevel="1" spans="1:13">
      <c r="A123" s="156">
        <v>3.4</v>
      </c>
      <c r="B123" s="156" t="s">
        <v>92</v>
      </c>
      <c r="C123" s="157" t="s">
        <v>109</v>
      </c>
      <c r="D123" s="156" t="s">
        <v>64</v>
      </c>
      <c r="E123" s="103">
        <v>13.89</v>
      </c>
      <c r="F123" s="134">
        <v>15.52</v>
      </c>
      <c r="G123" s="134">
        <v>6.508</v>
      </c>
      <c r="H123" s="134">
        <v>5.932</v>
      </c>
      <c r="I123" s="134">
        <f t="shared" si="55"/>
        <v>2.5164</v>
      </c>
      <c r="J123" s="134">
        <f t="shared" si="56"/>
        <v>2.742876</v>
      </c>
      <c r="K123" s="134">
        <f t="shared" si="57"/>
        <v>33.219276</v>
      </c>
      <c r="L123" s="155">
        <f>E123*K123</f>
        <v>461.41574364</v>
      </c>
      <c r="M123" s="155"/>
    </row>
    <row r="124" ht="66" customHeight="1" outlineLevel="1" spans="1:13">
      <c r="A124" s="156">
        <v>3.5</v>
      </c>
      <c r="B124" s="156" t="s">
        <v>94</v>
      </c>
      <c r="C124" s="157" t="s">
        <v>95</v>
      </c>
      <c r="D124" s="156" t="s">
        <v>78</v>
      </c>
      <c r="E124" s="103">
        <v>16.67</v>
      </c>
      <c r="F124" s="134">
        <v>25.62</v>
      </c>
      <c r="G124" s="134">
        <v>42.907</v>
      </c>
      <c r="H124" s="155">
        <v>2.45</v>
      </c>
      <c r="I124" s="155">
        <f t="shared" si="55"/>
        <v>6.38793</v>
      </c>
      <c r="J124" s="155">
        <f t="shared" si="56"/>
        <v>6.9628437</v>
      </c>
      <c r="K124" s="155">
        <f t="shared" si="57"/>
        <v>84.3277737</v>
      </c>
      <c r="L124" s="155">
        <f>E124*K124</f>
        <v>1405.743987579</v>
      </c>
      <c r="M124" s="202"/>
    </row>
    <row r="125" ht="23.1" customHeight="1" outlineLevel="1" spans="1:13">
      <c r="A125" s="156">
        <v>4</v>
      </c>
      <c r="B125" s="156" t="s">
        <v>96</v>
      </c>
      <c r="C125" s="156"/>
      <c r="D125" s="156" t="s">
        <v>97</v>
      </c>
      <c r="E125" s="103"/>
      <c r="F125" s="155"/>
      <c r="G125" s="155"/>
      <c r="H125" s="155"/>
      <c r="I125" s="155"/>
      <c r="J125" s="155"/>
      <c r="K125" s="155"/>
      <c r="L125" s="155">
        <f>SUM(L111:L124)</f>
        <v>57459.561801279</v>
      </c>
      <c r="M125" s="202"/>
    </row>
    <row r="126" ht="23.1" customHeight="1" spans="1:13">
      <c r="A126" s="156" t="s">
        <v>118</v>
      </c>
      <c r="B126" s="203" t="s">
        <v>119</v>
      </c>
      <c r="C126" s="156" t="s">
        <v>99</v>
      </c>
      <c r="D126" s="200"/>
      <c r="E126" s="130"/>
      <c r="F126" s="155"/>
      <c r="G126" s="155"/>
      <c r="H126" s="155"/>
      <c r="I126" s="155"/>
      <c r="J126" s="155"/>
      <c r="K126" s="155"/>
      <c r="L126" s="155"/>
      <c r="M126" s="155" t="s">
        <v>60</v>
      </c>
    </row>
    <row r="127" ht="23.1" customHeight="1" outlineLevel="1" spans="1:13">
      <c r="A127" s="156">
        <v>1</v>
      </c>
      <c r="B127" s="156" t="s">
        <v>61</v>
      </c>
      <c r="C127" s="156"/>
      <c r="D127" s="156"/>
      <c r="E127" s="103"/>
      <c r="F127" s="155"/>
      <c r="G127" s="155"/>
      <c r="H127" s="155"/>
      <c r="I127" s="155"/>
      <c r="J127" s="155"/>
      <c r="K127" s="155"/>
      <c r="L127" s="155"/>
      <c r="M127" s="155"/>
    </row>
    <row r="128" ht="67.5" outlineLevel="1" spans="1:13">
      <c r="A128" s="103">
        <v>1.1</v>
      </c>
      <c r="B128" s="156" t="s">
        <v>62</v>
      </c>
      <c r="C128" s="157" t="s">
        <v>63</v>
      </c>
      <c r="D128" s="156" t="s">
        <v>64</v>
      </c>
      <c r="E128" s="103">
        <v>51.12</v>
      </c>
      <c r="F128" s="134">
        <v>39.3</v>
      </c>
      <c r="G128" s="134">
        <v>70</v>
      </c>
      <c r="H128" s="134">
        <v>39.558</v>
      </c>
      <c r="I128" s="134">
        <f t="shared" ref="I128:I132" si="58">(F128+G128+H128)*0.09</f>
        <v>13.39722</v>
      </c>
      <c r="J128" s="134">
        <f t="shared" ref="J128:J135" si="59">(F128+G128+H128+I128)*0.09</f>
        <v>14.6029698</v>
      </c>
      <c r="K128" s="134">
        <f t="shared" ref="K128:K132" si="60">F128+G128+H128+I128+J128</f>
        <v>176.8581898</v>
      </c>
      <c r="L128" s="155">
        <f t="shared" ref="L128:L136" si="61">E128*K128</f>
        <v>9040.990662576</v>
      </c>
      <c r="M128" s="155" t="s">
        <v>65</v>
      </c>
    </row>
    <row r="129" outlineLevel="1" spans="1:13">
      <c r="A129" s="156">
        <v>2</v>
      </c>
      <c r="B129" s="156" t="s">
        <v>66</v>
      </c>
      <c r="C129" s="156"/>
      <c r="D129" s="156"/>
      <c r="E129" s="103"/>
      <c r="F129" s="155"/>
      <c r="G129" s="155"/>
      <c r="H129" s="155"/>
      <c r="I129" s="155"/>
      <c r="J129" s="155"/>
      <c r="K129" s="155"/>
      <c r="L129" s="155"/>
      <c r="M129" s="155"/>
    </row>
    <row r="130" ht="67.5" outlineLevel="1" spans="1:13">
      <c r="A130" s="156">
        <v>2.1</v>
      </c>
      <c r="B130" s="195" t="s">
        <v>67</v>
      </c>
      <c r="C130" s="196" t="s">
        <v>68</v>
      </c>
      <c r="D130" s="156" t="s">
        <v>64</v>
      </c>
      <c r="E130" s="201">
        <f>19.86*4.8-5.55*4.35-2.09*2.4+(13.28-1.64)*2.4-2.09*2.4+(21.96-1.64-1.14*2)*2.73-1.2*2.3*2-1*2.1+0.9*2.4*2</f>
        <v>135.0387</v>
      </c>
      <c r="F130" s="134">
        <v>58</v>
      </c>
      <c r="G130" s="134">
        <v>61.999</v>
      </c>
      <c r="H130" s="134">
        <v>27.401</v>
      </c>
      <c r="I130" s="190">
        <f>(F130+H130+G130)*0.09</f>
        <v>13.266</v>
      </c>
      <c r="J130" s="134">
        <f t="shared" si="59"/>
        <v>14.45994</v>
      </c>
      <c r="K130" s="134">
        <f>SUBTOTAL(9,F130:J130)</f>
        <v>175.12594</v>
      </c>
      <c r="L130" s="155">
        <f t="shared" si="61"/>
        <v>23648.779273878</v>
      </c>
      <c r="M130" s="156" t="s">
        <v>112</v>
      </c>
    </row>
    <row r="131" ht="22.5" outlineLevel="1" spans="1:13">
      <c r="A131" s="156">
        <v>2.2</v>
      </c>
      <c r="B131" s="195" t="s">
        <v>70</v>
      </c>
      <c r="C131" s="196" t="s">
        <v>71</v>
      </c>
      <c r="D131" s="156" t="s">
        <v>64</v>
      </c>
      <c r="E131" s="103"/>
      <c r="F131" s="134">
        <v>25.25</v>
      </c>
      <c r="G131" s="134">
        <v>137.312</v>
      </c>
      <c r="H131" s="156">
        <v>58.848</v>
      </c>
      <c r="I131" s="156">
        <f t="shared" si="58"/>
        <v>19.9269</v>
      </c>
      <c r="J131" s="156">
        <f t="shared" si="59"/>
        <v>21.720321</v>
      </c>
      <c r="K131" s="156">
        <f t="shared" si="60"/>
        <v>263.057221</v>
      </c>
      <c r="L131" s="155">
        <f t="shared" si="61"/>
        <v>0</v>
      </c>
      <c r="M131" s="156"/>
    </row>
    <row r="132" ht="45" outlineLevel="1" spans="1:13">
      <c r="A132" s="156">
        <v>2.3</v>
      </c>
      <c r="B132" s="195" t="s">
        <v>74</v>
      </c>
      <c r="C132" s="196" t="s">
        <v>75</v>
      </c>
      <c r="D132" s="156" t="s">
        <v>64</v>
      </c>
      <c r="E132" s="103">
        <f>4.8*2.84</f>
        <v>13.632</v>
      </c>
      <c r="F132" s="134">
        <v>52.99</v>
      </c>
      <c r="G132" s="134">
        <v>132.258</v>
      </c>
      <c r="H132" s="156">
        <v>56.682</v>
      </c>
      <c r="I132" s="156">
        <f t="shared" si="58"/>
        <v>21.7737</v>
      </c>
      <c r="J132" s="156">
        <f t="shared" si="59"/>
        <v>23.733333</v>
      </c>
      <c r="K132" s="156">
        <f t="shared" si="60"/>
        <v>287.437033</v>
      </c>
      <c r="L132" s="155">
        <f t="shared" si="61"/>
        <v>3918.341633856</v>
      </c>
      <c r="M132" s="156"/>
    </row>
    <row r="133" ht="39" customHeight="1" outlineLevel="1" spans="1:13">
      <c r="A133" s="156">
        <v>2.4</v>
      </c>
      <c r="B133" s="195" t="s">
        <v>76</v>
      </c>
      <c r="C133" s="198" t="s">
        <v>77</v>
      </c>
      <c r="D133" s="156" t="s">
        <v>78</v>
      </c>
      <c r="E133" s="201">
        <f>50.2-5.55-1.2-1.1*2--1-2.82</f>
        <v>39.43</v>
      </c>
      <c r="F133" s="134">
        <v>7.49</v>
      </c>
      <c r="G133" s="134">
        <v>11.907</v>
      </c>
      <c r="H133" s="134">
        <v>5.103</v>
      </c>
      <c r="I133" s="134">
        <f t="shared" ref="I133:I136" si="62">(F133+G133+H133)*0.09</f>
        <v>2.205</v>
      </c>
      <c r="J133" s="134">
        <f t="shared" si="59"/>
        <v>2.40345</v>
      </c>
      <c r="K133" s="134">
        <f t="shared" ref="K133:K136" si="63">F133+G133+H133+I133+J133</f>
        <v>29.10845</v>
      </c>
      <c r="L133" s="155">
        <f t="shared" si="61"/>
        <v>1147.7461835</v>
      </c>
      <c r="M133" s="156"/>
    </row>
    <row r="134" ht="33.75" outlineLevel="1" spans="1:13">
      <c r="A134" s="156">
        <v>2.5</v>
      </c>
      <c r="B134" s="156" t="s">
        <v>79</v>
      </c>
      <c r="C134" s="157" t="s">
        <v>80</v>
      </c>
      <c r="D134" s="156" t="s">
        <v>78</v>
      </c>
      <c r="E134" s="103">
        <f>19.86-5.55-2.09+13.28-1.64-2.09+21.96-1.64-1.14*2-1.2*2-1+0.9*2</f>
        <v>38.21</v>
      </c>
      <c r="F134" s="134">
        <v>13.61</v>
      </c>
      <c r="G134" s="134">
        <v>87.976</v>
      </c>
      <c r="H134" s="155">
        <v>37.704</v>
      </c>
      <c r="I134" s="155">
        <f t="shared" si="62"/>
        <v>12.5361</v>
      </c>
      <c r="J134" s="190">
        <f t="shared" si="59"/>
        <v>13.664349</v>
      </c>
      <c r="K134" s="155">
        <f t="shared" si="63"/>
        <v>165.490449</v>
      </c>
      <c r="L134" s="155">
        <f t="shared" si="61"/>
        <v>6323.39005629</v>
      </c>
      <c r="M134" s="155"/>
    </row>
    <row r="135" ht="33.75" outlineLevel="1" spans="1:13">
      <c r="A135" s="156">
        <v>2.6</v>
      </c>
      <c r="B135" s="156" t="s">
        <v>81</v>
      </c>
      <c r="C135" s="157" t="s">
        <v>120</v>
      </c>
      <c r="D135" s="156" t="s">
        <v>64</v>
      </c>
      <c r="E135" s="201">
        <f>5.55*4.35</f>
        <v>24.1425</v>
      </c>
      <c r="F135" s="134">
        <v>26.89</v>
      </c>
      <c r="G135" s="134">
        <v>388.92</v>
      </c>
      <c r="H135" s="155">
        <v>166.68</v>
      </c>
      <c r="I135" s="155">
        <f t="shared" si="62"/>
        <v>52.4241</v>
      </c>
      <c r="J135" s="155">
        <f t="shared" si="59"/>
        <v>57.142269</v>
      </c>
      <c r="K135" s="155">
        <f t="shared" si="63"/>
        <v>692.056369</v>
      </c>
      <c r="L135" s="155">
        <f t="shared" si="61"/>
        <v>16707.9708885825</v>
      </c>
      <c r="M135" s="155"/>
    </row>
    <row r="136" ht="33.75" outlineLevel="1" spans="1:13">
      <c r="A136" s="156">
        <v>2.7</v>
      </c>
      <c r="B136" s="156" t="s">
        <v>83</v>
      </c>
      <c r="C136" s="157" t="s">
        <v>84</v>
      </c>
      <c r="D136" s="156" t="s">
        <v>85</v>
      </c>
      <c r="E136" s="103">
        <v>2</v>
      </c>
      <c r="F136" s="134">
        <v>114.54</v>
      </c>
      <c r="G136" s="134">
        <v>479.46</v>
      </c>
      <c r="H136" s="155">
        <v>234.154</v>
      </c>
      <c r="I136" s="155">
        <f t="shared" si="62"/>
        <v>74.53386</v>
      </c>
      <c r="J136" s="155">
        <f>(F136+G136+I136+H136)*0.09</f>
        <v>81.2419074</v>
      </c>
      <c r="K136" s="155">
        <f t="shared" si="63"/>
        <v>983.9297674</v>
      </c>
      <c r="L136" s="155">
        <f t="shared" si="61"/>
        <v>1967.8595348</v>
      </c>
      <c r="M136" s="155"/>
    </row>
    <row r="137" outlineLevel="1" spans="1:13">
      <c r="A137" s="156">
        <v>3</v>
      </c>
      <c r="B137" s="156" t="s">
        <v>86</v>
      </c>
      <c r="C137" s="156"/>
      <c r="D137" s="156"/>
      <c r="E137" s="103"/>
      <c r="F137" s="155"/>
      <c r="G137" s="155"/>
      <c r="H137" s="155"/>
      <c r="I137" s="155"/>
      <c r="J137" s="155"/>
      <c r="K137" s="155"/>
      <c r="L137" s="155"/>
      <c r="M137" s="155"/>
    </row>
    <row r="138" ht="129.95" customHeight="1" outlineLevel="1" spans="1:13">
      <c r="A138" s="156">
        <v>3.1</v>
      </c>
      <c r="B138" s="156" t="s">
        <v>87</v>
      </c>
      <c r="C138" s="157" t="s">
        <v>88</v>
      </c>
      <c r="D138" s="156" t="s">
        <v>89</v>
      </c>
      <c r="E138" s="103">
        <v>22.01</v>
      </c>
      <c r="F138" s="134">
        <v>69.95</v>
      </c>
      <c r="G138" s="134">
        <v>100.73</v>
      </c>
      <c r="H138" s="134">
        <v>20.94</v>
      </c>
      <c r="I138" s="134">
        <f t="shared" ref="I138:I141" si="64">(F138+G138+H138)*0.09</f>
        <v>17.2458</v>
      </c>
      <c r="J138" s="134">
        <f t="shared" ref="J138:J141" si="65">(F138+G138+H138+I138)*0.09</f>
        <v>18.797922</v>
      </c>
      <c r="K138" s="134">
        <f t="shared" ref="K138:K141" si="66">F138+G138+H138+I138+J138</f>
        <v>227.663722</v>
      </c>
      <c r="L138" s="155">
        <f>E138*K138</f>
        <v>5010.87852122</v>
      </c>
      <c r="M138" s="155"/>
    </row>
    <row r="139" ht="102" customHeight="1" outlineLevel="1" spans="1:13">
      <c r="A139" s="156">
        <v>3.3</v>
      </c>
      <c r="B139" s="156" t="s">
        <v>90</v>
      </c>
      <c r="C139" s="157" t="s">
        <v>108</v>
      </c>
      <c r="D139" s="156" t="s">
        <v>64</v>
      </c>
      <c r="E139" s="103">
        <f>10.4+1.12</f>
        <v>11.52</v>
      </c>
      <c r="F139" s="134">
        <v>50.95</v>
      </c>
      <c r="G139" s="134">
        <v>88.543</v>
      </c>
      <c r="H139" s="134">
        <v>25.157</v>
      </c>
      <c r="I139" s="134">
        <f t="shared" si="64"/>
        <v>14.8185</v>
      </c>
      <c r="J139" s="134">
        <f t="shared" si="65"/>
        <v>16.152165</v>
      </c>
      <c r="K139" s="134">
        <f t="shared" si="66"/>
        <v>195.620665</v>
      </c>
      <c r="L139" s="155">
        <f>E139*K139</f>
        <v>2253.5500608</v>
      </c>
      <c r="M139" s="155"/>
    </row>
    <row r="140" ht="69.95" customHeight="1" outlineLevel="1" spans="1:13">
      <c r="A140" s="156">
        <v>3.4</v>
      </c>
      <c r="B140" s="156" t="s">
        <v>92</v>
      </c>
      <c r="C140" s="157" t="s">
        <v>109</v>
      </c>
      <c r="D140" s="156" t="s">
        <v>64</v>
      </c>
      <c r="E140" s="103">
        <v>14.6</v>
      </c>
      <c r="F140" s="134">
        <v>15.52</v>
      </c>
      <c r="G140" s="134">
        <v>6.508</v>
      </c>
      <c r="H140" s="134">
        <v>5.932</v>
      </c>
      <c r="I140" s="134">
        <f t="shared" si="64"/>
        <v>2.5164</v>
      </c>
      <c r="J140" s="134">
        <f t="shared" si="65"/>
        <v>2.742876</v>
      </c>
      <c r="K140" s="134">
        <f t="shared" si="66"/>
        <v>33.219276</v>
      </c>
      <c r="L140" s="155">
        <f>E140*K140</f>
        <v>485.0014296</v>
      </c>
      <c r="M140" s="155"/>
    </row>
    <row r="141" ht="63" customHeight="1" outlineLevel="1" spans="1:13">
      <c r="A141" s="156">
        <v>3.5</v>
      </c>
      <c r="B141" s="156" t="s">
        <v>94</v>
      </c>
      <c r="C141" s="157" t="s">
        <v>95</v>
      </c>
      <c r="D141" s="156" t="s">
        <v>78</v>
      </c>
      <c r="E141" s="103">
        <v>21.96</v>
      </c>
      <c r="F141" s="134">
        <v>25.62</v>
      </c>
      <c r="G141" s="134">
        <v>42.907</v>
      </c>
      <c r="H141" s="155">
        <v>2.45</v>
      </c>
      <c r="I141" s="155">
        <f t="shared" si="64"/>
        <v>6.38793</v>
      </c>
      <c r="J141" s="155">
        <f t="shared" si="65"/>
        <v>6.9628437</v>
      </c>
      <c r="K141" s="155">
        <f t="shared" si="66"/>
        <v>84.3277737</v>
      </c>
      <c r="L141" s="155">
        <f>E141*K141</f>
        <v>1851.837910452</v>
      </c>
      <c r="M141" s="202"/>
    </row>
    <row r="142" outlineLevel="1" spans="1:13">
      <c r="A142" s="156">
        <v>4</v>
      </c>
      <c r="B142" s="156" t="s">
        <v>96</v>
      </c>
      <c r="C142" s="156"/>
      <c r="D142" s="156" t="s">
        <v>97</v>
      </c>
      <c r="E142" s="103"/>
      <c r="F142" s="155"/>
      <c r="G142" s="155"/>
      <c r="H142" s="155"/>
      <c r="I142" s="155"/>
      <c r="J142" s="155"/>
      <c r="K142" s="155"/>
      <c r="L142" s="155">
        <f>SUM(L128:L141)</f>
        <v>72356.3461555545</v>
      </c>
      <c r="M142" s="202"/>
    </row>
  </sheetData>
  <autoFilter xmlns:etc="http://www.wps.cn/officeDocument/2017/etCustomData" ref="A3:S142" etc:filterBottomFollowUsedRange="0">
    <extLst/>
  </autoFilter>
  <mergeCells count="21">
    <mergeCell ref="A1:M1"/>
    <mergeCell ref="F2:J2"/>
    <mergeCell ref="B22:C22"/>
    <mergeCell ref="B40:C40"/>
    <mergeCell ref="B57:C57"/>
    <mergeCell ref="B74:C74"/>
    <mergeCell ref="B91:C91"/>
    <mergeCell ref="B108:C108"/>
    <mergeCell ref="B125:C125"/>
    <mergeCell ref="B142:C142"/>
    <mergeCell ref="A2:A4"/>
    <mergeCell ref="B2:B4"/>
    <mergeCell ref="C2:C4"/>
    <mergeCell ref="D2:D4"/>
    <mergeCell ref="E2:E4"/>
    <mergeCell ref="F3:F4"/>
    <mergeCell ref="G3:G4"/>
    <mergeCell ref="H3:H4"/>
    <mergeCell ref="K2:K4"/>
    <mergeCell ref="L2:L4"/>
    <mergeCell ref="M2:M4"/>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7"/>
  <sheetViews>
    <sheetView topLeftCell="A21" workbookViewId="0">
      <selection activeCell="O9" sqref="O9"/>
    </sheetView>
  </sheetViews>
  <sheetFormatPr defaultColWidth="9" defaultRowHeight="13.5"/>
  <cols>
    <col min="1" max="1" width="3.63333333333333" style="78" customWidth="1"/>
    <col min="2" max="2" width="13.6333333333333" style="80" customWidth="1"/>
    <col min="3" max="3" width="23.75" style="78" customWidth="1"/>
    <col min="4" max="4" width="5.13333333333333" style="78" customWidth="1"/>
    <col min="5" max="5" width="9.55833333333333" style="78" customWidth="1"/>
    <col min="6" max="6" width="9.55833333333333" style="177" customWidth="1"/>
    <col min="7" max="7" width="8" style="177" customWidth="1"/>
    <col min="8" max="8" width="7.5" style="177" customWidth="1"/>
    <col min="9" max="9" width="6.88333333333333" style="177" customWidth="1"/>
    <col min="10" max="10" width="7.25" style="178" customWidth="1"/>
    <col min="11" max="12" width="8" style="178" customWidth="1"/>
    <col min="13" max="13" width="9.5" style="178" customWidth="1"/>
    <col min="14" max="14" width="10.5" style="178" customWidth="1"/>
    <col min="15" max="15" width="9.38333333333333" style="78" customWidth="1"/>
    <col min="16" max="16" width="10.25" style="78" customWidth="1"/>
    <col min="17" max="16384" width="9" style="78"/>
  </cols>
  <sheetData>
    <row r="1" s="78" customFormat="1" ht="27" customHeight="1" spans="1:15">
      <c r="A1" s="83" t="s">
        <v>121</v>
      </c>
      <c r="B1" s="84"/>
      <c r="C1" s="83"/>
      <c r="D1" s="83"/>
      <c r="E1" s="83"/>
      <c r="F1" s="83"/>
      <c r="G1" s="83"/>
      <c r="H1" s="83"/>
      <c r="I1" s="83"/>
      <c r="J1" s="83"/>
      <c r="K1" s="83"/>
      <c r="L1" s="83"/>
      <c r="M1" s="83"/>
      <c r="N1" s="83"/>
      <c r="O1" s="83"/>
    </row>
    <row r="2" s="79" customFormat="1" ht="33.95" customHeight="1" spans="1:15">
      <c r="A2" s="85" t="s">
        <v>46</v>
      </c>
      <c r="B2" s="86" t="s">
        <v>47</v>
      </c>
      <c r="C2" s="87" t="s">
        <v>48</v>
      </c>
      <c r="D2" s="87" t="s">
        <v>25</v>
      </c>
      <c r="E2" s="88" t="s">
        <v>49</v>
      </c>
      <c r="F2" s="89" t="s">
        <v>50</v>
      </c>
      <c r="G2" s="90"/>
      <c r="H2" s="90"/>
      <c r="I2" s="90"/>
      <c r="J2" s="90"/>
      <c r="K2" s="90"/>
      <c r="L2" s="116"/>
      <c r="M2" s="117" t="s">
        <v>122</v>
      </c>
      <c r="N2" s="117" t="s">
        <v>52</v>
      </c>
      <c r="O2" s="95" t="s">
        <v>123</v>
      </c>
    </row>
    <row r="3" s="79" customFormat="1" ht="51" customHeight="1" spans="1:15">
      <c r="A3" s="91"/>
      <c r="B3" s="92"/>
      <c r="C3" s="93"/>
      <c r="D3" s="93"/>
      <c r="E3" s="94"/>
      <c r="F3" s="95" t="s">
        <v>53</v>
      </c>
      <c r="G3" s="95" t="s">
        <v>124</v>
      </c>
      <c r="H3" s="95" t="s">
        <v>125</v>
      </c>
      <c r="I3" s="95" t="s">
        <v>126</v>
      </c>
      <c r="J3" s="95" t="s">
        <v>55</v>
      </c>
      <c r="K3" s="95" t="s">
        <v>56</v>
      </c>
      <c r="L3" s="95" t="s">
        <v>57</v>
      </c>
      <c r="M3" s="118"/>
      <c r="N3" s="118"/>
      <c r="O3" s="95"/>
    </row>
    <row r="4" s="79" customFormat="1" ht="31" customHeight="1" spans="1:15">
      <c r="A4" s="96"/>
      <c r="B4" s="97"/>
      <c r="C4" s="98"/>
      <c r="D4" s="98"/>
      <c r="E4" s="99"/>
      <c r="F4" s="95"/>
      <c r="G4" s="95" t="s">
        <v>127</v>
      </c>
      <c r="H4" s="95" t="s">
        <v>128</v>
      </c>
      <c r="I4" s="95" t="s">
        <v>129</v>
      </c>
      <c r="J4" s="95"/>
      <c r="K4" s="95" t="s">
        <v>130</v>
      </c>
      <c r="L4" s="95" t="s">
        <v>130</v>
      </c>
      <c r="M4" s="119"/>
      <c r="N4" s="119"/>
      <c r="O4" s="95"/>
    </row>
    <row r="5" s="79" customFormat="1" ht="24.95" customHeight="1" spans="1:15">
      <c r="A5" s="101" t="s">
        <v>30</v>
      </c>
      <c r="B5" s="102" t="s">
        <v>131</v>
      </c>
      <c r="C5" s="101" t="s">
        <v>99</v>
      </c>
      <c r="D5" s="101" t="s">
        <v>39</v>
      </c>
      <c r="E5" s="103"/>
      <c r="F5" s="104"/>
      <c r="G5" s="104"/>
      <c r="H5" s="104"/>
      <c r="I5" s="104"/>
      <c r="J5" s="104"/>
      <c r="K5" s="104"/>
      <c r="L5" s="104"/>
      <c r="M5" s="104"/>
      <c r="N5" s="104"/>
      <c r="O5" s="104"/>
    </row>
    <row r="6" s="78" customFormat="1" ht="69.95" customHeight="1" outlineLevel="1" spans="1:15">
      <c r="A6" s="105">
        <v>1</v>
      </c>
      <c r="B6" s="106" t="s">
        <v>132</v>
      </c>
      <c r="C6" s="107" t="s">
        <v>133</v>
      </c>
      <c r="D6" s="108" t="s">
        <v>32</v>
      </c>
      <c r="E6" s="179">
        <v>5</v>
      </c>
      <c r="F6" s="95">
        <v>12.86</v>
      </c>
      <c r="G6" s="95">
        <f>H6*(1+I6)</f>
        <v>35.35</v>
      </c>
      <c r="H6" s="95">
        <v>35</v>
      </c>
      <c r="I6" s="120">
        <v>0.01</v>
      </c>
      <c r="J6" s="95">
        <v>6.51</v>
      </c>
      <c r="K6" s="95">
        <f t="shared" ref="K6:K21" si="0">(F6+G6+J6)*9%</f>
        <v>4.9248</v>
      </c>
      <c r="L6" s="95">
        <f t="shared" ref="L6:L21" si="1">(F6+G6+J6+K6)*9%</f>
        <v>5.368032</v>
      </c>
      <c r="M6" s="95">
        <f t="shared" ref="M6:M21" si="2">F6+G6+J6+K6+L6</f>
        <v>65.012832</v>
      </c>
      <c r="N6" s="95">
        <f t="shared" ref="N6:N21" si="3">M6*E6</f>
        <v>325.06416</v>
      </c>
      <c r="O6" s="109"/>
    </row>
    <row r="7" s="78" customFormat="1" ht="69.95" customHeight="1" outlineLevel="1" spans="1:15">
      <c r="A7" s="105">
        <v>2</v>
      </c>
      <c r="B7" s="110" t="s">
        <v>134</v>
      </c>
      <c r="C7" s="107" t="s">
        <v>135</v>
      </c>
      <c r="D7" s="108" t="s">
        <v>32</v>
      </c>
      <c r="E7" s="179">
        <v>1</v>
      </c>
      <c r="F7" s="95">
        <v>355.52</v>
      </c>
      <c r="G7" s="95">
        <f t="shared" ref="G6:G21" si="4">H7*(1+I7)</f>
        <v>3838</v>
      </c>
      <c r="H7" s="95">
        <v>3800</v>
      </c>
      <c r="I7" s="120">
        <v>0.01</v>
      </c>
      <c r="J7" s="95">
        <v>84.39</v>
      </c>
      <c r="K7" s="95">
        <f t="shared" si="0"/>
        <v>385.0119</v>
      </c>
      <c r="L7" s="95">
        <f t="shared" si="1"/>
        <v>419.662971</v>
      </c>
      <c r="M7" s="95">
        <f t="shared" si="2"/>
        <v>5082.584871</v>
      </c>
      <c r="N7" s="95">
        <f t="shared" si="3"/>
        <v>5082.584871</v>
      </c>
      <c r="O7" s="109"/>
    </row>
    <row r="8" s="78" customFormat="1" ht="69.95" customHeight="1" outlineLevel="1" spans="1:15">
      <c r="A8" s="105">
        <v>3</v>
      </c>
      <c r="B8" s="110" t="s">
        <v>136</v>
      </c>
      <c r="C8" s="107" t="s">
        <v>137</v>
      </c>
      <c r="D8" s="108" t="s">
        <v>32</v>
      </c>
      <c r="E8" s="179">
        <v>2</v>
      </c>
      <c r="F8" s="95">
        <v>14.7</v>
      </c>
      <c r="G8" s="95">
        <f t="shared" si="4"/>
        <v>181.8</v>
      </c>
      <c r="H8" s="95">
        <v>180</v>
      </c>
      <c r="I8" s="120">
        <v>0.01</v>
      </c>
      <c r="J8" s="95">
        <v>12.51</v>
      </c>
      <c r="K8" s="95">
        <f t="shared" si="0"/>
        <v>18.8109</v>
      </c>
      <c r="L8" s="95">
        <f t="shared" si="1"/>
        <v>20.503881</v>
      </c>
      <c r="M8" s="95">
        <f t="shared" si="2"/>
        <v>248.324781</v>
      </c>
      <c r="N8" s="95">
        <f t="shared" si="3"/>
        <v>496.649562</v>
      </c>
      <c r="O8" s="109"/>
    </row>
    <row r="9" s="78" customFormat="1" ht="48" outlineLevel="1" spans="1:15">
      <c r="A9" s="105">
        <v>4</v>
      </c>
      <c r="B9" s="106" t="s">
        <v>138</v>
      </c>
      <c r="C9" s="107" t="s">
        <v>139</v>
      </c>
      <c r="D9" s="108" t="s">
        <v>32</v>
      </c>
      <c r="E9" s="179">
        <v>7</v>
      </c>
      <c r="F9" s="95">
        <v>12.77</v>
      </c>
      <c r="G9" s="95">
        <f t="shared" si="4"/>
        <v>38.38</v>
      </c>
      <c r="H9" s="95">
        <v>38</v>
      </c>
      <c r="I9" s="120">
        <v>0.01</v>
      </c>
      <c r="J9" s="95">
        <v>7.95</v>
      </c>
      <c r="K9" s="95">
        <f t="shared" si="0"/>
        <v>5.319</v>
      </c>
      <c r="L9" s="95">
        <f t="shared" si="1"/>
        <v>5.79771</v>
      </c>
      <c r="M9" s="95">
        <f t="shared" si="2"/>
        <v>70.21671</v>
      </c>
      <c r="N9" s="95">
        <f t="shared" si="3"/>
        <v>491.51697</v>
      </c>
      <c r="O9" s="109" t="s">
        <v>140</v>
      </c>
    </row>
    <row r="10" s="78" customFormat="1" ht="48" outlineLevel="1" spans="1:15">
      <c r="A10" s="105">
        <v>5</v>
      </c>
      <c r="B10" s="106" t="s">
        <v>141</v>
      </c>
      <c r="C10" s="107" t="s">
        <v>142</v>
      </c>
      <c r="D10" s="108" t="s">
        <v>32</v>
      </c>
      <c r="E10" s="179">
        <v>10</v>
      </c>
      <c r="F10" s="95">
        <v>17.78</v>
      </c>
      <c r="G10" s="95">
        <f t="shared" si="4"/>
        <v>29.29</v>
      </c>
      <c r="H10" s="95">
        <v>29</v>
      </c>
      <c r="I10" s="120">
        <v>0.01</v>
      </c>
      <c r="J10" s="95">
        <v>7.39</v>
      </c>
      <c r="K10" s="95">
        <f t="shared" si="0"/>
        <v>4.9014</v>
      </c>
      <c r="L10" s="95">
        <f t="shared" si="1"/>
        <v>5.342526</v>
      </c>
      <c r="M10" s="95">
        <f t="shared" si="2"/>
        <v>64.703926</v>
      </c>
      <c r="N10" s="95">
        <f t="shared" si="3"/>
        <v>647.03926</v>
      </c>
      <c r="O10" s="109" t="s">
        <v>140</v>
      </c>
    </row>
    <row r="11" s="78" customFormat="1" ht="48" outlineLevel="1" spans="1:15">
      <c r="A11" s="105">
        <v>6</v>
      </c>
      <c r="B11" s="110" t="s">
        <v>143</v>
      </c>
      <c r="C11" s="107" t="s">
        <v>144</v>
      </c>
      <c r="D11" s="180" t="s">
        <v>78</v>
      </c>
      <c r="E11" s="181">
        <v>13.2</v>
      </c>
      <c r="F11" s="95">
        <v>14.63</v>
      </c>
      <c r="G11" s="95">
        <f t="shared" si="4"/>
        <v>15.15</v>
      </c>
      <c r="H11" s="95">
        <v>15</v>
      </c>
      <c r="I11" s="120">
        <v>0.01</v>
      </c>
      <c r="J11" s="95">
        <v>8.2</v>
      </c>
      <c r="K11" s="95">
        <f t="shared" si="0"/>
        <v>3.4182</v>
      </c>
      <c r="L11" s="95">
        <f t="shared" si="1"/>
        <v>3.725838</v>
      </c>
      <c r="M11" s="95">
        <f t="shared" si="2"/>
        <v>45.124038</v>
      </c>
      <c r="N11" s="95">
        <f t="shared" si="3"/>
        <v>595.6373016</v>
      </c>
      <c r="O11" s="109" t="s">
        <v>140</v>
      </c>
    </row>
    <row r="12" s="78" customFormat="1" ht="53" customHeight="1" outlineLevel="1" spans="1:15">
      <c r="A12" s="105">
        <v>7</v>
      </c>
      <c r="B12" s="110" t="s">
        <v>145</v>
      </c>
      <c r="C12" s="107" t="s">
        <v>146</v>
      </c>
      <c r="D12" s="180" t="s">
        <v>78</v>
      </c>
      <c r="E12" s="181">
        <v>9.06</v>
      </c>
      <c r="F12" s="95">
        <v>14.63</v>
      </c>
      <c r="G12" s="95">
        <f t="shared" si="4"/>
        <v>22.22</v>
      </c>
      <c r="H12" s="95">
        <v>22</v>
      </c>
      <c r="I12" s="120">
        <v>0.01</v>
      </c>
      <c r="J12" s="95">
        <v>10.78</v>
      </c>
      <c r="K12" s="95">
        <f t="shared" si="0"/>
        <v>4.2867</v>
      </c>
      <c r="L12" s="95">
        <f t="shared" si="1"/>
        <v>4.672503</v>
      </c>
      <c r="M12" s="95">
        <f t="shared" si="2"/>
        <v>56.589203</v>
      </c>
      <c r="N12" s="95">
        <f t="shared" si="3"/>
        <v>512.69817918</v>
      </c>
      <c r="O12" s="109" t="s">
        <v>140</v>
      </c>
    </row>
    <row r="13" s="78" customFormat="1" ht="48" outlineLevel="1" spans="1:15">
      <c r="A13" s="105">
        <v>8</v>
      </c>
      <c r="B13" s="106" t="s">
        <v>147</v>
      </c>
      <c r="C13" s="107" t="s">
        <v>148</v>
      </c>
      <c r="D13" s="108" t="s">
        <v>32</v>
      </c>
      <c r="E13" s="179">
        <v>1</v>
      </c>
      <c r="F13" s="95">
        <v>7.23</v>
      </c>
      <c r="G13" s="95">
        <f t="shared" si="4"/>
        <v>27.0504</v>
      </c>
      <c r="H13" s="95">
        <v>26.52</v>
      </c>
      <c r="I13" s="120">
        <v>0.02</v>
      </c>
      <c r="J13" s="95">
        <v>1.36</v>
      </c>
      <c r="K13" s="95">
        <f t="shared" si="0"/>
        <v>3.207636</v>
      </c>
      <c r="L13" s="95">
        <f t="shared" si="1"/>
        <v>3.49632324</v>
      </c>
      <c r="M13" s="95">
        <f t="shared" si="2"/>
        <v>42.34435924</v>
      </c>
      <c r="N13" s="95">
        <f t="shared" si="3"/>
        <v>42.34435924</v>
      </c>
      <c r="O13" s="25"/>
    </row>
    <row r="14" s="78" customFormat="1" ht="48" outlineLevel="1" spans="1:15">
      <c r="A14" s="105">
        <v>9</v>
      </c>
      <c r="B14" s="106" t="s">
        <v>149</v>
      </c>
      <c r="C14" s="107" t="s">
        <v>150</v>
      </c>
      <c r="D14" s="108" t="s">
        <v>32</v>
      </c>
      <c r="E14" s="179">
        <v>1</v>
      </c>
      <c r="F14" s="95">
        <v>7.23</v>
      </c>
      <c r="G14" s="95">
        <f t="shared" si="4"/>
        <v>23.9292</v>
      </c>
      <c r="H14" s="95">
        <v>23.46</v>
      </c>
      <c r="I14" s="120">
        <v>0.02</v>
      </c>
      <c r="J14" s="95">
        <v>1.36</v>
      </c>
      <c r="K14" s="95">
        <f t="shared" si="0"/>
        <v>2.926728</v>
      </c>
      <c r="L14" s="95">
        <f t="shared" si="1"/>
        <v>3.19013352</v>
      </c>
      <c r="M14" s="95">
        <f t="shared" si="2"/>
        <v>38.63606152</v>
      </c>
      <c r="N14" s="95">
        <f t="shared" si="3"/>
        <v>38.63606152</v>
      </c>
      <c r="O14" s="25"/>
    </row>
    <row r="15" s="78" customFormat="1" ht="81" customHeight="1" outlineLevel="1" spans="1:15">
      <c r="A15" s="105">
        <v>10</v>
      </c>
      <c r="B15" s="106" t="s">
        <v>151</v>
      </c>
      <c r="C15" s="107" t="s">
        <v>152</v>
      </c>
      <c r="D15" s="108" t="s">
        <v>32</v>
      </c>
      <c r="E15" s="25">
        <v>1</v>
      </c>
      <c r="F15" s="95">
        <v>8.97</v>
      </c>
      <c r="G15" s="95">
        <f t="shared" si="4"/>
        <v>25.5</v>
      </c>
      <c r="H15" s="95">
        <v>25</v>
      </c>
      <c r="I15" s="120">
        <v>0.02</v>
      </c>
      <c r="J15" s="95">
        <v>1.36</v>
      </c>
      <c r="K15" s="95">
        <f t="shared" si="0"/>
        <v>3.2247</v>
      </c>
      <c r="L15" s="95">
        <f t="shared" si="1"/>
        <v>3.514923</v>
      </c>
      <c r="M15" s="95">
        <f t="shared" si="2"/>
        <v>42.569623</v>
      </c>
      <c r="N15" s="95">
        <f t="shared" si="3"/>
        <v>42.569623</v>
      </c>
      <c r="O15" s="25"/>
    </row>
    <row r="16" s="78" customFormat="1" ht="48" outlineLevel="1" spans="1:15">
      <c r="A16" s="105">
        <v>11</v>
      </c>
      <c r="B16" s="106" t="s">
        <v>153</v>
      </c>
      <c r="C16" s="107" t="s">
        <v>154</v>
      </c>
      <c r="D16" s="108" t="s">
        <v>32</v>
      </c>
      <c r="E16" s="179">
        <v>1</v>
      </c>
      <c r="F16" s="95">
        <v>8.26</v>
      </c>
      <c r="G16" s="95">
        <f t="shared" si="4"/>
        <v>30.3</v>
      </c>
      <c r="H16" s="95">
        <v>30</v>
      </c>
      <c r="I16" s="120">
        <v>0.01</v>
      </c>
      <c r="J16" s="95">
        <v>0.2</v>
      </c>
      <c r="K16" s="95">
        <f t="shared" si="0"/>
        <v>3.4884</v>
      </c>
      <c r="L16" s="95">
        <f t="shared" si="1"/>
        <v>3.802356</v>
      </c>
      <c r="M16" s="95">
        <f t="shared" si="2"/>
        <v>46.050756</v>
      </c>
      <c r="N16" s="95">
        <f t="shared" si="3"/>
        <v>46.050756</v>
      </c>
      <c r="O16" s="25"/>
    </row>
    <row r="17" s="78" customFormat="1" ht="60" outlineLevel="1" spans="1:15">
      <c r="A17" s="105">
        <v>12</v>
      </c>
      <c r="B17" s="106" t="s">
        <v>155</v>
      </c>
      <c r="C17" s="107" t="s">
        <v>156</v>
      </c>
      <c r="D17" s="109" t="s">
        <v>78</v>
      </c>
      <c r="E17" s="109">
        <v>8.45</v>
      </c>
      <c r="F17" s="95">
        <v>6.73</v>
      </c>
      <c r="G17" s="95">
        <f t="shared" si="4"/>
        <v>1.8656</v>
      </c>
      <c r="H17" s="95">
        <v>1.76</v>
      </c>
      <c r="I17" s="120">
        <v>0.06</v>
      </c>
      <c r="J17" s="95">
        <v>0.26</v>
      </c>
      <c r="K17" s="95">
        <f t="shared" si="0"/>
        <v>0.797004</v>
      </c>
      <c r="L17" s="95">
        <f t="shared" si="1"/>
        <v>0.86873436</v>
      </c>
      <c r="M17" s="95">
        <f t="shared" si="2"/>
        <v>10.52133836</v>
      </c>
      <c r="N17" s="95">
        <f t="shared" si="3"/>
        <v>88.905309142</v>
      </c>
      <c r="O17" s="123"/>
    </row>
    <row r="18" s="78" customFormat="1" ht="60" outlineLevel="1" spans="1:15">
      <c r="A18" s="105">
        <v>13</v>
      </c>
      <c r="B18" s="106" t="s">
        <v>155</v>
      </c>
      <c r="C18" s="107" t="s">
        <v>157</v>
      </c>
      <c r="D18" s="109" t="s">
        <v>78</v>
      </c>
      <c r="E18" s="109">
        <v>95.249</v>
      </c>
      <c r="F18" s="95">
        <v>6.32</v>
      </c>
      <c r="G18" s="95">
        <f t="shared" si="4"/>
        <v>1.4522</v>
      </c>
      <c r="H18" s="95">
        <v>1.37</v>
      </c>
      <c r="I18" s="120">
        <v>0.06</v>
      </c>
      <c r="J18" s="95">
        <v>0.25</v>
      </c>
      <c r="K18" s="95">
        <f t="shared" si="0"/>
        <v>0.721998</v>
      </c>
      <c r="L18" s="95">
        <f t="shared" si="1"/>
        <v>0.78697782</v>
      </c>
      <c r="M18" s="95">
        <f t="shared" si="2"/>
        <v>9.53117582</v>
      </c>
      <c r="N18" s="95">
        <f t="shared" si="3"/>
        <v>907.83496567918</v>
      </c>
      <c r="O18" s="123"/>
    </row>
    <row r="19" s="78" customFormat="1" ht="48" outlineLevel="1" spans="1:15">
      <c r="A19" s="105">
        <v>14</v>
      </c>
      <c r="B19" s="106" t="s">
        <v>158</v>
      </c>
      <c r="C19" s="107" t="s">
        <v>159</v>
      </c>
      <c r="D19" s="109" t="s">
        <v>78</v>
      </c>
      <c r="E19" s="109">
        <v>4.6</v>
      </c>
      <c r="F19" s="95">
        <v>1.79</v>
      </c>
      <c r="G19" s="95">
        <f t="shared" si="4"/>
        <v>3.2025</v>
      </c>
      <c r="H19" s="95">
        <v>3.05</v>
      </c>
      <c r="I19" s="120">
        <v>0.05</v>
      </c>
      <c r="J19" s="95">
        <v>0.07</v>
      </c>
      <c r="K19" s="95">
        <f t="shared" si="0"/>
        <v>0.455625</v>
      </c>
      <c r="L19" s="95">
        <f t="shared" si="1"/>
        <v>0.49663125</v>
      </c>
      <c r="M19" s="95">
        <f t="shared" si="2"/>
        <v>6.01475625</v>
      </c>
      <c r="N19" s="95">
        <f t="shared" si="3"/>
        <v>27.66787875</v>
      </c>
      <c r="O19" s="109"/>
    </row>
    <row r="20" s="78" customFormat="1" ht="48" outlineLevel="1" spans="1:15">
      <c r="A20" s="105">
        <v>15</v>
      </c>
      <c r="B20" s="106" t="s">
        <v>160</v>
      </c>
      <c r="C20" s="107" t="s">
        <v>161</v>
      </c>
      <c r="D20" s="109" t="s">
        <v>78</v>
      </c>
      <c r="E20" s="109">
        <v>25.37</v>
      </c>
      <c r="F20" s="95">
        <v>0.72</v>
      </c>
      <c r="G20" s="95">
        <f t="shared" si="4"/>
        <v>4.235</v>
      </c>
      <c r="H20" s="95">
        <v>3.85</v>
      </c>
      <c r="I20" s="120">
        <v>0.1</v>
      </c>
      <c r="J20" s="95">
        <v>0.18</v>
      </c>
      <c r="K20" s="95">
        <f t="shared" si="0"/>
        <v>0.46215</v>
      </c>
      <c r="L20" s="95">
        <f t="shared" si="1"/>
        <v>0.5037435</v>
      </c>
      <c r="M20" s="95">
        <f t="shared" si="2"/>
        <v>6.1008935</v>
      </c>
      <c r="N20" s="95">
        <f t="shared" si="3"/>
        <v>154.779668095</v>
      </c>
      <c r="O20" s="109"/>
    </row>
    <row r="21" s="78" customFormat="1" ht="48" outlineLevel="1" spans="1:15">
      <c r="A21" s="105">
        <v>16</v>
      </c>
      <c r="B21" s="106" t="s">
        <v>160</v>
      </c>
      <c r="C21" s="107" t="s">
        <v>162</v>
      </c>
      <c r="D21" s="109" t="s">
        <v>78</v>
      </c>
      <c r="E21" s="109">
        <v>259.383</v>
      </c>
      <c r="F21" s="95">
        <v>1.05</v>
      </c>
      <c r="G21" s="95">
        <f t="shared" si="4"/>
        <v>2.9232</v>
      </c>
      <c r="H21" s="95">
        <v>2.52</v>
      </c>
      <c r="I21" s="120">
        <v>0.16</v>
      </c>
      <c r="J21" s="95">
        <v>0.18</v>
      </c>
      <c r="K21" s="95">
        <f t="shared" si="0"/>
        <v>0.373788</v>
      </c>
      <c r="L21" s="95">
        <f t="shared" si="1"/>
        <v>0.40742892</v>
      </c>
      <c r="M21" s="95">
        <f t="shared" si="2"/>
        <v>4.93441692</v>
      </c>
      <c r="N21" s="95">
        <f t="shared" si="3"/>
        <v>1279.90386396036</v>
      </c>
      <c r="O21" s="109"/>
    </row>
    <row r="22" s="78" customFormat="1" spans="1:15">
      <c r="A22" s="105">
        <v>17</v>
      </c>
      <c r="B22" s="111" t="s">
        <v>96</v>
      </c>
      <c r="C22" s="112"/>
      <c r="D22" s="113" t="s">
        <v>97</v>
      </c>
      <c r="E22" s="112"/>
      <c r="F22" s="182"/>
      <c r="G22" s="182"/>
      <c r="H22" s="182"/>
      <c r="I22" s="182"/>
      <c r="J22" s="121"/>
      <c r="K22" s="121"/>
      <c r="L22" s="121"/>
      <c r="M22" s="121"/>
      <c r="N22" s="121">
        <f>SUM(N6:N21)</f>
        <v>10779.8827891665</v>
      </c>
      <c r="O22" s="112"/>
    </row>
    <row r="23" s="79" customFormat="1" ht="24" customHeight="1" spans="1:15">
      <c r="A23" s="105" t="s">
        <v>33</v>
      </c>
      <c r="B23" s="102" t="s">
        <v>163</v>
      </c>
      <c r="C23" s="101" t="s">
        <v>99</v>
      </c>
      <c r="D23" s="101" t="s">
        <v>39</v>
      </c>
      <c r="E23" s="103"/>
      <c r="F23" s="109"/>
      <c r="G23" s="109"/>
      <c r="H23" s="109"/>
      <c r="I23" s="109"/>
      <c r="J23" s="109"/>
      <c r="K23" s="109"/>
      <c r="L23" s="109"/>
      <c r="M23" s="109"/>
      <c r="N23" s="109"/>
      <c r="O23" s="109"/>
    </row>
    <row r="24" s="78" customFormat="1" ht="60" outlineLevel="1" spans="1:15">
      <c r="A24" s="105">
        <v>1</v>
      </c>
      <c r="B24" s="106" t="s">
        <v>132</v>
      </c>
      <c r="C24" s="107" t="s">
        <v>133</v>
      </c>
      <c r="D24" s="108" t="s">
        <v>32</v>
      </c>
      <c r="E24" s="179">
        <v>3</v>
      </c>
      <c r="F24" s="95">
        <v>12.86</v>
      </c>
      <c r="G24" s="95">
        <f t="shared" ref="G24:G39" si="5">H24*(1+I24)</f>
        <v>35.35</v>
      </c>
      <c r="H24" s="95">
        <v>35</v>
      </c>
      <c r="I24" s="120">
        <v>0.01</v>
      </c>
      <c r="J24" s="95">
        <v>6.51</v>
      </c>
      <c r="K24" s="95">
        <f t="shared" ref="K24:K39" si="6">(F24+G24+J24)*9%</f>
        <v>4.9248</v>
      </c>
      <c r="L24" s="95">
        <f t="shared" ref="L24:L39" si="7">(F24+G24+J24+K24)*9%</f>
        <v>5.368032</v>
      </c>
      <c r="M24" s="95">
        <f t="shared" ref="M24:M39" si="8">F24+G24+J24+K24+L24</f>
        <v>65.012832</v>
      </c>
      <c r="N24" s="95">
        <f t="shared" ref="N24:N39" si="9">M24*E24</f>
        <v>195.038496</v>
      </c>
      <c r="O24" s="109"/>
    </row>
    <row r="25" s="78" customFormat="1" ht="48" outlineLevel="1" spans="1:15">
      <c r="A25" s="105">
        <v>2</v>
      </c>
      <c r="B25" s="110" t="s">
        <v>134</v>
      </c>
      <c r="C25" s="107" t="s">
        <v>135</v>
      </c>
      <c r="D25" s="108" t="s">
        <v>32</v>
      </c>
      <c r="E25" s="179">
        <v>1</v>
      </c>
      <c r="F25" s="95">
        <v>355.52</v>
      </c>
      <c r="G25" s="95">
        <f t="shared" si="5"/>
        <v>3838</v>
      </c>
      <c r="H25" s="95">
        <v>3800</v>
      </c>
      <c r="I25" s="120">
        <v>0.01</v>
      </c>
      <c r="J25" s="95">
        <v>84.39</v>
      </c>
      <c r="K25" s="95">
        <f t="shared" si="6"/>
        <v>385.0119</v>
      </c>
      <c r="L25" s="95">
        <f t="shared" si="7"/>
        <v>419.662971</v>
      </c>
      <c r="M25" s="95">
        <f t="shared" si="8"/>
        <v>5082.584871</v>
      </c>
      <c r="N25" s="95">
        <f t="shared" si="9"/>
        <v>5082.584871</v>
      </c>
      <c r="O25" s="109"/>
    </row>
    <row r="26" s="78" customFormat="1" ht="48" outlineLevel="1" spans="1:15">
      <c r="A26" s="105">
        <v>3</v>
      </c>
      <c r="B26" s="110" t="s">
        <v>136</v>
      </c>
      <c r="C26" s="107" t="s">
        <v>137</v>
      </c>
      <c r="D26" s="108" t="s">
        <v>32</v>
      </c>
      <c r="E26" s="179">
        <v>2</v>
      </c>
      <c r="F26" s="95">
        <v>14.7</v>
      </c>
      <c r="G26" s="95">
        <f t="shared" si="5"/>
        <v>181.8</v>
      </c>
      <c r="H26" s="95">
        <v>180</v>
      </c>
      <c r="I26" s="120">
        <v>0.01</v>
      </c>
      <c r="J26" s="95">
        <v>12.51</v>
      </c>
      <c r="K26" s="95">
        <f t="shared" si="6"/>
        <v>18.8109</v>
      </c>
      <c r="L26" s="95">
        <f t="shared" si="7"/>
        <v>20.503881</v>
      </c>
      <c r="M26" s="95">
        <f t="shared" si="8"/>
        <v>248.324781</v>
      </c>
      <c r="N26" s="95">
        <f t="shared" si="9"/>
        <v>496.649562</v>
      </c>
      <c r="O26" s="109"/>
    </row>
    <row r="27" s="78" customFormat="1" ht="48" outlineLevel="1" spans="1:15">
      <c r="A27" s="105">
        <v>4</v>
      </c>
      <c r="B27" s="106" t="s">
        <v>138</v>
      </c>
      <c r="C27" s="107" t="s">
        <v>139</v>
      </c>
      <c r="D27" s="108" t="s">
        <v>32</v>
      </c>
      <c r="E27" s="179">
        <v>6</v>
      </c>
      <c r="F27" s="95">
        <v>12.77</v>
      </c>
      <c r="G27" s="95">
        <f t="shared" si="5"/>
        <v>38.38</v>
      </c>
      <c r="H27" s="95">
        <v>38</v>
      </c>
      <c r="I27" s="120">
        <v>0.01</v>
      </c>
      <c r="J27" s="95">
        <v>7.95</v>
      </c>
      <c r="K27" s="95">
        <f t="shared" si="6"/>
        <v>5.319</v>
      </c>
      <c r="L27" s="95">
        <f t="shared" si="7"/>
        <v>5.79771</v>
      </c>
      <c r="M27" s="95">
        <f t="shared" si="8"/>
        <v>70.21671</v>
      </c>
      <c r="N27" s="95">
        <f t="shared" si="9"/>
        <v>421.30026</v>
      </c>
      <c r="O27" s="109"/>
    </row>
    <row r="28" s="78" customFormat="1" ht="48" outlineLevel="1" spans="1:15">
      <c r="A28" s="105">
        <v>5</v>
      </c>
      <c r="B28" s="106" t="s">
        <v>141</v>
      </c>
      <c r="C28" s="107" t="s">
        <v>142</v>
      </c>
      <c r="D28" s="108" t="s">
        <v>32</v>
      </c>
      <c r="E28" s="179">
        <v>7</v>
      </c>
      <c r="F28" s="95">
        <v>17.78</v>
      </c>
      <c r="G28" s="95">
        <f t="shared" si="5"/>
        <v>29.29</v>
      </c>
      <c r="H28" s="95">
        <v>29</v>
      </c>
      <c r="I28" s="120">
        <v>0.01</v>
      </c>
      <c r="J28" s="95">
        <v>7.39</v>
      </c>
      <c r="K28" s="95">
        <f t="shared" si="6"/>
        <v>4.9014</v>
      </c>
      <c r="L28" s="95">
        <f t="shared" si="7"/>
        <v>5.342526</v>
      </c>
      <c r="M28" s="95">
        <f t="shared" si="8"/>
        <v>64.703926</v>
      </c>
      <c r="N28" s="95">
        <f t="shared" si="9"/>
        <v>452.927482</v>
      </c>
      <c r="O28" s="109"/>
    </row>
    <row r="29" s="78" customFormat="1" ht="48" outlineLevel="1" spans="1:15">
      <c r="A29" s="105">
        <v>6</v>
      </c>
      <c r="B29" s="110" t="s">
        <v>143</v>
      </c>
      <c r="C29" s="107" t="s">
        <v>144</v>
      </c>
      <c r="D29" s="180" t="s">
        <v>78</v>
      </c>
      <c r="E29" s="181">
        <v>9.56</v>
      </c>
      <c r="F29" s="95">
        <v>14.63</v>
      </c>
      <c r="G29" s="95">
        <f t="shared" si="5"/>
        <v>15.15</v>
      </c>
      <c r="H29" s="95">
        <v>15</v>
      </c>
      <c r="I29" s="120">
        <v>0.01</v>
      </c>
      <c r="J29" s="95">
        <v>8.2</v>
      </c>
      <c r="K29" s="95">
        <f t="shared" si="6"/>
        <v>3.4182</v>
      </c>
      <c r="L29" s="95">
        <f t="shared" si="7"/>
        <v>3.725838</v>
      </c>
      <c r="M29" s="95">
        <f t="shared" si="8"/>
        <v>45.124038</v>
      </c>
      <c r="N29" s="95">
        <f t="shared" si="9"/>
        <v>431.38580328</v>
      </c>
      <c r="O29" s="109"/>
    </row>
    <row r="30" s="78" customFormat="1" ht="53" customHeight="1" outlineLevel="1" spans="1:15">
      <c r="A30" s="105">
        <v>7</v>
      </c>
      <c r="B30" s="110" t="s">
        <v>145</v>
      </c>
      <c r="C30" s="107" t="s">
        <v>146</v>
      </c>
      <c r="D30" s="180" t="s">
        <v>78</v>
      </c>
      <c r="E30" s="181">
        <v>8.1</v>
      </c>
      <c r="F30" s="95">
        <v>14.63</v>
      </c>
      <c r="G30" s="95">
        <f t="shared" si="5"/>
        <v>22.22</v>
      </c>
      <c r="H30" s="95">
        <v>22</v>
      </c>
      <c r="I30" s="120">
        <v>0.01</v>
      </c>
      <c r="J30" s="95">
        <v>10.78</v>
      </c>
      <c r="K30" s="95">
        <f t="shared" si="6"/>
        <v>4.2867</v>
      </c>
      <c r="L30" s="95">
        <f t="shared" si="7"/>
        <v>4.672503</v>
      </c>
      <c r="M30" s="95">
        <f t="shared" si="8"/>
        <v>56.589203</v>
      </c>
      <c r="N30" s="95">
        <f t="shared" si="9"/>
        <v>458.3725443</v>
      </c>
      <c r="O30" s="109"/>
    </row>
    <row r="31" s="78" customFormat="1" ht="48" outlineLevel="1" spans="1:15">
      <c r="A31" s="105">
        <v>8</v>
      </c>
      <c r="B31" s="106" t="s">
        <v>147</v>
      </c>
      <c r="C31" s="107" t="s">
        <v>148</v>
      </c>
      <c r="D31" s="108" t="s">
        <v>32</v>
      </c>
      <c r="E31" s="179">
        <v>1</v>
      </c>
      <c r="F31" s="95">
        <v>7.23</v>
      </c>
      <c r="G31" s="95">
        <f t="shared" si="5"/>
        <v>27.0504</v>
      </c>
      <c r="H31" s="95">
        <v>26.52</v>
      </c>
      <c r="I31" s="120">
        <v>0.02</v>
      </c>
      <c r="J31" s="95">
        <v>1.36</v>
      </c>
      <c r="K31" s="95">
        <f t="shared" si="6"/>
        <v>3.207636</v>
      </c>
      <c r="L31" s="95">
        <f t="shared" si="7"/>
        <v>3.49632324</v>
      </c>
      <c r="M31" s="95">
        <f t="shared" si="8"/>
        <v>42.34435924</v>
      </c>
      <c r="N31" s="95">
        <f t="shared" si="9"/>
        <v>42.34435924</v>
      </c>
      <c r="O31" s="109"/>
    </row>
    <row r="32" s="78" customFormat="1" ht="48" outlineLevel="1" spans="1:15">
      <c r="A32" s="105">
        <v>9</v>
      </c>
      <c r="B32" s="106" t="s">
        <v>149</v>
      </c>
      <c r="C32" s="107" t="s">
        <v>150</v>
      </c>
      <c r="D32" s="108" t="s">
        <v>32</v>
      </c>
      <c r="E32" s="179">
        <v>1</v>
      </c>
      <c r="F32" s="95">
        <v>7.23</v>
      </c>
      <c r="G32" s="95">
        <f t="shared" si="5"/>
        <v>23.9292</v>
      </c>
      <c r="H32" s="95">
        <v>23.46</v>
      </c>
      <c r="I32" s="120">
        <v>0.02</v>
      </c>
      <c r="J32" s="95">
        <v>1.36</v>
      </c>
      <c r="K32" s="95">
        <f t="shared" si="6"/>
        <v>2.926728</v>
      </c>
      <c r="L32" s="95">
        <f t="shared" si="7"/>
        <v>3.19013352</v>
      </c>
      <c r="M32" s="95">
        <f t="shared" si="8"/>
        <v>38.63606152</v>
      </c>
      <c r="N32" s="95">
        <f t="shared" si="9"/>
        <v>38.63606152</v>
      </c>
      <c r="O32" s="25"/>
    </row>
    <row r="33" s="78" customFormat="1" ht="60" outlineLevel="1" spans="1:15">
      <c r="A33" s="105">
        <v>10</v>
      </c>
      <c r="B33" s="106" t="s">
        <v>151</v>
      </c>
      <c r="C33" s="107" t="s">
        <v>152</v>
      </c>
      <c r="D33" s="108" t="s">
        <v>32</v>
      </c>
      <c r="E33" s="25">
        <v>2</v>
      </c>
      <c r="F33" s="95">
        <v>8.97</v>
      </c>
      <c r="G33" s="95">
        <f t="shared" si="5"/>
        <v>25.5</v>
      </c>
      <c r="H33" s="95">
        <v>25</v>
      </c>
      <c r="I33" s="120">
        <v>0.02</v>
      </c>
      <c r="J33" s="95">
        <v>1.36</v>
      </c>
      <c r="K33" s="95">
        <f t="shared" si="6"/>
        <v>3.2247</v>
      </c>
      <c r="L33" s="95">
        <f t="shared" si="7"/>
        <v>3.514923</v>
      </c>
      <c r="M33" s="95">
        <f t="shared" si="8"/>
        <v>42.569623</v>
      </c>
      <c r="N33" s="95">
        <f t="shared" si="9"/>
        <v>85.139246</v>
      </c>
      <c r="O33" s="25"/>
    </row>
    <row r="34" s="78" customFormat="1" ht="48" outlineLevel="1" spans="1:15">
      <c r="A34" s="105">
        <v>11</v>
      </c>
      <c r="B34" s="106" t="s">
        <v>153</v>
      </c>
      <c r="C34" s="107" t="s">
        <v>154</v>
      </c>
      <c r="D34" s="108" t="s">
        <v>32</v>
      </c>
      <c r="E34" s="179">
        <v>2</v>
      </c>
      <c r="F34" s="95">
        <v>8.26</v>
      </c>
      <c r="G34" s="95">
        <f t="shared" si="5"/>
        <v>30.3</v>
      </c>
      <c r="H34" s="95">
        <v>30</v>
      </c>
      <c r="I34" s="120">
        <v>0.01</v>
      </c>
      <c r="J34" s="95">
        <v>0.2</v>
      </c>
      <c r="K34" s="95">
        <f t="shared" si="6"/>
        <v>3.4884</v>
      </c>
      <c r="L34" s="95">
        <f t="shared" si="7"/>
        <v>3.802356</v>
      </c>
      <c r="M34" s="95">
        <f t="shared" si="8"/>
        <v>46.050756</v>
      </c>
      <c r="N34" s="95">
        <f t="shared" si="9"/>
        <v>92.101512</v>
      </c>
      <c r="O34" s="25"/>
    </row>
    <row r="35" s="78" customFormat="1" ht="60" outlineLevel="1" spans="1:15">
      <c r="A35" s="105">
        <v>12</v>
      </c>
      <c r="B35" s="106" t="s">
        <v>155</v>
      </c>
      <c r="C35" s="107" t="s">
        <v>156</v>
      </c>
      <c r="D35" s="109" t="s">
        <v>78</v>
      </c>
      <c r="E35" s="109">
        <v>13.42</v>
      </c>
      <c r="F35" s="95">
        <v>6.73</v>
      </c>
      <c r="G35" s="95">
        <f t="shared" si="5"/>
        <v>1.8656</v>
      </c>
      <c r="H35" s="95">
        <v>1.76</v>
      </c>
      <c r="I35" s="120">
        <v>0.06</v>
      </c>
      <c r="J35" s="95">
        <v>0.26</v>
      </c>
      <c r="K35" s="95">
        <f t="shared" si="6"/>
        <v>0.797004</v>
      </c>
      <c r="L35" s="95">
        <f t="shared" si="7"/>
        <v>0.86873436</v>
      </c>
      <c r="M35" s="95">
        <f t="shared" si="8"/>
        <v>10.52133836</v>
      </c>
      <c r="N35" s="95">
        <f t="shared" si="9"/>
        <v>141.1963607912</v>
      </c>
      <c r="O35" s="25"/>
    </row>
    <row r="36" s="78" customFormat="1" ht="60" outlineLevel="1" spans="1:15">
      <c r="A36" s="105">
        <v>13</v>
      </c>
      <c r="B36" s="106" t="s">
        <v>155</v>
      </c>
      <c r="C36" s="107" t="s">
        <v>157</v>
      </c>
      <c r="D36" s="109" t="s">
        <v>78</v>
      </c>
      <c r="E36" s="109">
        <v>92.5</v>
      </c>
      <c r="F36" s="95">
        <v>6.32</v>
      </c>
      <c r="G36" s="95">
        <f t="shared" si="5"/>
        <v>1.4522</v>
      </c>
      <c r="H36" s="95">
        <v>1.37</v>
      </c>
      <c r="I36" s="120">
        <v>0.06</v>
      </c>
      <c r="J36" s="95">
        <v>0.25</v>
      </c>
      <c r="K36" s="95">
        <f t="shared" si="6"/>
        <v>0.721998</v>
      </c>
      <c r="L36" s="95">
        <f t="shared" si="7"/>
        <v>0.78697782</v>
      </c>
      <c r="M36" s="95">
        <f t="shared" si="8"/>
        <v>9.53117582</v>
      </c>
      <c r="N36" s="95">
        <f t="shared" si="9"/>
        <v>881.63376335</v>
      </c>
      <c r="O36" s="123"/>
    </row>
    <row r="37" s="78" customFormat="1" ht="48" outlineLevel="1" spans="1:15">
      <c r="A37" s="105">
        <v>14</v>
      </c>
      <c r="B37" s="106" t="s">
        <v>158</v>
      </c>
      <c r="C37" s="107" t="s">
        <v>159</v>
      </c>
      <c r="D37" s="109" t="s">
        <v>78</v>
      </c>
      <c r="E37" s="109">
        <v>13.35</v>
      </c>
      <c r="F37" s="95">
        <v>1.79</v>
      </c>
      <c r="G37" s="95">
        <f t="shared" si="5"/>
        <v>3.2025</v>
      </c>
      <c r="H37" s="95">
        <v>3.05</v>
      </c>
      <c r="I37" s="120">
        <v>0.05</v>
      </c>
      <c r="J37" s="95">
        <v>0.07</v>
      </c>
      <c r="K37" s="95">
        <f t="shared" si="6"/>
        <v>0.455625</v>
      </c>
      <c r="L37" s="95">
        <f t="shared" si="7"/>
        <v>0.49663125</v>
      </c>
      <c r="M37" s="95">
        <f t="shared" si="8"/>
        <v>6.01475625</v>
      </c>
      <c r="N37" s="95">
        <f t="shared" si="9"/>
        <v>80.2969959375</v>
      </c>
      <c r="O37" s="123"/>
    </row>
    <row r="38" s="78" customFormat="1" ht="48" outlineLevel="1" spans="1:15">
      <c r="A38" s="105">
        <v>15</v>
      </c>
      <c r="B38" s="106" t="s">
        <v>160</v>
      </c>
      <c r="C38" s="107" t="s">
        <v>161</v>
      </c>
      <c r="D38" s="109" t="s">
        <v>78</v>
      </c>
      <c r="E38" s="109">
        <v>40.26</v>
      </c>
      <c r="F38" s="95">
        <v>0.72</v>
      </c>
      <c r="G38" s="95">
        <f t="shared" si="5"/>
        <v>4.235</v>
      </c>
      <c r="H38" s="95">
        <v>3.85</v>
      </c>
      <c r="I38" s="120">
        <v>0.1</v>
      </c>
      <c r="J38" s="95">
        <v>0.18</v>
      </c>
      <c r="K38" s="95">
        <f t="shared" si="6"/>
        <v>0.46215</v>
      </c>
      <c r="L38" s="95">
        <f t="shared" si="7"/>
        <v>0.5037435</v>
      </c>
      <c r="M38" s="95">
        <f t="shared" si="8"/>
        <v>6.1008935</v>
      </c>
      <c r="N38" s="95">
        <f t="shared" si="9"/>
        <v>245.62197231</v>
      </c>
      <c r="O38" s="123"/>
    </row>
    <row r="39" s="78" customFormat="1" ht="48" outlineLevel="1" spans="1:15">
      <c r="A39" s="105">
        <v>16</v>
      </c>
      <c r="B39" s="106" t="s">
        <v>160</v>
      </c>
      <c r="C39" s="107" t="s">
        <v>162</v>
      </c>
      <c r="D39" s="109" t="s">
        <v>78</v>
      </c>
      <c r="E39" s="109">
        <v>237.46</v>
      </c>
      <c r="F39" s="95">
        <v>1.05</v>
      </c>
      <c r="G39" s="95">
        <f t="shared" si="5"/>
        <v>2.9232</v>
      </c>
      <c r="H39" s="95">
        <v>2.52</v>
      </c>
      <c r="I39" s="120">
        <v>0.16</v>
      </c>
      <c r="J39" s="95">
        <v>0.18</v>
      </c>
      <c r="K39" s="95">
        <f t="shared" si="6"/>
        <v>0.373788</v>
      </c>
      <c r="L39" s="95">
        <f t="shared" si="7"/>
        <v>0.40742892</v>
      </c>
      <c r="M39" s="95">
        <f t="shared" si="8"/>
        <v>4.93441692</v>
      </c>
      <c r="N39" s="95">
        <f t="shared" si="9"/>
        <v>1171.7266418232</v>
      </c>
      <c r="O39" s="109"/>
    </row>
    <row r="40" s="78" customFormat="1" spans="1:15">
      <c r="A40" s="105">
        <v>17</v>
      </c>
      <c r="B40" s="111" t="s">
        <v>96</v>
      </c>
      <c r="C40" s="112"/>
      <c r="D40" s="113" t="s">
        <v>97</v>
      </c>
      <c r="E40" s="112"/>
      <c r="F40" s="182"/>
      <c r="G40" s="182"/>
      <c r="H40" s="182"/>
      <c r="I40" s="182"/>
      <c r="J40" s="121"/>
      <c r="K40" s="121"/>
      <c r="L40" s="121"/>
      <c r="M40" s="121"/>
      <c r="N40" s="121">
        <f>SUM(N24:N39)</f>
        <v>10316.9559315519</v>
      </c>
      <c r="O40" s="112"/>
    </row>
    <row r="41" s="78" customFormat="1" spans="1:15">
      <c r="A41" s="105" t="s">
        <v>35</v>
      </c>
      <c r="B41" s="102" t="s">
        <v>164</v>
      </c>
      <c r="C41" s="101" t="s">
        <v>99</v>
      </c>
      <c r="D41" s="101" t="s">
        <v>39</v>
      </c>
      <c r="E41" s="103"/>
      <c r="F41" s="109"/>
      <c r="G41" s="109"/>
      <c r="H41" s="109"/>
      <c r="I41" s="109"/>
      <c r="J41" s="109"/>
      <c r="K41" s="109"/>
      <c r="L41" s="109"/>
      <c r="M41" s="109"/>
      <c r="N41" s="109"/>
      <c r="O41" s="109"/>
    </row>
    <row r="42" s="78" customFormat="1" ht="60" outlineLevel="1" spans="1:15">
      <c r="A42" s="105">
        <v>1</v>
      </c>
      <c r="B42" s="106" t="s">
        <v>132</v>
      </c>
      <c r="C42" s="107" t="s">
        <v>133</v>
      </c>
      <c r="D42" s="108" t="s">
        <v>32</v>
      </c>
      <c r="E42" s="179">
        <v>9</v>
      </c>
      <c r="F42" s="95">
        <v>12.86</v>
      </c>
      <c r="G42" s="95">
        <f>H42*(1+I42)</f>
        <v>35.35</v>
      </c>
      <c r="H42" s="95">
        <v>35</v>
      </c>
      <c r="I42" s="120">
        <v>0.01</v>
      </c>
      <c r="J42" s="95">
        <v>6.51</v>
      </c>
      <c r="K42" s="95">
        <f>(F42+G42+J42)*9%</f>
        <v>4.9248</v>
      </c>
      <c r="L42" s="95">
        <f>(F42+G42+J42+K42)*9%</f>
        <v>5.368032</v>
      </c>
      <c r="M42" s="95">
        <f>F42+G42+J42+K42+L42</f>
        <v>65.012832</v>
      </c>
      <c r="N42" s="95">
        <f>M42*E42</f>
        <v>585.115488</v>
      </c>
      <c r="O42" s="109"/>
    </row>
    <row r="43" s="78" customFormat="1" ht="48" outlineLevel="1" spans="1:15">
      <c r="A43" s="105">
        <v>2</v>
      </c>
      <c r="B43" s="110" t="s">
        <v>134</v>
      </c>
      <c r="C43" s="107" t="s">
        <v>135</v>
      </c>
      <c r="D43" s="108" t="s">
        <v>32</v>
      </c>
      <c r="E43" s="179">
        <v>1</v>
      </c>
      <c r="F43" s="95">
        <v>355.52</v>
      </c>
      <c r="G43" s="95">
        <f>H43*(1+I43)</f>
        <v>3838</v>
      </c>
      <c r="H43" s="95">
        <v>3800</v>
      </c>
      <c r="I43" s="120">
        <v>0.01</v>
      </c>
      <c r="J43" s="95">
        <v>84.39</v>
      </c>
      <c r="K43" s="95">
        <f>(F43+G43+J43)*9%</f>
        <v>385.0119</v>
      </c>
      <c r="L43" s="95">
        <f>(F43+G43+J43+K43)*9%</f>
        <v>419.662971</v>
      </c>
      <c r="M43" s="95">
        <f>F43+G43+J43+K43+L43</f>
        <v>5082.584871</v>
      </c>
      <c r="N43" s="95">
        <f>M43*E43</f>
        <v>5082.584871</v>
      </c>
      <c r="O43" s="109"/>
    </row>
    <row r="44" s="78" customFormat="1" ht="48" outlineLevel="1" spans="1:15">
      <c r="A44" s="105">
        <v>3</v>
      </c>
      <c r="B44" s="110" t="s">
        <v>136</v>
      </c>
      <c r="C44" s="107" t="s">
        <v>137</v>
      </c>
      <c r="D44" s="108" t="s">
        <v>32</v>
      </c>
      <c r="E44" s="179">
        <v>2</v>
      </c>
      <c r="F44" s="95">
        <v>14.7</v>
      </c>
      <c r="G44" s="95">
        <f>H44*(1+I44)</f>
        <v>181.8</v>
      </c>
      <c r="H44" s="95">
        <v>180</v>
      </c>
      <c r="I44" s="120">
        <v>0.01</v>
      </c>
      <c r="J44" s="95">
        <v>12.51</v>
      </c>
      <c r="K44" s="95">
        <f>(F44+G44+J44)*9%</f>
        <v>18.8109</v>
      </c>
      <c r="L44" s="95">
        <f>(F44+G44+J44+K44)*9%</f>
        <v>20.503881</v>
      </c>
      <c r="M44" s="95">
        <f>F44+G44+J44+K44+L44</f>
        <v>248.324781</v>
      </c>
      <c r="N44" s="95">
        <f>M44*E44</f>
        <v>496.649562</v>
      </c>
      <c r="O44" s="109"/>
    </row>
    <row r="45" s="78" customFormat="1" ht="48" outlineLevel="1" spans="1:15">
      <c r="A45" s="105">
        <v>4</v>
      </c>
      <c r="B45" s="106" t="s">
        <v>138</v>
      </c>
      <c r="C45" s="107" t="s">
        <v>139</v>
      </c>
      <c r="D45" s="108" t="s">
        <v>32</v>
      </c>
      <c r="E45" s="179">
        <v>7</v>
      </c>
      <c r="F45" s="95">
        <v>12.77</v>
      </c>
      <c r="G45" s="95">
        <f>H45*(1+I45)</f>
        <v>38.38</v>
      </c>
      <c r="H45" s="95">
        <v>38</v>
      </c>
      <c r="I45" s="120">
        <v>0.01</v>
      </c>
      <c r="J45" s="95">
        <v>7.95</v>
      </c>
      <c r="K45" s="95">
        <f>(F45+G45+J45)*9%</f>
        <v>5.319</v>
      </c>
      <c r="L45" s="95">
        <f>(F45+G45+J45+K45)*9%</f>
        <v>5.79771</v>
      </c>
      <c r="M45" s="95">
        <f>F45+G45+J45+K45+L45</f>
        <v>70.21671</v>
      </c>
      <c r="N45" s="95">
        <f>M45*E45</f>
        <v>491.51697</v>
      </c>
      <c r="O45" s="109"/>
    </row>
    <row r="46" s="78" customFormat="1" ht="48" outlineLevel="1" spans="1:15">
      <c r="A46" s="105">
        <v>5</v>
      </c>
      <c r="B46" s="106" t="s">
        <v>141</v>
      </c>
      <c r="C46" s="107" t="s">
        <v>142</v>
      </c>
      <c r="D46" s="108" t="s">
        <v>32</v>
      </c>
      <c r="E46" s="179">
        <v>4</v>
      </c>
      <c r="F46" s="95">
        <v>17.78</v>
      </c>
      <c r="G46" s="95">
        <f>H46*(1+I46)</f>
        <v>29.29</v>
      </c>
      <c r="H46" s="95">
        <v>29</v>
      </c>
      <c r="I46" s="120">
        <v>0.01</v>
      </c>
      <c r="J46" s="95">
        <v>7.39</v>
      </c>
      <c r="K46" s="95">
        <f>(F46+G46+J46)*9%</f>
        <v>4.9014</v>
      </c>
      <c r="L46" s="95">
        <f>(F46+G46+J46+K46)*9%</f>
        <v>5.342526</v>
      </c>
      <c r="M46" s="95">
        <f>F46+G46+J46+K46+L46</f>
        <v>64.703926</v>
      </c>
      <c r="N46" s="95">
        <f>M46*E46</f>
        <v>258.815704</v>
      </c>
      <c r="O46" s="109"/>
    </row>
    <row r="47" s="78" customFormat="1" ht="48" outlineLevel="1" spans="1:15">
      <c r="A47" s="105">
        <v>6</v>
      </c>
      <c r="B47" s="110" t="s">
        <v>143</v>
      </c>
      <c r="C47" s="107" t="s">
        <v>144</v>
      </c>
      <c r="D47" s="180" t="s">
        <v>78</v>
      </c>
      <c r="E47" s="181">
        <v>13.5</v>
      </c>
      <c r="F47" s="95">
        <v>14.63</v>
      </c>
      <c r="G47" s="95">
        <f t="shared" ref="G45:G57" si="10">H47*(1+I47)</f>
        <v>15.15</v>
      </c>
      <c r="H47" s="95">
        <v>15</v>
      </c>
      <c r="I47" s="120">
        <v>0.01</v>
      </c>
      <c r="J47" s="95">
        <v>8.2</v>
      </c>
      <c r="K47" s="95">
        <f t="shared" ref="K45:K57" si="11">(F47+G47+J47)*9%</f>
        <v>3.4182</v>
      </c>
      <c r="L47" s="95">
        <f t="shared" ref="L45:L57" si="12">(F47+G47+J47+K47)*9%</f>
        <v>3.725838</v>
      </c>
      <c r="M47" s="95">
        <f t="shared" ref="M45:M57" si="13">F47+G47+J47+K47+L47</f>
        <v>45.124038</v>
      </c>
      <c r="N47" s="95">
        <f t="shared" ref="N45:N57" si="14">M47*E47</f>
        <v>609.174513</v>
      </c>
      <c r="O47" s="109"/>
    </row>
    <row r="48" s="78" customFormat="1" ht="48" outlineLevel="1" spans="1:15">
      <c r="A48" s="105">
        <v>7</v>
      </c>
      <c r="B48" s="106" t="s">
        <v>147</v>
      </c>
      <c r="C48" s="107" t="s">
        <v>148</v>
      </c>
      <c r="D48" s="108" t="s">
        <v>32</v>
      </c>
      <c r="E48" s="179">
        <v>1</v>
      </c>
      <c r="F48" s="95">
        <v>7.23</v>
      </c>
      <c r="G48" s="95">
        <f t="shared" si="10"/>
        <v>27.0504</v>
      </c>
      <c r="H48" s="95">
        <v>26.52</v>
      </c>
      <c r="I48" s="120">
        <v>0.02</v>
      </c>
      <c r="J48" s="95">
        <v>1.36</v>
      </c>
      <c r="K48" s="95">
        <f t="shared" si="11"/>
        <v>3.207636</v>
      </c>
      <c r="L48" s="95">
        <f t="shared" si="12"/>
        <v>3.49632324</v>
      </c>
      <c r="M48" s="95">
        <f t="shared" si="13"/>
        <v>42.34435924</v>
      </c>
      <c r="N48" s="95">
        <f t="shared" si="14"/>
        <v>42.34435924</v>
      </c>
      <c r="O48" s="25"/>
    </row>
    <row r="49" s="78" customFormat="1" ht="48" outlineLevel="1" spans="1:15">
      <c r="A49" s="105">
        <v>8</v>
      </c>
      <c r="B49" s="106" t="s">
        <v>149</v>
      </c>
      <c r="C49" s="107" t="s">
        <v>150</v>
      </c>
      <c r="D49" s="108" t="s">
        <v>32</v>
      </c>
      <c r="E49" s="179">
        <v>1</v>
      </c>
      <c r="F49" s="95">
        <v>7.23</v>
      </c>
      <c r="G49" s="95">
        <f t="shared" si="10"/>
        <v>23.9292</v>
      </c>
      <c r="H49" s="95">
        <v>23.46</v>
      </c>
      <c r="I49" s="120">
        <v>0.02</v>
      </c>
      <c r="J49" s="95">
        <v>1.36</v>
      </c>
      <c r="K49" s="95">
        <f t="shared" si="11"/>
        <v>2.926728</v>
      </c>
      <c r="L49" s="95">
        <f t="shared" si="12"/>
        <v>3.19013352</v>
      </c>
      <c r="M49" s="95">
        <f t="shared" si="13"/>
        <v>38.63606152</v>
      </c>
      <c r="N49" s="95">
        <f t="shared" si="14"/>
        <v>38.63606152</v>
      </c>
      <c r="O49" s="25"/>
    </row>
    <row r="50" s="78" customFormat="1" ht="48" outlineLevel="1" spans="1:15">
      <c r="A50" s="105">
        <v>9</v>
      </c>
      <c r="B50" s="106" t="s">
        <v>165</v>
      </c>
      <c r="C50" s="107" t="s">
        <v>166</v>
      </c>
      <c r="D50" s="108" t="s">
        <v>32</v>
      </c>
      <c r="E50" s="179">
        <v>1</v>
      </c>
      <c r="F50" s="95">
        <v>7.23</v>
      </c>
      <c r="G50" s="95">
        <f t="shared" si="10"/>
        <v>13.5252</v>
      </c>
      <c r="H50" s="183">
        <v>13.26</v>
      </c>
      <c r="I50" s="120">
        <v>0.02</v>
      </c>
      <c r="J50" s="95">
        <v>1.36</v>
      </c>
      <c r="K50" s="95">
        <f t="shared" si="11"/>
        <v>1.990368</v>
      </c>
      <c r="L50" s="95">
        <f t="shared" si="12"/>
        <v>2.16950112</v>
      </c>
      <c r="M50" s="95">
        <f t="shared" si="13"/>
        <v>26.27506912</v>
      </c>
      <c r="N50" s="109">
        <f t="shared" si="14"/>
        <v>26.27506912</v>
      </c>
      <c r="O50" s="25"/>
    </row>
    <row r="51" s="78" customFormat="1" ht="60" outlineLevel="1" spans="1:15">
      <c r="A51" s="105">
        <v>10</v>
      </c>
      <c r="B51" s="106" t="s">
        <v>151</v>
      </c>
      <c r="C51" s="107" t="s">
        <v>152</v>
      </c>
      <c r="D51" s="108" t="s">
        <v>32</v>
      </c>
      <c r="E51" s="25">
        <v>2</v>
      </c>
      <c r="F51" s="95">
        <v>8.97</v>
      </c>
      <c r="G51" s="95">
        <f t="shared" si="10"/>
        <v>25.5</v>
      </c>
      <c r="H51" s="95">
        <v>25</v>
      </c>
      <c r="I51" s="120">
        <v>0.02</v>
      </c>
      <c r="J51" s="95">
        <v>1.36</v>
      </c>
      <c r="K51" s="95">
        <f t="shared" si="11"/>
        <v>3.2247</v>
      </c>
      <c r="L51" s="95">
        <f t="shared" si="12"/>
        <v>3.514923</v>
      </c>
      <c r="M51" s="95">
        <f t="shared" si="13"/>
        <v>42.569623</v>
      </c>
      <c r="N51" s="95">
        <f t="shared" si="14"/>
        <v>85.139246</v>
      </c>
      <c r="O51" s="25"/>
    </row>
    <row r="52" s="78" customFormat="1" ht="48" outlineLevel="1" spans="1:15">
      <c r="A52" s="105">
        <v>11</v>
      </c>
      <c r="B52" s="106" t="s">
        <v>153</v>
      </c>
      <c r="C52" s="107" t="s">
        <v>154</v>
      </c>
      <c r="D52" s="108" t="s">
        <v>32</v>
      </c>
      <c r="E52" s="179">
        <v>2</v>
      </c>
      <c r="F52" s="95">
        <v>8.26</v>
      </c>
      <c r="G52" s="95">
        <f t="shared" si="10"/>
        <v>30.3</v>
      </c>
      <c r="H52" s="95">
        <v>30</v>
      </c>
      <c r="I52" s="120">
        <v>0.01</v>
      </c>
      <c r="J52" s="95">
        <v>0.2</v>
      </c>
      <c r="K52" s="95">
        <f t="shared" si="11"/>
        <v>3.4884</v>
      </c>
      <c r="L52" s="95">
        <f t="shared" si="12"/>
        <v>3.802356</v>
      </c>
      <c r="M52" s="95">
        <f t="shared" si="13"/>
        <v>46.050756</v>
      </c>
      <c r="N52" s="95">
        <f t="shared" si="14"/>
        <v>92.101512</v>
      </c>
      <c r="O52" s="25"/>
    </row>
    <row r="53" s="78" customFormat="1" ht="60" outlineLevel="1" spans="1:15">
      <c r="A53" s="105">
        <v>12</v>
      </c>
      <c r="B53" s="106" t="s">
        <v>155</v>
      </c>
      <c r="C53" s="107" t="s">
        <v>156</v>
      </c>
      <c r="D53" s="109" t="s">
        <v>78</v>
      </c>
      <c r="E53" s="109">
        <v>14.49</v>
      </c>
      <c r="F53" s="95">
        <v>6.73</v>
      </c>
      <c r="G53" s="95">
        <f t="shared" si="10"/>
        <v>1.8656</v>
      </c>
      <c r="H53" s="95">
        <v>1.76</v>
      </c>
      <c r="I53" s="120">
        <v>0.06</v>
      </c>
      <c r="J53" s="95">
        <v>0.26</v>
      </c>
      <c r="K53" s="95">
        <f t="shared" si="11"/>
        <v>0.797004</v>
      </c>
      <c r="L53" s="95">
        <f t="shared" si="12"/>
        <v>0.86873436</v>
      </c>
      <c r="M53" s="95">
        <f t="shared" si="13"/>
        <v>10.52133836</v>
      </c>
      <c r="N53" s="95">
        <f t="shared" si="14"/>
        <v>152.4541928364</v>
      </c>
      <c r="O53" s="123"/>
    </row>
    <row r="54" s="78" customFormat="1" ht="60" outlineLevel="1" spans="1:15">
      <c r="A54" s="105">
        <v>13</v>
      </c>
      <c r="B54" s="106" t="s">
        <v>155</v>
      </c>
      <c r="C54" s="107" t="s">
        <v>157</v>
      </c>
      <c r="D54" s="109" t="s">
        <v>78</v>
      </c>
      <c r="E54" s="109">
        <v>126.62</v>
      </c>
      <c r="F54" s="95">
        <v>6.32</v>
      </c>
      <c r="G54" s="95">
        <f t="shared" si="10"/>
        <v>1.4522</v>
      </c>
      <c r="H54" s="95">
        <v>1.37</v>
      </c>
      <c r="I54" s="120">
        <v>0.06</v>
      </c>
      <c r="J54" s="95">
        <v>0.25</v>
      </c>
      <c r="K54" s="95">
        <f t="shared" si="11"/>
        <v>0.721998</v>
      </c>
      <c r="L54" s="95">
        <f t="shared" si="12"/>
        <v>0.78697782</v>
      </c>
      <c r="M54" s="95">
        <f t="shared" si="13"/>
        <v>9.53117582</v>
      </c>
      <c r="N54" s="95">
        <f t="shared" si="14"/>
        <v>1206.8374823284</v>
      </c>
      <c r="O54" s="123"/>
    </row>
    <row r="55" s="78" customFormat="1" ht="48" outlineLevel="1" spans="1:15">
      <c r="A55" s="105">
        <v>14</v>
      </c>
      <c r="B55" s="106" t="s">
        <v>158</v>
      </c>
      <c r="C55" s="107" t="s">
        <v>159</v>
      </c>
      <c r="D55" s="109" t="s">
        <v>78</v>
      </c>
      <c r="E55" s="109">
        <v>14.43</v>
      </c>
      <c r="F55" s="95">
        <v>1.79</v>
      </c>
      <c r="G55" s="95">
        <f t="shared" si="10"/>
        <v>3.2025</v>
      </c>
      <c r="H55" s="95">
        <v>3.05</v>
      </c>
      <c r="I55" s="120">
        <v>0.05</v>
      </c>
      <c r="J55" s="95">
        <v>0.07</v>
      </c>
      <c r="K55" s="95">
        <f t="shared" si="11"/>
        <v>0.455625</v>
      </c>
      <c r="L55" s="95">
        <f t="shared" si="12"/>
        <v>0.49663125</v>
      </c>
      <c r="M55" s="95">
        <f t="shared" si="13"/>
        <v>6.01475625</v>
      </c>
      <c r="N55" s="95">
        <f t="shared" si="14"/>
        <v>86.7929326875</v>
      </c>
      <c r="O55" s="123"/>
    </row>
    <row r="56" s="78" customFormat="1" ht="48" outlineLevel="1" spans="1:15">
      <c r="A56" s="105">
        <v>15</v>
      </c>
      <c r="B56" s="106" t="s">
        <v>160</v>
      </c>
      <c r="C56" s="107" t="s">
        <v>161</v>
      </c>
      <c r="D56" s="109" t="s">
        <v>78</v>
      </c>
      <c r="E56" s="109">
        <v>43.49</v>
      </c>
      <c r="F56" s="95">
        <v>0.72</v>
      </c>
      <c r="G56" s="95">
        <f t="shared" si="10"/>
        <v>4.235</v>
      </c>
      <c r="H56" s="95">
        <v>3.85</v>
      </c>
      <c r="I56" s="120">
        <v>0.1</v>
      </c>
      <c r="J56" s="95">
        <v>0.18</v>
      </c>
      <c r="K56" s="95">
        <f t="shared" si="11"/>
        <v>0.46215</v>
      </c>
      <c r="L56" s="95">
        <f t="shared" si="12"/>
        <v>0.5037435</v>
      </c>
      <c r="M56" s="95">
        <f t="shared" si="13"/>
        <v>6.1008935</v>
      </c>
      <c r="N56" s="95">
        <f t="shared" si="14"/>
        <v>265.327858315</v>
      </c>
      <c r="O56" s="109"/>
    </row>
    <row r="57" s="78" customFormat="1" ht="48" outlineLevel="1" spans="1:15">
      <c r="A57" s="105">
        <v>16</v>
      </c>
      <c r="B57" s="106" t="s">
        <v>160</v>
      </c>
      <c r="C57" s="107" t="s">
        <v>162</v>
      </c>
      <c r="D57" s="109" t="s">
        <v>78</v>
      </c>
      <c r="E57" s="109">
        <v>336.57</v>
      </c>
      <c r="F57" s="95">
        <v>1.05</v>
      </c>
      <c r="G57" s="95">
        <f t="shared" si="10"/>
        <v>2.9232</v>
      </c>
      <c r="H57" s="95">
        <v>2.52</v>
      </c>
      <c r="I57" s="120">
        <v>0.16</v>
      </c>
      <c r="J57" s="95">
        <v>0.18</v>
      </c>
      <c r="K57" s="95">
        <f t="shared" si="11"/>
        <v>0.373788</v>
      </c>
      <c r="L57" s="95">
        <f t="shared" si="12"/>
        <v>0.40742892</v>
      </c>
      <c r="M57" s="95">
        <f t="shared" si="13"/>
        <v>4.93441692</v>
      </c>
      <c r="N57" s="95">
        <f t="shared" si="14"/>
        <v>1660.7767027644</v>
      </c>
      <c r="O57" s="109"/>
    </row>
    <row r="58" s="78" customFormat="1" spans="1:15">
      <c r="A58" s="105">
        <v>17</v>
      </c>
      <c r="B58" s="111" t="s">
        <v>96</v>
      </c>
      <c r="C58" s="112"/>
      <c r="D58" s="113" t="s">
        <v>97</v>
      </c>
      <c r="E58" s="112"/>
      <c r="F58" s="182"/>
      <c r="G58" s="182"/>
      <c r="H58" s="182"/>
      <c r="I58" s="182"/>
      <c r="J58" s="121"/>
      <c r="K58" s="121"/>
      <c r="L58" s="121"/>
      <c r="M58" s="121"/>
      <c r="N58" s="121">
        <f>SUM(N42:N57)</f>
        <v>11180.5425248117</v>
      </c>
      <c r="O58" s="112"/>
    </row>
    <row r="59" s="78" customFormat="1" spans="1:15">
      <c r="A59" s="105" t="s">
        <v>37</v>
      </c>
      <c r="B59" s="102" t="s">
        <v>167</v>
      </c>
      <c r="C59" s="101" t="s">
        <v>99</v>
      </c>
      <c r="D59" s="101" t="s">
        <v>39</v>
      </c>
      <c r="E59" s="103"/>
      <c r="F59" s="109"/>
      <c r="G59" s="109"/>
      <c r="H59" s="109"/>
      <c r="I59" s="109"/>
      <c r="J59" s="109"/>
      <c r="K59" s="109"/>
      <c r="L59" s="109"/>
      <c r="M59" s="109"/>
      <c r="N59" s="109"/>
      <c r="O59" s="109"/>
    </row>
    <row r="60" s="78" customFormat="1" ht="60" outlineLevel="1" spans="1:15">
      <c r="A60" s="105">
        <v>1</v>
      </c>
      <c r="B60" s="106" t="s">
        <v>132</v>
      </c>
      <c r="C60" s="107" t="s">
        <v>133</v>
      </c>
      <c r="D60" s="108" t="s">
        <v>32</v>
      </c>
      <c r="E60" s="179">
        <v>3</v>
      </c>
      <c r="F60" s="95">
        <v>12.86</v>
      </c>
      <c r="G60" s="95">
        <f t="shared" ref="G60:G74" si="15">H60*(1+I60)</f>
        <v>35.35</v>
      </c>
      <c r="H60" s="95">
        <v>35</v>
      </c>
      <c r="I60" s="120">
        <v>0.01</v>
      </c>
      <c r="J60" s="95">
        <v>6.51</v>
      </c>
      <c r="K60" s="95">
        <f t="shared" ref="K60:K74" si="16">(F60+G60+J60)*9%</f>
        <v>4.9248</v>
      </c>
      <c r="L60" s="95">
        <f t="shared" ref="L60:L74" si="17">(F60+G60+J60+K60)*9%</f>
        <v>5.368032</v>
      </c>
      <c r="M60" s="95">
        <f t="shared" ref="M60:M74" si="18">F60+G60+J60+K60+L60</f>
        <v>65.012832</v>
      </c>
      <c r="N60" s="95">
        <f t="shared" ref="N60:N74" si="19">M60*E60</f>
        <v>195.038496</v>
      </c>
      <c r="O60" s="109"/>
    </row>
    <row r="61" s="78" customFormat="1" ht="48" outlineLevel="1" spans="1:15">
      <c r="A61" s="105">
        <v>2</v>
      </c>
      <c r="B61" s="110" t="s">
        <v>134</v>
      </c>
      <c r="C61" s="107" t="s">
        <v>135</v>
      </c>
      <c r="D61" s="108" t="s">
        <v>32</v>
      </c>
      <c r="E61" s="179">
        <v>1</v>
      </c>
      <c r="F61" s="95">
        <v>355.52</v>
      </c>
      <c r="G61" s="95">
        <f t="shared" si="15"/>
        <v>3838</v>
      </c>
      <c r="H61" s="95">
        <v>3800</v>
      </c>
      <c r="I61" s="120">
        <v>0.01</v>
      </c>
      <c r="J61" s="95">
        <v>84.39</v>
      </c>
      <c r="K61" s="95">
        <f t="shared" si="16"/>
        <v>385.0119</v>
      </c>
      <c r="L61" s="95">
        <f t="shared" si="17"/>
        <v>419.662971</v>
      </c>
      <c r="M61" s="95">
        <f t="shared" si="18"/>
        <v>5082.584871</v>
      </c>
      <c r="N61" s="95">
        <f t="shared" si="19"/>
        <v>5082.584871</v>
      </c>
      <c r="O61" s="109"/>
    </row>
    <row r="62" s="78" customFormat="1" ht="48" outlineLevel="1" spans="1:15">
      <c r="A62" s="105">
        <v>3</v>
      </c>
      <c r="B62" s="110" t="s">
        <v>136</v>
      </c>
      <c r="C62" s="107" t="s">
        <v>137</v>
      </c>
      <c r="D62" s="108" t="s">
        <v>32</v>
      </c>
      <c r="E62" s="179">
        <v>2</v>
      </c>
      <c r="F62" s="95">
        <v>14.7</v>
      </c>
      <c r="G62" s="95">
        <f t="shared" si="15"/>
        <v>181.8</v>
      </c>
      <c r="H62" s="95">
        <v>180</v>
      </c>
      <c r="I62" s="120">
        <v>0.01</v>
      </c>
      <c r="J62" s="95">
        <v>12.51</v>
      </c>
      <c r="K62" s="95">
        <f t="shared" si="16"/>
        <v>18.8109</v>
      </c>
      <c r="L62" s="95">
        <f t="shared" si="17"/>
        <v>20.503881</v>
      </c>
      <c r="M62" s="95">
        <f t="shared" si="18"/>
        <v>248.324781</v>
      </c>
      <c r="N62" s="95">
        <f t="shared" si="19"/>
        <v>496.649562</v>
      </c>
      <c r="O62" s="109"/>
    </row>
    <row r="63" s="78" customFormat="1" ht="48" outlineLevel="1" spans="1:15">
      <c r="A63" s="105">
        <v>4</v>
      </c>
      <c r="B63" s="106" t="s">
        <v>138</v>
      </c>
      <c r="C63" s="107" t="s">
        <v>139</v>
      </c>
      <c r="D63" s="108" t="s">
        <v>32</v>
      </c>
      <c r="E63" s="179">
        <v>7</v>
      </c>
      <c r="F63" s="95">
        <v>12.77</v>
      </c>
      <c r="G63" s="95">
        <f t="shared" si="15"/>
        <v>38.38</v>
      </c>
      <c r="H63" s="95">
        <v>38</v>
      </c>
      <c r="I63" s="120">
        <v>0.01</v>
      </c>
      <c r="J63" s="95">
        <v>7.95</v>
      </c>
      <c r="K63" s="95">
        <f t="shared" si="16"/>
        <v>5.319</v>
      </c>
      <c r="L63" s="95">
        <f t="shared" si="17"/>
        <v>5.79771</v>
      </c>
      <c r="M63" s="95">
        <f t="shared" si="18"/>
        <v>70.21671</v>
      </c>
      <c r="N63" s="95">
        <f t="shared" si="19"/>
        <v>491.51697</v>
      </c>
      <c r="O63" s="109"/>
    </row>
    <row r="64" s="78" customFormat="1" ht="51" customHeight="1" outlineLevel="1" spans="1:15">
      <c r="A64" s="105">
        <v>5</v>
      </c>
      <c r="B64" s="106" t="s">
        <v>141</v>
      </c>
      <c r="C64" s="107" t="s">
        <v>142</v>
      </c>
      <c r="D64" s="108" t="s">
        <v>32</v>
      </c>
      <c r="E64" s="179">
        <v>3</v>
      </c>
      <c r="F64" s="95">
        <v>17.78</v>
      </c>
      <c r="G64" s="95">
        <f t="shared" si="15"/>
        <v>29.29</v>
      </c>
      <c r="H64" s="95">
        <v>29</v>
      </c>
      <c r="I64" s="120">
        <v>0.01</v>
      </c>
      <c r="J64" s="95">
        <v>7.39</v>
      </c>
      <c r="K64" s="95">
        <f t="shared" si="16"/>
        <v>4.9014</v>
      </c>
      <c r="L64" s="95">
        <f t="shared" si="17"/>
        <v>5.342526</v>
      </c>
      <c r="M64" s="95">
        <f t="shared" si="18"/>
        <v>64.703926</v>
      </c>
      <c r="N64" s="95">
        <f t="shared" si="19"/>
        <v>194.111778</v>
      </c>
      <c r="O64" s="109"/>
    </row>
    <row r="65" s="78" customFormat="1" ht="48" outlineLevel="1" spans="1:15">
      <c r="A65" s="105">
        <v>6</v>
      </c>
      <c r="B65" s="110" t="s">
        <v>143</v>
      </c>
      <c r="C65" s="107" t="s">
        <v>144</v>
      </c>
      <c r="D65" s="180" t="s">
        <v>78</v>
      </c>
      <c r="E65" s="181">
        <v>6.36</v>
      </c>
      <c r="F65" s="95">
        <v>14.63</v>
      </c>
      <c r="G65" s="95">
        <f t="shared" si="15"/>
        <v>15.15</v>
      </c>
      <c r="H65" s="95">
        <v>15</v>
      </c>
      <c r="I65" s="120">
        <v>0.01</v>
      </c>
      <c r="J65" s="95">
        <v>8.2</v>
      </c>
      <c r="K65" s="95">
        <f t="shared" si="16"/>
        <v>3.4182</v>
      </c>
      <c r="L65" s="95">
        <f t="shared" si="17"/>
        <v>3.725838</v>
      </c>
      <c r="M65" s="95">
        <f t="shared" si="18"/>
        <v>45.124038</v>
      </c>
      <c r="N65" s="95">
        <f t="shared" si="19"/>
        <v>286.98888168</v>
      </c>
      <c r="O65" s="109"/>
    </row>
    <row r="66" s="78" customFormat="1" ht="48" outlineLevel="1" spans="1:15">
      <c r="A66" s="105">
        <v>7</v>
      </c>
      <c r="B66" s="106" t="s">
        <v>147</v>
      </c>
      <c r="C66" s="107" t="s">
        <v>148</v>
      </c>
      <c r="D66" s="108" t="s">
        <v>32</v>
      </c>
      <c r="E66" s="179">
        <v>1</v>
      </c>
      <c r="F66" s="95">
        <v>7.23</v>
      </c>
      <c r="G66" s="95">
        <f t="shared" si="15"/>
        <v>27.0504</v>
      </c>
      <c r="H66" s="95">
        <v>26.52</v>
      </c>
      <c r="I66" s="120">
        <v>0.02</v>
      </c>
      <c r="J66" s="95">
        <v>1.36</v>
      </c>
      <c r="K66" s="95">
        <f t="shared" si="16"/>
        <v>3.207636</v>
      </c>
      <c r="L66" s="95">
        <f t="shared" si="17"/>
        <v>3.49632324</v>
      </c>
      <c r="M66" s="95">
        <f t="shared" si="18"/>
        <v>42.34435924</v>
      </c>
      <c r="N66" s="95">
        <f t="shared" si="19"/>
        <v>42.34435924</v>
      </c>
      <c r="O66" s="25"/>
    </row>
    <row r="67" s="78" customFormat="1" ht="48" outlineLevel="1" spans="1:15">
      <c r="A67" s="105">
        <v>8</v>
      </c>
      <c r="B67" s="106" t="s">
        <v>149</v>
      </c>
      <c r="C67" s="107" t="s">
        <v>150</v>
      </c>
      <c r="D67" s="108" t="s">
        <v>32</v>
      </c>
      <c r="E67" s="179">
        <v>1</v>
      </c>
      <c r="F67" s="95">
        <v>7.23</v>
      </c>
      <c r="G67" s="95">
        <f t="shared" si="15"/>
        <v>23.9292</v>
      </c>
      <c r="H67" s="95">
        <v>23.46</v>
      </c>
      <c r="I67" s="120">
        <v>0.02</v>
      </c>
      <c r="J67" s="95">
        <v>1.36</v>
      </c>
      <c r="K67" s="95">
        <f t="shared" si="16"/>
        <v>2.926728</v>
      </c>
      <c r="L67" s="95">
        <f t="shared" si="17"/>
        <v>3.19013352</v>
      </c>
      <c r="M67" s="95">
        <f t="shared" si="18"/>
        <v>38.63606152</v>
      </c>
      <c r="N67" s="95">
        <f t="shared" si="19"/>
        <v>38.63606152</v>
      </c>
      <c r="O67" s="25"/>
    </row>
    <row r="68" s="78" customFormat="1" ht="60" outlineLevel="1" spans="1:15">
      <c r="A68" s="105">
        <v>9</v>
      </c>
      <c r="B68" s="106" t="s">
        <v>151</v>
      </c>
      <c r="C68" s="107" t="s">
        <v>152</v>
      </c>
      <c r="D68" s="108" t="s">
        <v>32</v>
      </c>
      <c r="E68" s="25">
        <v>2</v>
      </c>
      <c r="F68" s="95">
        <v>8.97</v>
      </c>
      <c r="G68" s="95">
        <f t="shared" si="15"/>
        <v>25.5</v>
      </c>
      <c r="H68" s="95">
        <v>25</v>
      </c>
      <c r="I68" s="120">
        <v>0.02</v>
      </c>
      <c r="J68" s="95">
        <v>1.36</v>
      </c>
      <c r="K68" s="95">
        <f t="shared" si="16"/>
        <v>3.2247</v>
      </c>
      <c r="L68" s="95">
        <f t="shared" si="17"/>
        <v>3.514923</v>
      </c>
      <c r="M68" s="95">
        <f t="shared" si="18"/>
        <v>42.569623</v>
      </c>
      <c r="N68" s="95">
        <f t="shared" si="19"/>
        <v>85.139246</v>
      </c>
      <c r="O68" s="25"/>
    </row>
    <row r="69" s="78" customFormat="1" ht="48" outlineLevel="1" spans="1:15">
      <c r="A69" s="105">
        <v>10</v>
      </c>
      <c r="B69" s="106" t="s">
        <v>153</v>
      </c>
      <c r="C69" s="107" t="s">
        <v>154</v>
      </c>
      <c r="D69" s="108" t="s">
        <v>32</v>
      </c>
      <c r="E69" s="179">
        <v>2</v>
      </c>
      <c r="F69" s="95">
        <v>8.26</v>
      </c>
      <c r="G69" s="95">
        <f t="shared" si="15"/>
        <v>30.3</v>
      </c>
      <c r="H69" s="95">
        <v>30</v>
      </c>
      <c r="I69" s="120">
        <v>0.01</v>
      </c>
      <c r="J69" s="95">
        <v>0.2</v>
      </c>
      <c r="K69" s="95">
        <f t="shared" si="16"/>
        <v>3.4884</v>
      </c>
      <c r="L69" s="95">
        <f t="shared" si="17"/>
        <v>3.802356</v>
      </c>
      <c r="M69" s="95">
        <f t="shared" si="18"/>
        <v>46.050756</v>
      </c>
      <c r="N69" s="95">
        <f t="shared" si="19"/>
        <v>92.101512</v>
      </c>
      <c r="O69" s="25"/>
    </row>
    <row r="70" s="78" customFormat="1" ht="60" outlineLevel="1" spans="1:15">
      <c r="A70" s="105">
        <v>11</v>
      </c>
      <c r="B70" s="106" t="s">
        <v>155</v>
      </c>
      <c r="C70" s="107" t="s">
        <v>156</v>
      </c>
      <c r="D70" s="109" t="s">
        <v>78</v>
      </c>
      <c r="E70" s="109">
        <v>11.77</v>
      </c>
      <c r="F70" s="95">
        <v>6.73</v>
      </c>
      <c r="G70" s="95">
        <f t="shared" si="15"/>
        <v>1.8656</v>
      </c>
      <c r="H70" s="95">
        <v>1.76</v>
      </c>
      <c r="I70" s="120">
        <v>0.06</v>
      </c>
      <c r="J70" s="95">
        <v>0.26</v>
      </c>
      <c r="K70" s="95">
        <f t="shared" si="16"/>
        <v>0.797004</v>
      </c>
      <c r="L70" s="95">
        <f t="shared" si="17"/>
        <v>0.86873436</v>
      </c>
      <c r="M70" s="95">
        <f t="shared" si="18"/>
        <v>10.52133836</v>
      </c>
      <c r="N70" s="95">
        <f t="shared" si="19"/>
        <v>123.8361524972</v>
      </c>
      <c r="O70" s="123"/>
    </row>
    <row r="71" s="78" customFormat="1" ht="60" outlineLevel="1" spans="1:15">
      <c r="A71" s="105">
        <v>12</v>
      </c>
      <c r="B71" s="106" t="s">
        <v>155</v>
      </c>
      <c r="C71" s="107" t="s">
        <v>157</v>
      </c>
      <c r="D71" s="109" t="s">
        <v>78</v>
      </c>
      <c r="E71" s="109">
        <v>89.88</v>
      </c>
      <c r="F71" s="95">
        <v>6.32</v>
      </c>
      <c r="G71" s="95">
        <f t="shared" si="15"/>
        <v>1.4522</v>
      </c>
      <c r="H71" s="95">
        <v>1.37</v>
      </c>
      <c r="I71" s="120">
        <v>0.06</v>
      </c>
      <c r="J71" s="95">
        <v>0.25</v>
      </c>
      <c r="K71" s="95">
        <f t="shared" si="16"/>
        <v>0.721998</v>
      </c>
      <c r="L71" s="95">
        <f t="shared" si="17"/>
        <v>0.78697782</v>
      </c>
      <c r="M71" s="95">
        <f t="shared" si="18"/>
        <v>9.53117582</v>
      </c>
      <c r="N71" s="95">
        <f t="shared" si="19"/>
        <v>856.6620827016</v>
      </c>
      <c r="O71" s="123"/>
    </row>
    <row r="72" s="78" customFormat="1" ht="48" outlineLevel="1" spans="1:15">
      <c r="A72" s="105">
        <v>13</v>
      </c>
      <c r="B72" s="106" t="s">
        <v>158</v>
      </c>
      <c r="C72" s="107" t="s">
        <v>159</v>
      </c>
      <c r="D72" s="109" t="s">
        <v>78</v>
      </c>
      <c r="E72" s="109">
        <v>11.51</v>
      </c>
      <c r="F72" s="95">
        <v>1.79</v>
      </c>
      <c r="G72" s="95">
        <f t="shared" si="15"/>
        <v>3.2025</v>
      </c>
      <c r="H72" s="95">
        <v>3.05</v>
      </c>
      <c r="I72" s="120">
        <v>0.05</v>
      </c>
      <c r="J72" s="95">
        <v>0.07</v>
      </c>
      <c r="K72" s="95">
        <f t="shared" si="16"/>
        <v>0.455625</v>
      </c>
      <c r="L72" s="95">
        <f t="shared" si="17"/>
        <v>0.49663125</v>
      </c>
      <c r="M72" s="95">
        <f t="shared" si="18"/>
        <v>6.01475625</v>
      </c>
      <c r="N72" s="95">
        <f t="shared" si="19"/>
        <v>69.2298444375</v>
      </c>
      <c r="O72" s="123"/>
    </row>
    <row r="73" s="78" customFormat="1" ht="48" outlineLevel="1" spans="1:15">
      <c r="A73" s="105">
        <v>14</v>
      </c>
      <c r="B73" s="106" t="s">
        <v>160</v>
      </c>
      <c r="C73" s="107" t="s">
        <v>161</v>
      </c>
      <c r="D73" s="109" t="s">
        <v>78</v>
      </c>
      <c r="E73" s="109">
        <v>35.33</v>
      </c>
      <c r="F73" s="95">
        <v>0.72</v>
      </c>
      <c r="G73" s="95">
        <f t="shared" si="15"/>
        <v>4.235</v>
      </c>
      <c r="H73" s="95">
        <v>3.85</v>
      </c>
      <c r="I73" s="120">
        <v>0.1</v>
      </c>
      <c r="J73" s="95">
        <v>0.18</v>
      </c>
      <c r="K73" s="95">
        <f t="shared" si="16"/>
        <v>0.46215</v>
      </c>
      <c r="L73" s="95">
        <f t="shared" si="17"/>
        <v>0.5037435</v>
      </c>
      <c r="M73" s="95">
        <f t="shared" si="18"/>
        <v>6.1008935</v>
      </c>
      <c r="N73" s="95">
        <f t="shared" si="19"/>
        <v>215.544567355</v>
      </c>
      <c r="O73" s="109"/>
    </row>
    <row r="74" s="78" customFormat="1" ht="48" outlineLevel="1" spans="1:15">
      <c r="A74" s="105">
        <v>15</v>
      </c>
      <c r="B74" s="106" t="s">
        <v>160</v>
      </c>
      <c r="C74" s="107" t="s">
        <v>162</v>
      </c>
      <c r="D74" s="109" t="s">
        <v>78</v>
      </c>
      <c r="E74" s="109">
        <v>235.12</v>
      </c>
      <c r="F74" s="95">
        <v>1.05</v>
      </c>
      <c r="G74" s="95">
        <f t="shared" si="15"/>
        <v>2.9232</v>
      </c>
      <c r="H74" s="95">
        <v>2.52</v>
      </c>
      <c r="I74" s="120">
        <v>0.16</v>
      </c>
      <c r="J74" s="95">
        <v>0.18</v>
      </c>
      <c r="K74" s="95">
        <f t="shared" si="16"/>
        <v>0.373788</v>
      </c>
      <c r="L74" s="95">
        <f t="shared" si="17"/>
        <v>0.40742892</v>
      </c>
      <c r="M74" s="95">
        <f t="shared" si="18"/>
        <v>4.93441692</v>
      </c>
      <c r="N74" s="95">
        <f t="shared" si="19"/>
        <v>1160.1801062304</v>
      </c>
      <c r="O74" s="109"/>
    </row>
    <row r="75" s="78" customFormat="1" ht="19" customHeight="1" spans="1:15">
      <c r="A75" s="105">
        <v>16</v>
      </c>
      <c r="B75" s="111" t="s">
        <v>96</v>
      </c>
      <c r="C75" s="112"/>
      <c r="D75" s="113" t="s">
        <v>97</v>
      </c>
      <c r="E75" s="112"/>
      <c r="F75" s="182"/>
      <c r="G75" s="182"/>
      <c r="H75" s="182"/>
      <c r="I75" s="182"/>
      <c r="J75" s="121"/>
      <c r="K75" s="121"/>
      <c r="L75" s="121"/>
      <c r="M75" s="121"/>
      <c r="N75" s="121">
        <f>SUM(N60:N74)</f>
        <v>9430.5644906617</v>
      </c>
      <c r="O75" s="112"/>
    </row>
    <row r="76" s="78" customFormat="1" ht="22.5" spans="1:15">
      <c r="A76" s="105" t="s">
        <v>40</v>
      </c>
      <c r="B76" s="102" t="s">
        <v>168</v>
      </c>
      <c r="C76" s="101" t="s">
        <v>169</v>
      </c>
      <c r="D76" s="101" t="s">
        <v>39</v>
      </c>
      <c r="E76" s="103"/>
      <c r="F76" s="109"/>
      <c r="G76" s="109"/>
      <c r="H76" s="109"/>
      <c r="I76" s="109"/>
      <c r="J76" s="109"/>
      <c r="K76" s="109"/>
      <c r="L76" s="109"/>
      <c r="M76" s="109"/>
      <c r="N76" s="109"/>
      <c r="O76" s="109"/>
    </row>
    <row r="77" s="78" customFormat="1" ht="60" outlineLevel="1" spans="1:15">
      <c r="A77" s="105">
        <v>1</v>
      </c>
      <c r="B77" s="106" t="s">
        <v>132</v>
      </c>
      <c r="C77" s="107" t="s">
        <v>133</v>
      </c>
      <c r="D77" s="108" t="s">
        <v>32</v>
      </c>
      <c r="E77" s="179">
        <v>11</v>
      </c>
      <c r="F77" s="95">
        <v>12.86</v>
      </c>
      <c r="G77" s="95">
        <f t="shared" ref="G77:G91" si="20">H77*(1+I77)</f>
        <v>35.35</v>
      </c>
      <c r="H77" s="95">
        <v>35</v>
      </c>
      <c r="I77" s="120">
        <v>0.01</v>
      </c>
      <c r="J77" s="95">
        <v>6.51</v>
      </c>
      <c r="K77" s="95">
        <f t="shared" ref="K77:K91" si="21">(F77+G77+J77)*9%</f>
        <v>4.9248</v>
      </c>
      <c r="L77" s="95">
        <f t="shared" ref="L77:L91" si="22">(F77+G77+J77+K77)*9%</f>
        <v>5.368032</v>
      </c>
      <c r="M77" s="95">
        <f t="shared" ref="M77:M91" si="23">F77+G77+J77+K77+L77</f>
        <v>65.012832</v>
      </c>
      <c r="N77" s="95">
        <f t="shared" ref="N77:N91" si="24">M77*E77</f>
        <v>715.141152</v>
      </c>
      <c r="O77" s="109"/>
    </row>
    <row r="78" s="78" customFormat="1" ht="48" outlineLevel="1" spans="1:15">
      <c r="A78" s="105">
        <v>2</v>
      </c>
      <c r="B78" s="110" t="s">
        <v>134</v>
      </c>
      <c r="C78" s="107" t="s">
        <v>135</v>
      </c>
      <c r="D78" s="108" t="s">
        <v>32</v>
      </c>
      <c r="E78" s="179">
        <v>1</v>
      </c>
      <c r="F78" s="95">
        <v>355.52</v>
      </c>
      <c r="G78" s="95">
        <f t="shared" si="20"/>
        <v>3838</v>
      </c>
      <c r="H78" s="95">
        <v>3800</v>
      </c>
      <c r="I78" s="120">
        <v>0.01</v>
      </c>
      <c r="J78" s="95">
        <v>84.39</v>
      </c>
      <c r="K78" s="95">
        <f t="shared" si="21"/>
        <v>385.0119</v>
      </c>
      <c r="L78" s="95">
        <f t="shared" si="22"/>
        <v>419.662971</v>
      </c>
      <c r="M78" s="95">
        <f t="shared" si="23"/>
        <v>5082.584871</v>
      </c>
      <c r="N78" s="95">
        <f t="shared" si="24"/>
        <v>5082.584871</v>
      </c>
      <c r="O78" s="109"/>
    </row>
    <row r="79" s="78" customFormat="1" ht="48" outlineLevel="1" spans="1:15">
      <c r="A79" s="105">
        <v>3</v>
      </c>
      <c r="B79" s="110" t="s">
        <v>136</v>
      </c>
      <c r="C79" s="107" t="s">
        <v>137</v>
      </c>
      <c r="D79" s="108" t="s">
        <v>32</v>
      </c>
      <c r="E79" s="179">
        <v>2</v>
      </c>
      <c r="F79" s="95">
        <v>14.7</v>
      </c>
      <c r="G79" s="95">
        <f t="shared" si="20"/>
        <v>181.8</v>
      </c>
      <c r="H79" s="95">
        <v>180</v>
      </c>
      <c r="I79" s="120">
        <v>0.01</v>
      </c>
      <c r="J79" s="95">
        <v>12.51</v>
      </c>
      <c r="K79" s="95">
        <f t="shared" si="21"/>
        <v>18.8109</v>
      </c>
      <c r="L79" s="95">
        <f t="shared" si="22"/>
        <v>20.503881</v>
      </c>
      <c r="M79" s="95">
        <f t="shared" si="23"/>
        <v>248.324781</v>
      </c>
      <c r="N79" s="95">
        <f t="shared" si="24"/>
        <v>496.649562</v>
      </c>
      <c r="O79" s="109"/>
    </row>
    <row r="80" s="78" customFormat="1" ht="48" outlineLevel="1" spans="1:15">
      <c r="A80" s="105">
        <v>4</v>
      </c>
      <c r="B80" s="106" t="s">
        <v>138</v>
      </c>
      <c r="C80" s="107" t="s">
        <v>139</v>
      </c>
      <c r="D80" s="108" t="s">
        <v>32</v>
      </c>
      <c r="E80" s="179">
        <v>9</v>
      </c>
      <c r="F80" s="95">
        <v>12.77</v>
      </c>
      <c r="G80" s="95">
        <f t="shared" si="20"/>
        <v>38.38</v>
      </c>
      <c r="H80" s="95">
        <v>38</v>
      </c>
      <c r="I80" s="120">
        <v>0.01</v>
      </c>
      <c r="J80" s="95">
        <v>7.95</v>
      </c>
      <c r="K80" s="95">
        <f t="shared" si="21"/>
        <v>5.319</v>
      </c>
      <c r="L80" s="95">
        <f t="shared" si="22"/>
        <v>5.79771</v>
      </c>
      <c r="M80" s="95">
        <f t="shared" si="23"/>
        <v>70.21671</v>
      </c>
      <c r="N80" s="95">
        <f t="shared" si="24"/>
        <v>631.95039</v>
      </c>
      <c r="O80" s="109"/>
    </row>
    <row r="81" s="78" customFormat="1" ht="51" customHeight="1" outlineLevel="1" spans="1:15">
      <c r="A81" s="105">
        <v>5</v>
      </c>
      <c r="B81" s="106" t="s">
        <v>141</v>
      </c>
      <c r="C81" s="107" t="s">
        <v>142</v>
      </c>
      <c r="D81" s="108" t="s">
        <v>32</v>
      </c>
      <c r="E81" s="179">
        <v>6</v>
      </c>
      <c r="F81" s="95">
        <v>17.78</v>
      </c>
      <c r="G81" s="95">
        <f t="shared" si="20"/>
        <v>29.29</v>
      </c>
      <c r="H81" s="95">
        <v>29</v>
      </c>
      <c r="I81" s="120">
        <v>0.01</v>
      </c>
      <c r="J81" s="95">
        <v>7.39</v>
      </c>
      <c r="K81" s="95">
        <f t="shared" si="21"/>
        <v>4.9014</v>
      </c>
      <c r="L81" s="95">
        <f t="shared" si="22"/>
        <v>5.342526</v>
      </c>
      <c r="M81" s="95">
        <f t="shared" si="23"/>
        <v>64.703926</v>
      </c>
      <c r="N81" s="95">
        <f t="shared" si="24"/>
        <v>388.223556</v>
      </c>
      <c r="O81" s="109"/>
    </row>
    <row r="82" s="78" customFormat="1" ht="48" outlineLevel="1" spans="1:15">
      <c r="A82" s="105">
        <v>6</v>
      </c>
      <c r="B82" s="110" t="s">
        <v>143</v>
      </c>
      <c r="C82" s="107" t="s">
        <v>144</v>
      </c>
      <c r="D82" s="180" t="s">
        <v>78</v>
      </c>
      <c r="E82" s="181">
        <v>12.66</v>
      </c>
      <c r="F82" s="95">
        <v>14.63</v>
      </c>
      <c r="G82" s="95">
        <f t="shared" si="20"/>
        <v>15.15</v>
      </c>
      <c r="H82" s="95">
        <v>15</v>
      </c>
      <c r="I82" s="120">
        <v>0.01</v>
      </c>
      <c r="J82" s="95">
        <v>8.2</v>
      </c>
      <c r="K82" s="95">
        <f t="shared" si="21"/>
        <v>3.4182</v>
      </c>
      <c r="L82" s="95">
        <f t="shared" si="22"/>
        <v>3.725838</v>
      </c>
      <c r="M82" s="95">
        <f t="shared" si="23"/>
        <v>45.124038</v>
      </c>
      <c r="N82" s="95">
        <f t="shared" si="24"/>
        <v>571.27032108</v>
      </c>
      <c r="O82" s="109"/>
    </row>
    <row r="83" s="78" customFormat="1" ht="48" outlineLevel="1" spans="1:15">
      <c r="A83" s="105">
        <v>7</v>
      </c>
      <c r="B83" s="106" t="s">
        <v>147</v>
      </c>
      <c r="C83" s="107" t="s">
        <v>148</v>
      </c>
      <c r="D83" s="108" t="s">
        <v>32</v>
      </c>
      <c r="E83" s="179">
        <v>1</v>
      </c>
      <c r="F83" s="95">
        <v>7.23</v>
      </c>
      <c r="G83" s="95">
        <f t="shared" si="20"/>
        <v>27.0504</v>
      </c>
      <c r="H83" s="95">
        <v>26.52</v>
      </c>
      <c r="I83" s="120">
        <v>0.02</v>
      </c>
      <c r="J83" s="95">
        <v>1.36</v>
      </c>
      <c r="K83" s="95">
        <f t="shared" si="21"/>
        <v>3.207636</v>
      </c>
      <c r="L83" s="95">
        <f t="shared" si="22"/>
        <v>3.49632324</v>
      </c>
      <c r="M83" s="95">
        <f t="shared" si="23"/>
        <v>42.34435924</v>
      </c>
      <c r="N83" s="95">
        <f t="shared" si="24"/>
        <v>42.34435924</v>
      </c>
      <c r="O83" s="25"/>
    </row>
    <row r="84" s="78" customFormat="1" ht="48" outlineLevel="1" spans="1:15">
      <c r="A84" s="105">
        <v>8</v>
      </c>
      <c r="B84" s="106" t="s">
        <v>149</v>
      </c>
      <c r="C84" s="107" t="s">
        <v>150</v>
      </c>
      <c r="D84" s="108" t="s">
        <v>32</v>
      </c>
      <c r="E84" s="179">
        <v>1</v>
      </c>
      <c r="F84" s="95">
        <v>7.23</v>
      </c>
      <c r="G84" s="95">
        <f t="shared" si="20"/>
        <v>23.9292</v>
      </c>
      <c r="H84" s="95">
        <v>23.46</v>
      </c>
      <c r="I84" s="120">
        <v>0.02</v>
      </c>
      <c r="J84" s="95">
        <v>1.36</v>
      </c>
      <c r="K84" s="95">
        <f t="shared" si="21"/>
        <v>2.926728</v>
      </c>
      <c r="L84" s="95">
        <f t="shared" si="22"/>
        <v>3.19013352</v>
      </c>
      <c r="M84" s="95">
        <f t="shared" si="23"/>
        <v>38.63606152</v>
      </c>
      <c r="N84" s="95">
        <f t="shared" si="24"/>
        <v>38.63606152</v>
      </c>
      <c r="O84" s="25"/>
    </row>
    <row r="85" s="78" customFormat="1" ht="60" outlineLevel="1" spans="1:15">
      <c r="A85" s="105">
        <v>9</v>
      </c>
      <c r="B85" s="106" t="s">
        <v>151</v>
      </c>
      <c r="C85" s="107" t="s">
        <v>152</v>
      </c>
      <c r="D85" s="108" t="s">
        <v>32</v>
      </c>
      <c r="E85" s="25">
        <v>2</v>
      </c>
      <c r="F85" s="95">
        <v>8.97</v>
      </c>
      <c r="G85" s="95">
        <f t="shared" si="20"/>
        <v>25.5</v>
      </c>
      <c r="H85" s="95">
        <v>25</v>
      </c>
      <c r="I85" s="120">
        <v>0.02</v>
      </c>
      <c r="J85" s="95">
        <v>1.36</v>
      </c>
      <c r="K85" s="95">
        <f t="shared" si="21"/>
        <v>3.2247</v>
      </c>
      <c r="L85" s="95">
        <f t="shared" si="22"/>
        <v>3.514923</v>
      </c>
      <c r="M85" s="95">
        <f t="shared" si="23"/>
        <v>42.569623</v>
      </c>
      <c r="N85" s="95">
        <f t="shared" si="24"/>
        <v>85.139246</v>
      </c>
      <c r="O85" s="25"/>
    </row>
    <row r="86" s="78" customFormat="1" ht="48" outlineLevel="1" spans="1:15">
      <c r="A86" s="105">
        <v>10</v>
      </c>
      <c r="B86" s="106" t="s">
        <v>153</v>
      </c>
      <c r="C86" s="107" t="s">
        <v>154</v>
      </c>
      <c r="D86" s="108" t="s">
        <v>32</v>
      </c>
      <c r="E86" s="179">
        <v>2</v>
      </c>
      <c r="F86" s="95">
        <v>8.26</v>
      </c>
      <c r="G86" s="95">
        <f t="shared" si="20"/>
        <v>30.3</v>
      </c>
      <c r="H86" s="95">
        <v>30</v>
      </c>
      <c r="I86" s="120">
        <v>0.01</v>
      </c>
      <c r="J86" s="95">
        <v>0.2</v>
      </c>
      <c r="K86" s="95">
        <f t="shared" si="21"/>
        <v>3.4884</v>
      </c>
      <c r="L86" s="95">
        <f t="shared" si="22"/>
        <v>3.802356</v>
      </c>
      <c r="M86" s="95">
        <f t="shared" si="23"/>
        <v>46.050756</v>
      </c>
      <c r="N86" s="95">
        <f t="shared" si="24"/>
        <v>92.101512</v>
      </c>
      <c r="O86" s="25"/>
    </row>
    <row r="87" s="78" customFormat="1" ht="60" outlineLevel="1" spans="1:15">
      <c r="A87" s="105">
        <v>11</v>
      </c>
      <c r="B87" s="106" t="s">
        <v>155</v>
      </c>
      <c r="C87" s="107" t="s">
        <v>156</v>
      </c>
      <c r="D87" s="109" t="s">
        <v>78</v>
      </c>
      <c r="E87" s="109">
        <v>11.7</v>
      </c>
      <c r="F87" s="95">
        <v>6.73</v>
      </c>
      <c r="G87" s="95">
        <f t="shared" si="20"/>
        <v>1.8656</v>
      </c>
      <c r="H87" s="95">
        <v>1.76</v>
      </c>
      <c r="I87" s="120">
        <v>0.06</v>
      </c>
      <c r="J87" s="95">
        <v>0.26</v>
      </c>
      <c r="K87" s="95">
        <f t="shared" si="21"/>
        <v>0.797004</v>
      </c>
      <c r="L87" s="95">
        <f t="shared" si="22"/>
        <v>0.86873436</v>
      </c>
      <c r="M87" s="95">
        <f t="shared" si="23"/>
        <v>10.52133836</v>
      </c>
      <c r="N87" s="95">
        <f t="shared" si="24"/>
        <v>123.099658812</v>
      </c>
      <c r="O87" s="123"/>
    </row>
    <row r="88" s="78" customFormat="1" ht="60" outlineLevel="1" spans="1:15">
      <c r="A88" s="105">
        <v>12</v>
      </c>
      <c r="B88" s="106" t="s">
        <v>155</v>
      </c>
      <c r="C88" s="107" t="s">
        <v>157</v>
      </c>
      <c r="D88" s="109" t="s">
        <v>78</v>
      </c>
      <c r="E88" s="109">
        <v>104</v>
      </c>
      <c r="F88" s="95">
        <v>6.32</v>
      </c>
      <c r="G88" s="95">
        <f t="shared" si="20"/>
        <v>1.4522</v>
      </c>
      <c r="H88" s="95">
        <v>1.37</v>
      </c>
      <c r="I88" s="120">
        <v>0.06</v>
      </c>
      <c r="J88" s="95">
        <v>0.25</v>
      </c>
      <c r="K88" s="95">
        <f t="shared" si="21"/>
        <v>0.721998</v>
      </c>
      <c r="L88" s="95">
        <f t="shared" si="22"/>
        <v>0.78697782</v>
      </c>
      <c r="M88" s="95">
        <f t="shared" si="23"/>
        <v>9.53117582</v>
      </c>
      <c r="N88" s="95">
        <f t="shared" si="24"/>
        <v>991.24228528</v>
      </c>
      <c r="O88" s="123"/>
    </row>
    <row r="89" s="78" customFormat="1" ht="48" outlineLevel="1" spans="1:15">
      <c r="A89" s="105">
        <v>13</v>
      </c>
      <c r="B89" s="106" t="s">
        <v>158</v>
      </c>
      <c r="C89" s="107" t="s">
        <v>159</v>
      </c>
      <c r="D89" s="109" t="s">
        <v>78</v>
      </c>
      <c r="E89" s="109">
        <v>11.51</v>
      </c>
      <c r="F89" s="95">
        <v>1.79</v>
      </c>
      <c r="G89" s="95">
        <f t="shared" si="20"/>
        <v>3.2025</v>
      </c>
      <c r="H89" s="95">
        <v>3.05</v>
      </c>
      <c r="I89" s="120">
        <v>0.05</v>
      </c>
      <c r="J89" s="95">
        <v>0.07</v>
      </c>
      <c r="K89" s="95">
        <f t="shared" si="21"/>
        <v>0.455625</v>
      </c>
      <c r="L89" s="95">
        <f t="shared" si="22"/>
        <v>0.49663125</v>
      </c>
      <c r="M89" s="95">
        <f t="shared" si="23"/>
        <v>6.01475625</v>
      </c>
      <c r="N89" s="95">
        <f t="shared" si="24"/>
        <v>69.2298444375</v>
      </c>
      <c r="O89" s="123"/>
    </row>
    <row r="90" s="78" customFormat="1" ht="48" outlineLevel="1" spans="1:15">
      <c r="A90" s="105">
        <v>14</v>
      </c>
      <c r="B90" s="106" t="s">
        <v>160</v>
      </c>
      <c r="C90" s="107" t="s">
        <v>161</v>
      </c>
      <c r="D90" s="109" t="s">
        <v>78</v>
      </c>
      <c r="E90" s="109">
        <v>35.33</v>
      </c>
      <c r="F90" s="95">
        <v>0.72</v>
      </c>
      <c r="G90" s="95">
        <f t="shared" si="20"/>
        <v>4.235</v>
      </c>
      <c r="H90" s="95">
        <v>3.85</v>
      </c>
      <c r="I90" s="120">
        <v>0.1</v>
      </c>
      <c r="J90" s="95">
        <v>0.18</v>
      </c>
      <c r="K90" s="95">
        <f t="shared" si="21"/>
        <v>0.46215</v>
      </c>
      <c r="L90" s="95">
        <f t="shared" si="22"/>
        <v>0.5037435</v>
      </c>
      <c r="M90" s="95">
        <f t="shared" si="23"/>
        <v>6.1008935</v>
      </c>
      <c r="N90" s="95">
        <f t="shared" si="24"/>
        <v>215.544567355</v>
      </c>
      <c r="O90" s="109"/>
    </row>
    <row r="91" s="78" customFormat="1" ht="48" outlineLevel="1" spans="1:15">
      <c r="A91" s="105">
        <v>15</v>
      </c>
      <c r="B91" s="106" t="s">
        <v>160</v>
      </c>
      <c r="C91" s="107" t="s">
        <v>162</v>
      </c>
      <c r="D91" s="109" t="s">
        <v>78</v>
      </c>
      <c r="E91" s="109">
        <v>316.5</v>
      </c>
      <c r="F91" s="95">
        <v>1.05</v>
      </c>
      <c r="G91" s="95">
        <f t="shared" si="20"/>
        <v>2.9232</v>
      </c>
      <c r="H91" s="95">
        <v>2.52</v>
      </c>
      <c r="I91" s="120">
        <v>0.16</v>
      </c>
      <c r="J91" s="95">
        <v>0.18</v>
      </c>
      <c r="K91" s="95">
        <f t="shared" si="21"/>
        <v>0.373788</v>
      </c>
      <c r="L91" s="95">
        <f t="shared" si="22"/>
        <v>0.40742892</v>
      </c>
      <c r="M91" s="95">
        <f t="shared" si="23"/>
        <v>4.93441692</v>
      </c>
      <c r="N91" s="95">
        <f t="shared" si="24"/>
        <v>1561.74295518</v>
      </c>
      <c r="O91" s="109"/>
    </row>
    <row r="92" s="78" customFormat="1" ht="19" customHeight="1" spans="1:15">
      <c r="A92" s="105">
        <v>16</v>
      </c>
      <c r="B92" s="111" t="s">
        <v>96</v>
      </c>
      <c r="C92" s="112"/>
      <c r="D92" s="113" t="s">
        <v>97</v>
      </c>
      <c r="E92" s="112"/>
      <c r="F92" s="182"/>
      <c r="G92" s="182"/>
      <c r="H92" s="182"/>
      <c r="I92" s="182"/>
      <c r="J92" s="121"/>
      <c r="K92" s="121"/>
      <c r="L92" s="121"/>
      <c r="M92" s="121"/>
      <c r="N92" s="121">
        <f>SUM(N77:N91)</f>
        <v>11104.9003419045</v>
      </c>
      <c r="O92" s="112"/>
    </row>
    <row r="93" s="78" customFormat="1" ht="22.5" spans="1:15">
      <c r="A93" s="105" t="s">
        <v>42</v>
      </c>
      <c r="B93" s="102" t="s">
        <v>170</v>
      </c>
      <c r="C93" s="101" t="s">
        <v>171</v>
      </c>
      <c r="D93" s="101" t="s">
        <v>39</v>
      </c>
      <c r="E93" s="103"/>
      <c r="F93" s="109"/>
      <c r="G93" s="109"/>
      <c r="H93" s="109"/>
      <c r="I93" s="109"/>
      <c r="J93" s="109"/>
      <c r="K93" s="109"/>
      <c r="L93" s="109"/>
      <c r="M93" s="109"/>
      <c r="N93" s="109"/>
      <c r="O93" s="109"/>
    </row>
    <row r="94" s="78" customFormat="1" ht="60" outlineLevel="1" spans="1:15">
      <c r="A94" s="105">
        <v>1</v>
      </c>
      <c r="B94" s="106" t="s">
        <v>132</v>
      </c>
      <c r="C94" s="107" t="s">
        <v>133</v>
      </c>
      <c r="D94" s="108" t="s">
        <v>32</v>
      </c>
      <c r="E94" s="179">
        <v>9</v>
      </c>
      <c r="F94" s="95">
        <v>12.86</v>
      </c>
      <c r="G94" s="95">
        <f t="shared" ref="G94:G108" si="25">H94*(1+I94)</f>
        <v>35.35</v>
      </c>
      <c r="H94" s="95">
        <v>35</v>
      </c>
      <c r="I94" s="120">
        <v>0.01</v>
      </c>
      <c r="J94" s="95">
        <v>6.51</v>
      </c>
      <c r="K94" s="95">
        <f t="shared" ref="K94:K108" si="26">(F94+G94+J94)*9%</f>
        <v>4.9248</v>
      </c>
      <c r="L94" s="95">
        <f t="shared" ref="L94:L108" si="27">(F94+G94+J94+K94)*9%</f>
        <v>5.368032</v>
      </c>
      <c r="M94" s="95">
        <f t="shared" ref="M94:M108" si="28">F94+G94+J94+K94+L94</f>
        <v>65.012832</v>
      </c>
      <c r="N94" s="95">
        <f t="shared" ref="N94:N108" si="29">M94*E94</f>
        <v>585.115488</v>
      </c>
      <c r="O94" s="109"/>
    </row>
    <row r="95" s="78" customFormat="1" ht="48" outlineLevel="1" spans="1:15">
      <c r="A95" s="105">
        <v>2</v>
      </c>
      <c r="B95" s="110" t="s">
        <v>134</v>
      </c>
      <c r="C95" s="107" t="s">
        <v>135</v>
      </c>
      <c r="D95" s="108" t="s">
        <v>32</v>
      </c>
      <c r="E95" s="179">
        <v>1</v>
      </c>
      <c r="F95" s="95">
        <v>355.52</v>
      </c>
      <c r="G95" s="95">
        <f t="shared" si="25"/>
        <v>3838</v>
      </c>
      <c r="H95" s="95">
        <v>3800</v>
      </c>
      <c r="I95" s="120">
        <v>0.01</v>
      </c>
      <c r="J95" s="95">
        <v>84.39</v>
      </c>
      <c r="K95" s="95">
        <f t="shared" si="26"/>
        <v>385.0119</v>
      </c>
      <c r="L95" s="95">
        <f t="shared" si="27"/>
        <v>419.662971</v>
      </c>
      <c r="M95" s="95">
        <f t="shared" si="28"/>
        <v>5082.584871</v>
      </c>
      <c r="N95" s="95">
        <f t="shared" si="29"/>
        <v>5082.584871</v>
      </c>
      <c r="O95" s="109"/>
    </row>
    <row r="96" s="78" customFormat="1" ht="48" outlineLevel="1" spans="1:15">
      <c r="A96" s="105">
        <v>3</v>
      </c>
      <c r="B96" s="110" t="s">
        <v>136</v>
      </c>
      <c r="C96" s="107" t="s">
        <v>137</v>
      </c>
      <c r="D96" s="108" t="s">
        <v>32</v>
      </c>
      <c r="E96" s="179">
        <v>2</v>
      </c>
      <c r="F96" s="95">
        <v>14.7</v>
      </c>
      <c r="G96" s="95">
        <f t="shared" si="25"/>
        <v>181.8</v>
      </c>
      <c r="H96" s="95">
        <v>180</v>
      </c>
      <c r="I96" s="120">
        <v>0.01</v>
      </c>
      <c r="J96" s="95">
        <v>12.51</v>
      </c>
      <c r="K96" s="95">
        <f t="shared" si="26"/>
        <v>18.8109</v>
      </c>
      <c r="L96" s="95">
        <f t="shared" si="27"/>
        <v>20.503881</v>
      </c>
      <c r="M96" s="95">
        <f t="shared" si="28"/>
        <v>248.324781</v>
      </c>
      <c r="N96" s="95">
        <f t="shared" si="29"/>
        <v>496.649562</v>
      </c>
      <c r="O96" s="109"/>
    </row>
    <row r="97" s="78" customFormat="1" ht="48" outlineLevel="1" spans="1:15">
      <c r="A97" s="105">
        <v>4</v>
      </c>
      <c r="B97" s="106" t="s">
        <v>138</v>
      </c>
      <c r="C97" s="107" t="s">
        <v>139</v>
      </c>
      <c r="D97" s="108" t="s">
        <v>32</v>
      </c>
      <c r="E97" s="179">
        <v>7</v>
      </c>
      <c r="F97" s="95">
        <v>12.77</v>
      </c>
      <c r="G97" s="95">
        <f t="shared" si="25"/>
        <v>38.38</v>
      </c>
      <c r="H97" s="95">
        <v>38</v>
      </c>
      <c r="I97" s="120">
        <v>0.01</v>
      </c>
      <c r="J97" s="95">
        <v>7.95</v>
      </c>
      <c r="K97" s="95">
        <f t="shared" si="26"/>
        <v>5.319</v>
      </c>
      <c r="L97" s="95">
        <f t="shared" si="27"/>
        <v>5.79771</v>
      </c>
      <c r="M97" s="95">
        <f t="shared" si="28"/>
        <v>70.21671</v>
      </c>
      <c r="N97" s="95">
        <f t="shared" si="29"/>
        <v>491.51697</v>
      </c>
      <c r="O97" s="109"/>
    </row>
    <row r="98" s="78" customFormat="1" ht="51" customHeight="1" outlineLevel="1" spans="1:15">
      <c r="A98" s="105">
        <v>5</v>
      </c>
      <c r="B98" s="106" t="s">
        <v>141</v>
      </c>
      <c r="C98" s="107" t="s">
        <v>142</v>
      </c>
      <c r="D98" s="108" t="s">
        <v>32</v>
      </c>
      <c r="E98" s="179">
        <v>6</v>
      </c>
      <c r="F98" s="95">
        <v>17.78</v>
      </c>
      <c r="G98" s="95">
        <f t="shared" si="25"/>
        <v>29.29</v>
      </c>
      <c r="H98" s="95">
        <v>29</v>
      </c>
      <c r="I98" s="120">
        <v>0.01</v>
      </c>
      <c r="J98" s="95">
        <v>7.39</v>
      </c>
      <c r="K98" s="95">
        <f t="shared" si="26"/>
        <v>4.9014</v>
      </c>
      <c r="L98" s="95">
        <f t="shared" si="27"/>
        <v>5.342526</v>
      </c>
      <c r="M98" s="95">
        <f t="shared" si="28"/>
        <v>64.703926</v>
      </c>
      <c r="N98" s="95">
        <f t="shared" si="29"/>
        <v>388.223556</v>
      </c>
      <c r="O98" s="109"/>
    </row>
    <row r="99" s="78" customFormat="1" ht="48" outlineLevel="1" spans="1:15">
      <c r="A99" s="105">
        <v>6</v>
      </c>
      <c r="B99" s="110" t="s">
        <v>143</v>
      </c>
      <c r="C99" s="107" t="s">
        <v>144</v>
      </c>
      <c r="D99" s="180" t="s">
        <v>78</v>
      </c>
      <c r="E99" s="181">
        <v>6.16</v>
      </c>
      <c r="F99" s="95">
        <v>14.63</v>
      </c>
      <c r="G99" s="95">
        <f t="shared" si="25"/>
        <v>15.15</v>
      </c>
      <c r="H99" s="95">
        <v>15</v>
      </c>
      <c r="I99" s="120">
        <v>0.01</v>
      </c>
      <c r="J99" s="95">
        <v>8.2</v>
      </c>
      <c r="K99" s="95">
        <f t="shared" si="26"/>
        <v>3.4182</v>
      </c>
      <c r="L99" s="95">
        <f t="shared" si="27"/>
        <v>3.725838</v>
      </c>
      <c r="M99" s="95">
        <f t="shared" si="28"/>
        <v>45.124038</v>
      </c>
      <c r="N99" s="95">
        <f t="shared" si="29"/>
        <v>277.96407408</v>
      </c>
      <c r="O99" s="109"/>
    </row>
    <row r="100" s="78" customFormat="1" ht="48" outlineLevel="1" spans="1:15">
      <c r="A100" s="105">
        <v>7</v>
      </c>
      <c r="B100" s="106" t="s">
        <v>147</v>
      </c>
      <c r="C100" s="107" t="s">
        <v>148</v>
      </c>
      <c r="D100" s="108" t="s">
        <v>32</v>
      </c>
      <c r="E100" s="179">
        <v>1</v>
      </c>
      <c r="F100" s="95">
        <v>7.23</v>
      </c>
      <c r="G100" s="95">
        <f t="shared" si="25"/>
        <v>27.0504</v>
      </c>
      <c r="H100" s="95">
        <v>26.52</v>
      </c>
      <c r="I100" s="120">
        <v>0.02</v>
      </c>
      <c r="J100" s="95">
        <v>1.36</v>
      </c>
      <c r="K100" s="95">
        <f t="shared" si="26"/>
        <v>3.207636</v>
      </c>
      <c r="L100" s="95">
        <f t="shared" si="27"/>
        <v>3.49632324</v>
      </c>
      <c r="M100" s="95">
        <f t="shared" si="28"/>
        <v>42.34435924</v>
      </c>
      <c r="N100" s="95">
        <f t="shared" si="29"/>
        <v>42.34435924</v>
      </c>
      <c r="O100" s="25"/>
    </row>
    <row r="101" s="78" customFormat="1" ht="48" outlineLevel="1" spans="1:15">
      <c r="A101" s="105">
        <v>8</v>
      </c>
      <c r="B101" s="106" t="s">
        <v>149</v>
      </c>
      <c r="C101" s="107" t="s">
        <v>150</v>
      </c>
      <c r="D101" s="108" t="s">
        <v>32</v>
      </c>
      <c r="E101" s="179">
        <v>1</v>
      </c>
      <c r="F101" s="95">
        <v>7.23</v>
      </c>
      <c r="G101" s="95">
        <f t="shared" si="25"/>
        <v>23.9292</v>
      </c>
      <c r="H101" s="95">
        <v>23.46</v>
      </c>
      <c r="I101" s="120">
        <v>0.02</v>
      </c>
      <c r="J101" s="95">
        <v>1.36</v>
      </c>
      <c r="K101" s="95">
        <f t="shared" si="26"/>
        <v>2.926728</v>
      </c>
      <c r="L101" s="95">
        <f t="shared" si="27"/>
        <v>3.19013352</v>
      </c>
      <c r="M101" s="95">
        <f t="shared" si="28"/>
        <v>38.63606152</v>
      </c>
      <c r="N101" s="95">
        <f t="shared" si="29"/>
        <v>38.63606152</v>
      </c>
      <c r="O101" s="25"/>
    </row>
    <row r="102" s="78" customFormat="1" ht="60" outlineLevel="1" spans="1:15">
      <c r="A102" s="105">
        <v>9</v>
      </c>
      <c r="B102" s="106" t="s">
        <v>151</v>
      </c>
      <c r="C102" s="107" t="s">
        <v>152</v>
      </c>
      <c r="D102" s="108" t="s">
        <v>32</v>
      </c>
      <c r="E102" s="25">
        <v>2</v>
      </c>
      <c r="F102" s="95">
        <v>8.97</v>
      </c>
      <c r="G102" s="95">
        <f t="shared" si="25"/>
        <v>25.5</v>
      </c>
      <c r="H102" s="95">
        <v>25</v>
      </c>
      <c r="I102" s="120">
        <v>0.02</v>
      </c>
      <c r="J102" s="95">
        <v>1.36</v>
      </c>
      <c r="K102" s="95">
        <f t="shared" si="26"/>
        <v>3.2247</v>
      </c>
      <c r="L102" s="95">
        <f t="shared" si="27"/>
        <v>3.514923</v>
      </c>
      <c r="M102" s="95">
        <f t="shared" si="28"/>
        <v>42.569623</v>
      </c>
      <c r="N102" s="95">
        <f t="shared" si="29"/>
        <v>85.139246</v>
      </c>
      <c r="O102" s="25"/>
    </row>
    <row r="103" s="78" customFormat="1" ht="48" outlineLevel="1" spans="1:15">
      <c r="A103" s="105">
        <v>10</v>
      </c>
      <c r="B103" s="106" t="s">
        <v>153</v>
      </c>
      <c r="C103" s="107" t="s">
        <v>154</v>
      </c>
      <c r="D103" s="108" t="s">
        <v>32</v>
      </c>
      <c r="E103" s="179">
        <v>2</v>
      </c>
      <c r="F103" s="95">
        <v>8.26</v>
      </c>
      <c r="G103" s="95">
        <f t="shared" si="25"/>
        <v>30.3</v>
      </c>
      <c r="H103" s="95">
        <v>30</v>
      </c>
      <c r="I103" s="120">
        <v>0.01</v>
      </c>
      <c r="J103" s="95">
        <v>0.2</v>
      </c>
      <c r="K103" s="95">
        <f t="shared" si="26"/>
        <v>3.4884</v>
      </c>
      <c r="L103" s="95">
        <f t="shared" si="27"/>
        <v>3.802356</v>
      </c>
      <c r="M103" s="95">
        <f t="shared" si="28"/>
        <v>46.050756</v>
      </c>
      <c r="N103" s="95">
        <f t="shared" si="29"/>
        <v>92.101512</v>
      </c>
      <c r="O103" s="25"/>
    </row>
    <row r="104" s="78" customFormat="1" ht="60" outlineLevel="1" spans="1:15">
      <c r="A104" s="105">
        <v>11</v>
      </c>
      <c r="B104" s="106" t="s">
        <v>155</v>
      </c>
      <c r="C104" s="107" t="s">
        <v>156</v>
      </c>
      <c r="D104" s="109" t="s">
        <v>78</v>
      </c>
      <c r="E104" s="109">
        <v>11.7</v>
      </c>
      <c r="F104" s="95">
        <v>6.73</v>
      </c>
      <c r="G104" s="95">
        <f t="shared" si="25"/>
        <v>1.8656</v>
      </c>
      <c r="H104" s="95">
        <v>1.76</v>
      </c>
      <c r="I104" s="120">
        <v>0.06</v>
      </c>
      <c r="J104" s="95">
        <v>0.26</v>
      </c>
      <c r="K104" s="95">
        <f t="shared" si="26"/>
        <v>0.797004</v>
      </c>
      <c r="L104" s="95">
        <f t="shared" si="27"/>
        <v>0.86873436</v>
      </c>
      <c r="M104" s="95">
        <f t="shared" si="28"/>
        <v>10.52133836</v>
      </c>
      <c r="N104" s="95">
        <f t="shared" si="29"/>
        <v>123.099658812</v>
      </c>
      <c r="O104" s="123"/>
    </row>
    <row r="105" s="78" customFormat="1" ht="60" outlineLevel="1" spans="1:15">
      <c r="A105" s="105">
        <v>12</v>
      </c>
      <c r="B105" s="106" t="s">
        <v>155</v>
      </c>
      <c r="C105" s="107" t="s">
        <v>157</v>
      </c>
      <c r="D105" s="109" t="s">
        <v>78</v>
      </c>
      <c r="E105" s="109">
        <v>106.5</v>
      </c>
      <c r="F105" s="95">
        <v>6.32</v>
      </c>
      <c r="G105" s="95">
        <f t="shared" si="25"/>
        <v>1.4522</v>
      </c>
      <c r="H105" s="95">
        <v>1.37</v>
      </c>
      <c r="I105" s="120">
        <v>0.06</v>
      </c>
      <c r="J105" s="95">
        <v>0.25</v>
      </c>
      <c r="K105" s="95">
        <f t="shared" si="26"/>
        <v>0.721998</v>
      </c>
      <c r="L105" s="95">
        <f t="shared" si="27"/>
        <v>0.78697782</v>
      </c>
      <c r="M105" s="95">
        <f t="shared" si="28"/>
        <v>9.53117582</v>
      </c>
      <c r="N105" s="95">
        <f t="shared" si="29"/>
        <v>1015.07022483</v>
      </c>
      <c r="O105" s="123"/>
    </row>
    <row r="106" s="78" customFormat="1" ht="48" outlineLevel="1" spans="1:15">
      <c r="A106" s="105">
        <v>13</v>
      </c>
      <c r="B106" s="106" t="s">
        <v>158</v>
      </c>
      <c r="C106" s="107" t="s">
        <v>159</v>
      </c>
      <c r="D106" s="109" t="s">
        <v>78</v>
      </c>
      <c r="E106" s="109">
        <v>11.51</v>
      </c>
      <c r="F106" s="95">
        <v>1.79</v>
      </c>
      <c r="G106" s="95">
        <f t="shared" si="25"/>
        <v>3.2025</v>
      </c>
      <c r="H106" s="95">
        <v>3.05</v>
      </c>
      <c r="I106" s="120">
        <v>0.05</v>
      </c>
      <c r="J106" s="95">
        <v>0.07</v>
      </c>
      <c r="K106" s="95">
        <f t="shared" si="26"/>
        <v>0.455625</v>
      </c>
      <c r="L106" s="95">
        <f t="shared" si="27"/>
        <v>0.49663125</v>
      </c>
      <c r="M106" s="95">
        <f t="shared" si="28"/>
        <v>6.01475625</v>
      </c>
      <c r="N106" s="95">
        <f t="shared" si="29"/>
        <v>69.2298444375</v>
      </c>
      <c r="O106" s="123"/>
    </row>
    <row r="107" s="78" customFormat="1" ht="48" outlineLevel="1" spans="1:15">
      <c r="A107" s="105">
        <v>14</v>
      </c>
      <c r="B107" s="106" t="s">
        <v>160</v>
      </c>
      <c r="C107" s="107" t="s">
        <v>161</v>
      </c>
      <c r="D107" s="109" t="s">
        <v>78</v>
      </c>
      <c r="E107" s="109">
        <v>35.33</v>
      </c>
      <c r="F107" s="95">
        <v>0.72</v>
      </c>
      <c r="G107" s="95">
        <f t="shared" si="25"/>
        <v>4.235</v>
      </c>
      <c r="H107" s="95">
        <v>3.85</v>
      </c>
      <c r="I107" s="120">
        <v>0.1</v>
      </c>
      <c r="J107" s="95">
        <v>0.18</v>
      </c>
      <c r="K107" s="95">
        <f t="shared" si="26"/>
        <v>0.46215</v>
      </c>
      <c r="L107" s="95">
        <f t="shared" si="27"/>
        <v>0.5037435</v>
      </c>
      <c r="M107" s="95">
        <f t="shared" si="28"/>
        <v>6.1008935</v>
      </c>
      <c r="N107" s="95">
        <f t="shared" si="29"/>
        <v>215.544567355</v>
      </c>
      <c r="O107" s="109"/>
    </row>
    <row r="108" s="78" customFormat="1" ht="48" outlineLevel="1" spans="1:15">
      <c r="A108" s="105">
        <v>15</v>
      </c>
      <c r="B108" s="106" t="s">
        <v>160</v>
      </c>
      <c r="C108" s="107" t="s">
        <v>162</v>
      </c>
      <c r="D108" s="109" t="s">
        <v>78</v>
      </c>
      <c r="E108" s="109">
        <v>324</v>
      </c>
      <c r="F108" s="95">
        <v>1.05</v>
      </c>
      <c r="G108" s="95">
        <f t="shared" si="25"/>
        <v>2.9232</v>
      </c>
      <c r="H108" s="95">
        <v>2.52</v>
      </c>
      <c r="I108" s="120">
        <v>0.16</v>
      </c>
      <c r="J108" s="95">
        <v>0.18</v>
      </c>
      <c r="K108" s="95">
        <f t="shared" si="26"/>
        <v>0.373788</v>
      </c>
      <c r="L108" s="95">
        <f t="shared" si="27"/>
        <v>0.40742892</v>
      </c>
      <c r="M108" s="95">
        <f t="shared" si="28"/>
        <v>4.93441692</v>
      </c>
      <c r="N108" s="95">
        <f t="shared" si="29"/>
        <v>1598.75108208</v>
      </c>
      <c r="O108" s="109"/>
    </row>
    <row r="109" s="78" customFormat="1" ht="19" customHeight="1" spans="1:15">
      <c r="A109" s="105">
        <v>16</v>
      </c>
      <c r="B109" s="111" t="s">
        <v>96</v>
      </c>
      <c r="C109" s="112"/>
      <c r="D109" s="113" t="s">
        <v>97</v>
      </c>
      <c r="E109" s="112"/>
      <c r="F109" s="182"/>
      <c r="G109" s="182"/>
      <c r="H109" s="182"/>
      <c r="I109" s="182"/>
      <c r="J109" s="121"/>
      <c r="K109" s="121"/>
      <c r="L109" s="121"/>
      <c r="M109" s="121"/>
      <c r="N109" s="121">
        <f>SUM(N94:N108)</f>
        <v>10601.9710773545</v>
      </c>
      <c r="O109" s="112"/>
    </row>
    <row r="110" s="78" customFormat="1" ht="22.5" spans="1:15">
      <c r="A110" s="105" t="s">
        <v>115</v>
      </c>
      <c r="B110" s="102" t="s">
        <v>172</v>
      </c>
      <c r="C110" s="101" t="s">
        <v>173</v>
      </c>
      <c r="D110" s="101" t="s">
        <v>39</v>
      </c>
      <c r="E110" s="103"/>
      <c r="F110" s="109"/>
      <c r="G110" s="109"/>
      <c r="H110" s="109"/>
      <c r="I110" s="109"/>
      <c r="J110" s="109"/>
      <c r="K110" s="109"/>
      <c r="L110" s="109"/>
      <c r="M110" s="109"/>
      <c r="N110" s="109"/>
      <c r="O110" s="109"/>
    </row>
    <row r="111" s="78" customFormat="1" ht="60" outlineLevel="1" spans="1:15">
      <c r="A111" s="105">
        <v>1</v>
      </c>
      <c r="B111" s="106" t="s">
        <v>132</v>
      </c>
      <c r="C111" s="107" t="s">
        <v>133</v>
      </c>
      <c r="D111" s="108" t="s">
        <v>32</v>
      </c>
      <c r="E111" s="179">
        <v>6</v>
      </c>
      <c r="F111" s="95">
        <v>12.86</v>
      </c>
      <c r="G111" s="95">
        <f t="shared" ref="G111:G125" si="30">H111*(1+I111)</f>
        <v>35.35</v>
      </c>
      <c r="H111" s="95">
        <v>35</v>
      </c>
      <c r="I111" s="120">
        <v>0.01</v>
      </c>
      <c r="J111" s="95">
        <v>6.51</v>
      </c>
      <c r="K111" s="95">
        <f t="shared" ref="K111:K125" si="31">(F111+G111+J111)*9%</f>
        <v>4.9248</v>
      </c>
      <c r="L111" s="95">
        <f t="shared" ref="L111:L125" si="32">(F111+G111+J111+K111)*9%</f>
        <v>5.368032</v>
      </c>
      <c r="M111" s="95">
        <f t="shared" ref="M111:M125" si="33">F111+G111+J111+K111+L111</f>
        <v>65.012832</v>
      </c>
      <c r="N111" s="95">
        <f t="shared" ref="N111:N125" si="34">M111*E111</f>
        <v>390.076992</v>
      </c>
      <c r="O111" s="109"/>
    </row>
    <row r="112" s="78" customFormat="1" ht="48" outlineLevel="1" spans="1:15">
      <c r="A112" s="105">
        <v>2</v>
      </c>
      <c r="B112" s="110" t="s">
        <v>134</v>
      </c>
      <c r="C112" s="107" t="s">
        <v>135</v>
      </c>
      <c r="D112" s="108" t="s">
        <v>32</v>
      </c>
      <c r="E112" s="179">
        <v>1</v>
      </c>
      <c r="F112" s="95">
        <v>355.52</v>
      </c>
      <c r="G112" s="95">
        <f t="shared" si="30"/>
        <v>3838</v>
      </c>
      <c r="H112" s="95">
        <v>3800</v>
      </c>
      <c r="I112" s="120">
        <v>0.01</v>
      </c>
      <c r="J112" s="95">
        <v>84.39</v>
      </c>
      <c r="K112" s="95">
        <f t="shared" si="31"/>
        <v>385.0119</v>
      </c>
      <c r="L112" s="95">
        <f t="shared" si="32"/>
        <v>419.662971</v>
      </c>
      <c r="M112" s="95">
        <f t="shared" si="33"/>
        <v>5082.584871</v>
      </c>
      <c r="N112" s="95">
        <f t="shared" si="34"/>
        <v>5082.584871</v>
      </c>
      <c r="O112" s="109"/>
    </row>
    <row r="113" s="78" customFormat="1" ht="48" outlineLevel="1" spans="1:15">
      <c r="A113" s="105">
        <v>3</v>
      </c>
      <c r="B113" s="110" t="s">
        <v>136</v>
      </c>
      <c r="C113" s="107" t="s">
        <v>137</v>
      </c>
      <c r="D113" s="108" t="s">
        <v>32</v>
      </c>
      <c r="E113" s="179">
        <v>2</v>
      </c>
      <c r="F113" s="95">
        <v>14.7</v>
      </c>
      <c r="G113" s="95">
        <f t="shared" si="30"/>
        <v>181.8</v>
      </c>
      <c r="H113" s="95">
        <v>180</v>
      </c>
      <c r="I113" s="120">
        <v>0.01</v>
      </c>
      <c r="J113" s="95">
        <v>12.51</v>
      </c>
      <c r="K113" s="95">
        <f t="shared" si="31"/>
        <v>18.8109</v>
      </c>
      <c r="L113" s="95">
        <f t="shared" si="32"/>
        <v>20.503881</v>
      </c>
      <c r="M113" s="95">
        <f t="shared" si="33"/>
        <v>248.324781</v>
      </c>
      <c r="N113" s="95">
        <f t="shared" si="34"/>
        <v>496.649562</v>
      </c>
      <c r="O113" s="109"/>
    </row>
    <row r="114" s="78" customFormat="1" ht="48" outlineLevel="1" spans="1:15">
      <c r="A114" s="105">
        <v>4</v>
      </c>
      <c r="B114" s="106" t="s">
        <v>138</v>
      </c>
      <c r="C114" s="107" t="s">
        <v>139</v>
      </c>
      <c r="D114" s="108" t="s">
        <v>32</v>
      </c>
      <c r="E114" s="179">
        <v>7</v>
      </c>
      <c r="F114" s="95">
        <v>12.77</v>
      </c>
      <c r="G114" s="95">
        <f t="shared" si="30"/>
        <v>38.38</v>
      </c>
      <c r="H114" s="95">
        <v>38</v>
      </c>
      <c r="I114" s="120">
        <v>0.01</v>
      </c>
      <c r="J114" s="95">
        <v>7.95</v>
      </c>
      <c r="K114" s="95">
        <f t="shared" si="31"/>
        <v>5.319</v>
      </c>
      <c r="L114" s="95">
        <f t="shared" si="32"/>
        <v>5.79771</v>
      </c>
      <c r="M114" s="95">
        <f t="shared" si="33"/>
        <v>70.21671</v>
      </c>
      <c r="N114" s="95">
        <f t="shared" si="34"/>
        <v>491.51697</v>
      </c>
      <c r="O114" s="109"/>
    </row>
    <row r="115" s="78" customFormat="1" ht="51" customHeight="1" outlineLevel="1" spans="1:15">
      <c r="A115" s="105">
        <v>5</v>
      </c>
      <c r="B115" s="106" t="s">
        <v>141</v>
      </c>
      <c r="C115" s="107" t="s">
        <v>142</v>
      </c>
      <c r="D115" s="108" t="s">
        <v>32</v>
      </c>
      <c r="E115" s="179">
        <v>6</v>
      </c>
      <c r="F115" s="95">
        <v>17.78</v>
      </c>
      <c r="G115" s="95">
        <f t="shared" si="30"/>
        <v>29.29</v>
      </c>
      <c r="H115" s="95">
        <v>29</v>
      </c>
      <c r="I115" s="120">
        <v>0.01</v>
      </c>
      <c r="J115" s="95">
        <v>7.39</v>
      </c>
      <c r="K115" s="95">
        <f t="shared" si="31"/>
        <v>4.9014</v>
      </c>
      <c r="L115" s="95">
        <f t="shared" si="32"/>
        <v>5.342526</v>
      </c>
      <c r="M115" s="95">
        <f t="shared" si="33"/>
        <v>64.703926</v>
      </c>
      <c r="N115" s="95">
        <f t="shared" si="34"/>
        <v>388.223556</v>
      </c>
      <c r="O115" s="109"/>
    </row>
    <row r="116" s="78" customFormat="1" ht="48" outlineLevel="1" spans="1:15">
      <c r="A116" s="105">
        <v>6</v>
      </c>
      <c r="B116" s="110" t="s">
        <v>143</v>
      </c>
      <c r="C116" s="107" t="s">
        <v>144</v>
      </c>
      <c r="D116" s="180" t="s">
        <v>78</v>
      </c>
      <c r="E116" s="181">
        <v>5.76</v>
      </c>
      <c r="F116" s="95">
        <v>14.63</v>
      </c>
      <c r="G116" s="95">
        <f t="shared" si="30"/>
        <v>15.15</v>
      </c>
      <c r="H116" s="95">
        <v>15</v>
      </c>
      <c r="I116" s="120">
        <v>0.01</v>
      </c>
      <c r="J116" s="95">
        <v>8.2</v>
      </c>
      <c r="K116" s="95">
        <f t="shared" si="31"/>
        <v>3.4182</v>
      </c>
      <c r="L116" s="95">
        <f t="shared" si="32"/>
        <v>3.725838</v>
      </c>
      <c r="M116" s="95">
        <f t="shared" si="33"/>
        <v>45.124038</v>
      </c>
      <c r="N116" s="95">
        <f t="shared" si="34"/>
        <v>259.91445888</v>
      </c>
      <c r="O116" s="109"/>
    </row>
    <row r="117" s="78" customFormat="1" ht="48" outlineLevel="1" spans="1:15">
      <c r="A117" s="105">
        <v>7</v>
      </c>
      <c r="B117" s="106" t="s">
        <v>147</v>
      </c>
      <c r="C117" s="107" t="s">
        <v>148</v>
      </c>
      <c r="D117" s="108" t="s">
        <v>32</v>
      </c>
      <c r="E117" s="179">
        <v>1</v>
      </c>
      <c r="F117" s="95">
        <v>7.23</v>
      </c>
      <c r="G117" s="95">
        <f t="shared" si="30"/>
        <v>27.0504</v>
      </c>
      <c r="H117" s="95">
        <v>26.52</v>
      </c>
      <c r="I117" s="120">
        <v>0.02</v>
      </c>
      <c r="J117" s="95">
        <v>1.36</v>
      </c>
      <c r="K117" s="95">
        <f t="shared" si="31"/>
        <v>3.207636</v>
      </c>
      <c r="L117" s="95">
        <f t="shared" si="32"/>
        <v>3.49632324</v>
      </c>
      <c r="M117" s="95">
        <f t="shared" si="33"/>
        <v>42.34435924</v>
      </c>
      <c r="N117" s="95">
        <f t="shared" si="34"/>
        <v>42.34435924</v>
      </c>
      <c r="O117" s="25"/>
    </row>
    <row r="118" s="78" customFormat="1" ht="48" outlineLevel="1" spans="1:15">
      <c r="A118" s="105">
        <v>8</v>
      </c>
      <c r="B118" s="106" t="s">
        <v>149</v>
      </c>
      <c r="C118" s="107" t="s">
        <v>150</v>
      </c>
      <c r="D118" s="108" t="s">
        <v>32</v>
      </c>
      <c r="E118" s="179">
        <v>1</v>
      </c>
      <c r="F118" s="95">
        <v>7.23</v>
      </c>
      <c r="G118" s="95">
        <f t="shared" si="30"/>
        <v>23.9292</v>
      </c>
      <c r="H118" s="95">
        <v>23.46</v>
      </c>
      <c r="I118" s="120">
        <v>0.02</v>
      </c>
      <c r="J118" s="95">
        <v>1.36</v>
      </c>
      <c r="K118" s="95">
        <f t="shared" si="31"/>
        <v>2.926728</v>
      </c>
      <c r="L118" s="95">
        <f t="shared" si="32"/>
        <v>3.19013352</v>
      </c>
      <c r="M118" s="95">
        <f t="shared" si="33"/>
        <v>38.63606152</v>
      </c>
      <c r="N118" s="95">
        <f t="shared" si="34"/>
        <v>38.63606152</v>
      </c>
      <c r="O118" s="25"/>
    </row>
    <row r="119" s="78" customFormat="1" ht="60" outlineLevel="1" spans="1:15">
      <c r="A119" s="105">
        <v>9</v>
      </c>
      <c r="B119" s="106" t="s">
        <v>151</v>
      </c>
      <c r="C119" s="107" t="s">
        <v>152</v>
      </c>
      <c r="D119" s="108" t="s">
        <v>32</v>
      </c>
      <c r="E119" s="25">
        <v>2</v>
      </c>
      <c r="F119" s="95">
        <v>8.97</v>
      </c>
      <c r="G119" s="95">
        <f t="shared" si="30"/>
        <v>25.5</v>
      </c>
      <c r="H119" s="95">
        <v>25</v>
      </c>
      <c r="I119" s="120">
        <v>0.02</v>
      </c>
      <c r="J119" s="95">
        <v>1.36</v>
      </c>
      <c r="K119" s="95">
        <f t="shared" si="31"/>
        <v>3.2247</v>
      </c>
      <c r="L119" s="95">
        <f t="shared" si="32"/>
        <v>3.514923</v>
      </c>
      <c r="M119" s="95">
        <f t="shared" si="33"/>
        <v>42.569623</v>
      </c>
      <c r="N119" s="95">
        <f t="shared" si="34"/>
        <v>85.139246</v>
      </c>
      <c r="O119" s="25"/>
    </row>
    <row r="120" s="78" customFormat="1" ht="48" outlineLevel="1" spans="1:15">
      <c r="A120" s="105">
        <v>10</v>
      </c>
      <c r="B120" s="106" t="s">
        <v>153</v>
      </c>
      <c r="C120" s="107" t="s">
        <v>154</v>
      </c>
      <c r="D120" s="108" t="s">
        <v>32</v>
      </c>
      <c r="E120" s="179">
        <v>2</v>
      </c>
      <c r="F120" s="95">
        <v>8.26</v>
      </c>
      <c r="G120" s="95">
        <f t="shared" si="30"/>
        <v>30.3</v>
      </c>
      <c r="H120" s="95">
        <v>30</v>
      </c>
      <c r="I120" s="120">
        <v>0.01</v>
      </c>
      <c r="J120" s="95">
        <v>0.2</v>
      </c>
      <c r="K120" s="95">
        <f t="shared" si="31"/>
        <v>3.4884</v>
      </c>
      <c r="L120" s="95">
        <f t="shared" si="32"/>
        <v>3.802356</v>
      </c>
      <c r="M120" s="95">
        <f t="shared" si="33"/>
        <v>46.050756</v>
      </c>
      <c r="N120" s="95">
        <f t="shared" si="34"/>
        <v>92.101512</v>
      </c>
      <c r="O120" s="25"/>
    </row>
    <row r="121" s="78" customFormat="1" ht="60" outlineLevel="1" spans="1:15">
      <c r="A121" s="105">
        <v>11</v>
      </c>
      <c r="B121" s="106" t="s">
        <v>155</v>
      </c>
      <c r="C121" s="107" t="s">
        <v>156</v>
      </c>
      <c r="D121" s="109" t="s">
        <v>78</v>
      </c>
      <c r="E121" s="109">
        <v>11.7</v>
      </c>
      <c r="F121" s="95">
        <v>6.73</v>
      </c>
      <c r="G121" s="95">
        <f t="shared" si="30"/>
        <v>1.8656</v>
      </c>
      <c r="H121" s="95">
        <v>1.76</v>
      </c>
      <c r="I121" s="120">
        <v>0.06</v>
      </c>
      <c r="J121" s="95">
        <v>0.26</v>
      </c>
      <c r="K121" s="95">
        <f t="shared" si="31"/>
        <v>0.797004</v>
      </c>
      <c r="L121" s="95">
        <f t="shared" si="32"/>
        <v>0.86873436</v>
      </c>
      <c r="M121" s="95">
        <f t="shared" si="33"/>
        <v>10.52133836</v>
      </c>
      <c r="N121" s="95">
        <f t="shared" si="34"/>
        <v>123.099658812</v>
      </c>
      <c r="O121" s="123"/>
    </row>
    <row r="122" s="78" customFormat="1" ht="60" outlineLevel="1" spans="1:15">
      <c r="A122" s="105">
        <v>12</v>
      </c>
      <c r="B122" s="106" t="s">
        <v>155</v>
      </c>
      <c r="C122" s="107" t="s">
        <v>157</v>
      </c>
      <c r="D122" s="109" t="s">
        <v>78</v>
      </c>
      <c r="E122" s="109">
        <v>99.6</v>
      </c>
      <c r="F122" s="95">
        <v>6.32</v>
      </c>
      <c r="G122" s="95">
        <f t="shared" si="30"/>
        <v>1.4522</v>
      </c>
      <c r="H122" s="95">
        <v>1.37</v>
      </c>
      <c r="I122" s="120">
        <v>0.06</v>
      </c>
      <c r="J122" s="95">
        <v>0.25</v>
      </c>
      <c r="K122" s="95">
        <f t="shared" si="31"/>
        <v>0.721998</v>
      </c>
      <c r="L122" s="95">
        <f t="shared" si="32"/>
        <v>0.78697782</v>
      </c>
      <c r="M122" s="95">
        <f t="shared" si="33"/>
        <v>9.53117582</v>
      </c>
      <c r="N122" s="95">
        <f t="shared" si="34"/>
        <v>949.305111672</v>
      </c>
      <c r="O122" s="123"/>
    </row>
    <row r="123" s="78" customFormat="1" ht="48" outlineLevel="1" spans="1:15">
      <c r="A123" s="105">
        <v>13</v>
      </c>
      <c r="B123" s="106" t="s">
        <v>158</v>
      </c>
      <c r="C123" s="107" t="s">
        <v>159</v>
      </c>
      <c r="D123" s="109" t="s">
        <v>78</v>
      </c>
      <c r="E123" s="109">
        <v>11.51</v>
      </c>
      <c r="F123" s="95">
        <v>1.79</v>
      </c>
      <c r="G123" s="95">
        <f t="shared" si="30"/>
        <v>3.2025</v>
      </c>
      <c r="H123" s="95">
        <v>3.05</v>
      </c>
      <c r="I123" s="120">
        <v>0.05</v>
      </c>
      <c r="J123" s="95">
        <v>0.07</v>
      </c>
      <c r="K123" s="95">
        <f t="shared" si="31"/>
        <v>0.455625</v>
      </c>
      <c r="L123" s="95">
        <f t="shared" si="32"/>
        <v>0.49663125</v>
      </c>
      <c r="M123" s="95">
        <f t="shared" si="33"/>
        <v>6.01475625</v>
      </c>
      <c r="N123" s="95">
        <f t="shared" si="34"/>
        <v>69.2298444375</v>
      </c>
      <c r="O123" s="123"/>
    </row>
    <row r="124" s="78" customFormat="1" ht="48" outlineLevel="1" spans="1:15">
      <c r="A124" s="105">
        <v>14</v>
      </c>
      <c r="B124" s="106" t="s">
        <v>160</v>
      </c>
      <c r="C124" s="107" t="s">
        <v>161</v>
      </c>
      <c r="D124" s="109" t="s">
        <v>78</v>
      </c>
      <c r="E124" s="109">
        <v>35.33</v>
      </c>
      <c r="F124" s="95">
        <v>0.72</v>
      </c>
      <c r="G124" s="95">
        <f t="shared" si="30"/>
        <v>4.235</v>
      </c>
      <c r="H124" s="95">
        <v>3.85</v>
      </c>
      <c r="I124" s="120">
        <v>0.1</v>
      </c>
      <c r="J124" s="95">
        <v>0.18</v>
      </c>
      <c r="K124" s="95">
        <f t="shared" si="31"/>
        <v>0.46215</v>
      </c>
      <c r="L124" s="95">
        <f t="shared" si="32"/>
        <v>0.5037435</v>
      </c>
      <c r="M124" s="95">
        <f t="shared" si="33"/>
        <v>6.1008935</v>
      </c>
      <c r="N124" s="95">
        <f t="shared" si="34"/>
        <v>215.544567355</v>
      </c>
      <c r="O124" s="109"/>
    </row>
    <row r="125" s="78" customFormat="1" ht="48" outlineLevel="1" spans="1:15">
      <c r="A125" s="105">
        <v>15</v>
      </c>
      <c r="B125" s="106" t="s">
        <v>160</v>
      </c>
      <c r="C125" s="107" t="s">
        <v>162</v>
      </c>
      <c r="D125" s="109" t="s">
        <v>78</v>
      </c>
      <c r="E125" s="109">
        <v>307.8</v>
      </c>
      <c r="F125" s="95">
        <v>1.05</v>
      </c>
      <c r="G125" s="95">
        <f t="shared" si="30"/>
        <v>2.9232</v>
      </c>
      <c r="H125" s="95">
        <v>2.52</v>
      </c>
      <c r="I125" s="120">
        <v>0.16</v>
      </c>
      <c r="J125" s="95">
        <v>0.18</v>
      </c>
      <c r="K125" s="95">
        <f t="shared" si="31"/>
        <v>0.373788</v>
      </c>
      <c r="L125" s="95">
        <f t="shared" si="32"/>
        <v>0.40742892</v>
      </c>
      <c r="M125" s="95">
        <f t="shared" si="33"/>
        <v>4.93441692</v>
      </c>
      <c r="N125" s="95">
        <f t="shared" si="34"/>
        <v>1518.813527976</v>
      </c>
      <c r="O125" s="109"/>
    </row>
    <row r="126" s="78" customFormat="1" ht="19" customHeight="1" spans="1:15">
      <c r="A126" s="105">
        <v>16</v>
      </c>
      <c r="B126" s="111" t="s">
        <v>96</v>
      </c>
      <c r="C126" s="112"/>
      <c r="D126" s="113" t="s">
        <v>97</v>
      </c>
      <c r="E126" s="112"/>
      <c r="F126" s="182"/>
      <c r="G126" s="182"/>
      <c r="H126" s="182"/>
      <c r="I126" s="182"/>
      <c r="J126" s="121"/>
      <c r="K126" s="121"/>
      <c r="L126" s="121"/>
      <c r="M126" s="121"/>
      <c r="N126" s="121">
        <f>SUM(N111:N125)</f>
        <v>10243.1802988925</v>
      </c>
      <c r="O126" s="112"/>
    </row>
    <row r="127" s="78" customFormat="1" ht="22.5" spans="1:15">
      <c r="A127" s="105" t="s">
        <v>118</v>
      </c>
      <c r="B127" s="102" t="s">
        <v>174</v>
      </c>
      <c r="C127" s="101" t="s">
        <v>171</v>
      </c>
      <c r="D127" s="101" t="s">
        <v>39</v>
      </c>
      <c r="E127" s="103"/>
      <c r="F127" s="109"/>
      <c r="G127" s="109"/>
      <c r="H127" s="109"/>
      <c r="I127" s="109"/>
      <c r="J127" s="109"/>
      <c r="K127" s="109"/>
      <c r="L127" s="109"/>
      <c r="M127" s="109"/>
      <c r="N127" s="109"/>
      <c r="O127" s="109"/>
    </row>
    <row r="128" s="78" customFormat="1" ht="48" outlineLevel="1" spans="1:15">
      <c r="A128" s="105">
        <v>1</v>
      </c>
      <c r="B128" s="110" t="s">
        <v>134</v>
      </c>
      <c r="C128" s="107" t="s">
        <v>135</v>
      </c>
      <c r="D128" s="108" t="s">
        <v>32</v>
      </c>
      <c r="E128" s="179">
        <v>1</v>
      </c>
      <c r="F128" s="95">
        <v>355.52</v>
      </c>
      <c r="G128" s="95">
        <f>H128*(1+I128)</f>
        <v>3838</v>
      </c>
      <c r="H128" s="95">
        <v>3800</v>
      </c>
      <c r="I128" s="120">
        <v>0.01</v>
      </c>
      <c r="J128" s="95">
        <v>84.39</v>
      </c>
      <c r="K128" s="95">
        <f>(F128+G128+J128)*9%</f>
        <v>385.0119</v>
      </c>
      <c r="L128" s="95">
        <f>(F128+G128+J128+K128)*9%</f>
        <v>419.662971</v>
      </c>
      <c r="M128" s="95">
        <f>F128+G128+J128+K128+L128</f>
        <v>5082.584871</v>
      </c>
      <c r="N128" s="95">
        <f>M128*E128</f>
        <v>5082.584871</v>
      </c>
      <c r="O128" s="109"/>
    </row>
    <row r="129" s="78" customFormat="1" ht="48" outlineLevel="1" spans="1:15">
      <c r="A129" s="105">
        <v>2</v>
      </c>
      <c r="B129" s="110" t="s">
        <v>136</v>
      </c>
      <c r="C129" s="107" t="s">
        <v>137</v>
      </c>
      <c r="D129" s="108" t="s">
        <v>32</v>
      </c>
      <c r="E129" s="179">
        <v>2</v>
      </c>
      <c r="F129" s="95">
        <v>14.7</v>
      </c>
      <c r="G129" s="95">
        <f>H129*(1+I129)</f>
        <v>181.8</v>
      </c>
      <c r="H129" s="95">
        <v>180</v>
      </c>
      <c r="I129" s="120">
        <v>0.01</v>
      </c>
      <c r="J129" s="95">
        <v>12.51</v>
      </c>
      <c r="K129" s="95">
        <f>(F129+G129+J129)*9%</f>
        <v>18.8109</v>
      </c>
      <c r="L129" s="95">
        <f>(F129+G129+J129+K129)*9%</f>
        <v>20.503881</v>
      </c>
      <c r="M129" s="95">
        <f>F129+G129+J129+K129+L129</f>
        <v>248.324781</v>
      </c>
      <c r="N129" s="95">
        <f>M129*E129</f>
        <v>496.649562</v>
      </c>
      <c r="O129" s="109"/>
    </row>
    <row r="130" s="78" customFormat="1" ht="48" outlineLevel="1" spans="1:15">
      <c r="A130" s="105">
        <v>3</v>
      </c>
      <c r="B130" s="106" t="s">
        <v>138</v>
      </c>
      <c r="C130" s="107" t="s">
        <v>139</v>
      </c>
      <c r="D130" s="108" t="s">
        <v>32</v>
      </c>
      <c r="E130" s="179">
        <v>9</v>
      </c>
      <c r="F130" s="95">
        <v>12.77</v>
      </c>
      <c r="G130" s="95">
        <f>H130*(1+I130)</f>
        <v>38.38</v>
      </c>
      <c r="H130" s="95">
        <v>38</v>
      </c>
      <c r="I130" s="120">
        <v>0.01</v>
      </c>
      <c r="J130" s="95">
        <v>7.95</v>
      </c>
      <c r="K130" s="95">
        <f>(F130+G130+J130)*9%</f>
        <v>5.319</v>
      </c>
      <c r="L130" s="95">
        <f>(F130+G130+J130+K130)*9%</f>
        <v>5.79771</v>
      </c>
      <c r="M130" s="95">
        <f>F130+G130+J130+K130+L130</f>
        <v>70.21671</v>
      </c>
      <c r="N130" s="95">
        <f>M130*E130</f>
        <v>631.95039</v>
      </c>
      <c r="O130" s="109"/>
    </row>
    <row r="131" s="78" customFormat="1" ht="51" customHeight="1" outlineLevel="1" spans="1:15">
      <c r="A131" s="105">
        <v>4</v>
      </c>
      <c r="B131" s="106" t="s">
        <v>141</v>
      </c>
      <c r="C131" s="107" t="s">
        <v>142</v>
      </c>
      <c r="D131" s="108" t="s">
        <v>32</v>
      </c>
      <c r="E131" s="179">
        <v>12</v>
      </c>
      <c r="F131" s="95">
        <v>17.78</v>
      </c>
      <c r="G131" s="95">
        <f>H131*(1+I131)</f>
        <v>29.29</v>
      </c>
      <c r="H131" s="95">
        <v>29</v>
      </c>
      <c r="I131" s="120">
        <v>0.01</v>
      </c>
      <c r="J131" s="95">
        <v>7.39</v>
      </c>
      <c r="K131" s="95">
        <f>(F131+G131+J131)*9%</f>
        <v>4.9014</v>
      </c>
      <c r="L131" s="95">
        <f>(F131+G131+J131+K131)*9%</f>
        <v>5.342526</v>
      </c>
      <c r="M131" s="95">
        <f>F131+G131+J131+K131+L131</f>
        <v>64.703926</v>
      </c>
      <c r="N131" s="95">
        <f>M131*E131</f>
        <v>776.447112</v>
      </c>
      <c r="O131" s="109"/>
    </row>
    <row r="132" s="78" customFormat="1" ht="48" outlineLevel="1" spans="1:15">
      <c r="A132" s="105">
        <v>5</v>
      </c>
      <c r="B132" s="184" t="s">
        <v>175</v>
      </c>
      <c r="C132" s="185" t="s">
        <v>176</v>
      </c>
      <c r="D132" s="186" t="s">
        <v>32</v>
      </c>
      <c r="E132" s="187">
        <v>0</v>
      </c>
      <c r="F132" s="95">
        <v>17.78</v>
      </c>
      <c r="G132" s="95">
        <f>H132*(1+I132)</f>
        <v>29.29</v>
      </c>
      <c r="H132" s="95">
        <v>29</v>
      </c>
      <c r="I132" s="120">
        <v>0.01</v>
      </c>
      <c r="J132" s="95">
        <v>7.39</v>
      </c>
      <c r="K132" s="95">
        <f>(F132+G132+J132)*9%</f>
        <v>4.9014</v>
      </c>
      <c r="L132" s="95">
        <f>(F132+G132+J132+K132)*9%</f>
        <v>5.342526</v>
      </c>
      <c r="M132" s="95">
        <f>F132+G132+J132+K132+L132</f>
        <v>64.703926</v>
      </c>
      <c r="N132" s="95">
        <f>M132*E132</f>
        <v>0</v>
      </c>
      <c r="O132" s="109"/>
    </row>
    <row r="133" s="78" customFormat="1" ht="48" outlineLevel="1" spans="1:15">
      <c r="A133" s="105">
        <v>6</v>
      </c>
      <c r="B133" s="110" t="s">
        <v>143</v>
      </c>
      <c r="C133" s="107" t="s">
        <v>144</v>
      </c>
      <c r="D133" s="180" t="s">
        <v>78</v>
      </c>
      <c r="E133" s="181">
        <v>17.96</v>
      </c>
      <c r="F133" s="95">
        <v>14.63</v>
      </c>
      <c r="G133" s="95">
        <f t="shared" ref="G128:G142" si="35">H133*(1+I133)</f>
        <v>15.15</v>
      </c>
      <c r="H133" s="95">
        <v>15</v>
      </c>
      <c r="I133" s="120">
        <v>0.01</v>
      </c>
      <c r="J133" s="95">
        <v>8.2</v>
      </c>
      <c r="K133" s="95">
        <f t="shared" ref="K128:K142" si="36">(F133+G133+J133)*9%</f>
        <v>3.4182</v>
      </c>
      <c r="L133" s="95">
        <f t="shared" ref="L128:L142" si="37">(F133+G133+J133+K133)*9%</f>
        <v>3.725838</v>
      </c>
      <c r="M133" s="95">
        <f t="shared" ref="M128:M142" si="38">F133+G133+J133+K133+L133</f>
        <v>45.124038</v>
      </c>
      <c r="N133" s="95">
        <f t="shared" ref="N128:N142" si="39">M133*E133</f>
        <v>810.42772248</v>
      </c>
      <c r="O133" s="109"/>
    </row>
    <row r="134" s="78" customFormat="1" ht="48" outlineLevel="1" spans="1:15">
      <c r="A134" s="105">
        <v>8</v>
      </c>
      <c r="B134" s="106" t="s">
        <v>147</v>
      </c>
      <c r="C134" s="107" t="s">
        <v>148</v>
      </c>
      <c r="D134" s="108" t="s">
        <v>32</v>
      </c>
      <c r="E134" s="179">
        <v>1</v>
      </c>
      <c r="F134" s="95">
        <v>7.23</v>
      </c>
      <c r="G134" s="95">
        <f t="shared" si="35"/>
        <v>27.0504</v>
      </c>
      <c r="H134" s="95">
        <v>26.52</v>
      </c>
      <c r="I134" s="120">
        <v>0.02</v>
      </c>
      <c r="J134" s="95">
        <v>1.36</v>
      </c>
      <c r="K134" s="95">
        <f t="shared" si="36"/>
        <v>3.207636</v>
      </c>
      <c r="L134" s="95">
        <f t="shared" si="37"/>
        <v>3.49632324</v>
      </c>
      <c r="M134" s="95">
        <f t="shared" si="38"/>
        <v>42.34435924</v>
      </c>
      <c r="N134" s="95">
        <f t="shared" si="39"/>
        <v>42.34435924</v>
      </c>
      <c r="O134" s="25"/>
    </row>
    <row r="135" s="78" customFormat="1" ht="48" outlineLevel="1" spans="1:15">
      <c r="A135" s="105">
        <v>9</v>
      </c>
      <c r="B135" s="106" t="s">
        <v>149</v>
      </c>
      <c r="C135" s="107" t="s">
        <v>150</v>
      </c>
      <c r="D135" s="108" t="s">
        <v>32</v>
      </c>
      <c r="E135" s="179">
        <v>1</v>
      </c>
      <c r="F135" s="95">
        <v>7.23</v>
      </c>
      <c r="G135" s="95">
        <f t="shared" si="35"/>
        <v>23.9292</v>
      </c>
      <c r="H135" s="95">
        <v>23.46</v>
      </c>
      <c r="I135" s="120">
        <v>0.02</v>
      </c>
      <c r="J135" s="95">
        <v>1.36</v>
      </c>
      <c r="K135" s="95">
        <f t="shared" si="36"/>
        <v>2.926728</v>
      </c>
      <c r="L135" s="95">
        <f t="shared" si="37"/>
        <v>3.19013352</v>
      </c>
      <c r="M135" s="95">
        <f t="shared" si="38"/>
        <v>38.63606152</v>
      </c>
      <c r="N135" s="95">
        <f t="shared" si="39"/>
        <v>38.63606152</v>
      </c>
      <c r="O135" s="25"/>
    </row>
    <row r="136" s="78" customFormat="1" ht="60" outlineLevel="1" spans="1:15">
      <c r="A136" s="105">
        <v>10</v>
      </c>
      <c r="B136" s="106" t="s">
        <v>151</v>
      </c>
      <c r="C136" s="107" t="s">
        <v>152</v>
      </c>
      <c r="D136" s="108" t="s">
        <v>32</v>
      </c>
      <c r="E136" s="25">
        <v>2</v>
      </c>
      <c r="F136" s="95">
        <v>8.97</v>
      </c>
      <c r="G136" s="95">
        <f t="shared" si="35"/>
        <v>25.5</v>
      </c>
      <c r="H136" s="95">
        <v>25</v>
      </c>
      <c r="I136" s="120">
        <v>0.02</v>
      </c>
      <c r="J136" s="95">
        <v>1.36</v>
      </c>
      <c r="K136" s="95">
        <f t="shared" si="36"/>
        <v>3.2247</v>
      </c>
      <c r="L136" s="95">
        <f t="shared" si="37"/>
        <v>3.514923</v>
      </c>
      <c r="M136" s="95">
        <f t="shared" si="38"/>
        <v>42.569623</v>
      </c>
      <c r="N136" s="95">
        <f t="shared" si="39"/>
        <v>85.139246</v>
      </c>
      <c r="O136" s="25"/>
    </row>
    <row r="137" s="78" customFormat="1" ht="48" outlineLevel="1" spans="1:15">
      <c r="A137" s="105">
        <v>11</v>
      </c>
      <c r="B137" s="106" t="s">
        <v>153</v>
      </c>
      <c r="C137" s="107" t="s">
        <v>154</v>
      </c>
      <c r="D137" s="108" t="s">
        <v>32</v>
      </c>
      <c r="E137" s="179">
        <v>2</v>
      </c>
      <c r="F137" s="95">
        <v>8.26</v>
      </c>
      <c r="G137" s="95">
        <f t="shared" si="35"/>
        <v>30.3</v>
      </c>
      <c r="H137" s="95">
        <v>30</v>
      </c>
      <c r="I137" s="120">
        <v>0.01</v>
      </c>
      <c r="J137" s="95">
        <v>0.2</v>
      </c>
      <c r="K137" s="95">
        <f t="shared" si="36"/>
        <v>3.4884</v>
      </c>
      <c r="L137" s="95">
        <f t="shared" si="37"/>
        <v>3.802356</v>
      </c>
      <c r="M137" s="95">
        <f t="shared" si="38"/>
        <v>46.050756</v>
      </c>
      <c r="N137" s="95">
        <f t="shared" si="39"/>
        <v>92.101512</v>
      </c>
      <c r="O137" s="25"/>
    </row>
    <row r="138" s="78" customFormat="1" ht="60" outlineLevel="1" spans="1:15">
      <c r="A138" s="105">
        <v>12</v>
      </c>
      <c r="B138" s="106" t="s">
        <v>155</v>
      </c>
      <c r="C138" s="107" t="s">
        <v>156</v>
      </c>
      <c r="D138" s="109" t="s">
        <v>78</v>
      </c>
      <c r="E138" s="109">
        <v>11.7</v>
      </c>
      <c r="F138" s="95">
        <v>6.73</v>
      </c>
      <c r="G138" s="95">
        <f t="shared" si="35"/>
        <v>1.8656</v>
      </c>
      <c r="H138" s="95">
        <v>1.76</v>
      </c>
      <c r="I138" s="120">
        <v>0.06</v>
      </c>
      <c r="J138" s="95">
        <v>0.26</v>
      </c>
      <c r="K138" s="95">
        <f t="shared" si="36"/>
        <v>0.797004</v>
      </c>
      <c r="L138" s="95">
        <f t="shared" si="37"/>
        <v>0.86873436</v>
      </c>
      <c r="M138" s="95">
        <f t="shared" si="38"/>
        <v>10.52133836</v>
      </c>
      <c r="N138" s="95">
        <f t="shared" si="39"/>
        <v>123.099658812</v>
      </c>
      <c r="O138" s="123"/>
    </row>
    <row r="139" s="78" customFormat="1" ht="60" outlineLevel="1" spans="1:15">
      <c r="A139" s="105">
        <v>13</v>
      </c>
      <c r="B139" s="106" t="s">
        <v>155</v>
      </c>
      <c r="C139" s="107" t="s">
        <v>157</v>
      </c>
      <c r="D139" s="109" t="s">
        <v>78</v>
      </c>
      <c r="E139" s="109">
        <v>101.8</v>
      </c>
      <c r="F139" s="95">
        <v>6.32</v>
      </c>
      <c r="G139" s="95">
        <f t="shared" si="35"/>
        <v>1.4522</v>
      </c>
      <c r="H139" s="95">
        <v>1.37</v>
      </c>
      <c r="I139" s="120">
        <v>0.06</v>
      </c>
      <c r="J139" s="95">
        <v>0.25</v>
      </c>
      <c r="K139" s="95">
        <f t="shared" si="36"/>
        <v>0.721998</v>
      </c>
      <c r="L139" s="95">
        <f t="shared" si="37"/>
        <v>0.78697782</v>
      </c>
      <c r="M139" s="95">
        <f t="shared" si="38"/>
        <v>9.53117582</v>
      </c>
      <c r="N139" s="95">
        <f t="shared" si="39"/>
        <v>970.273698476</v>
      </c>
      <c r="O139" s="123"/>
    </row>
    <row r="140" s="78" customFormat="1" ht="48" outlineLevel="1" spans="1:15">
      <c r="A140" s="105">
        <v>14</v>
      </c>
      <c r="B140" s="106" t="s">
        <v>158</v>
      </c>
      <c r="C140" s="107" t="s">
        <v>159</v>
      </c>
      <c r="D140" s="109" t="s">
        <v>78</v>
      </c>
      <c r="E140" s="109">
        <v>11.51</v>
      </c>
      <c r="F140" s="95">
        <v>1.79</v>
      </c>
      <c r="G140" s="95">
        <f t="shared" si="35"/>
        <v>3.2025</v>
      </c>
      <c r="H140" s="95">
        <v>3.05</v>
      </c>
      <c r="I140" s="120">
        <v>0.05</v>
      </c>
      <c r="J140" s="95">
        <v>0.07</v>
      </c>
      <c r="K140" s="95">
        <f t="shared" si="36"/>
        <v>0.455625</v>
      </c>
      <c r="L140" s="95">
        <f t="shared" si="37"/>
        <v>0.49663125</v>
      </c>
      <c r="M140" s="95">
        <f t="shared" si="38"/>
        <v>6.01475625</v>
      </c>
      <c r="N140" s="95">
        <f t="shared" si="39"/>
        <v>69.2298444375</v>
      </c>
      <c r="O140" s="123"/>
    </row>
    <row r="141" s="78" customFormat="1" ht="48" outlineLevel="1" spans="1:15">
      <c r="A141" s="105">
        <v>15</v>
      </c>
      <c r="B141" s="106" t="s">
        <v>160</v>
      </c>
      <c r="C141" s="107" t="s">
        <v>161</v>
      </c>
      <c r="D141" s="109" t="s">
        <v>78</v>
      </c>
      <c r="E141" s="109">
        <v>35.33</v>
      </c>
      <c r="F141" s="95">
        <v>0.72</v>
      </c>
      <c r="G141" s="95">
        <f t="shared" si="35"/>
        <v>4.235</v>
      </c>
      <c r="H141" s="95">
        <v>3.85</v>
      </c>
      <c r="I141" s="120">
        <v>0.1</v>
      </c>
      <c r="J141" s="95">
        <v>0.18</v>
      </c>
      <c r="K141" s="95">
        <f t="shared" si="36"/>
        <v>0.46215</v>
      </c>
      <c r="L141" s="95">
        <f t="shared" si="37"/>
        <v>0.5037435</v>
      </c>
      <c r="M141" s="95">
        <f t="shared" si="38"/>
        <v>6.1008935</v>
      </c>
      <c r="N141" s="95">
        <f t="shared" si="39"/>
        <v>215.544567355</v>
      </c>
      <c r="O141" s="109"/>
    </row>
    <row r="142" s="78" customFormat="1" ht="48" outlineLevel="1" spans="1:15">
      <c r="A142" s="105">
        <v>16</v>
      </c>
      <c r="B142" s="106" t="s">
        <v>160</v>
      </c>
      <c r="C142" s="107" t="s">
        <v>162</v>
      </c>
      <c r="D142" s="109" t="s">
        <v>78</v>
      </c>
      <c r="E142" s="109">
        <v>325.395</v>
      </c>
      <c r="F142" s="95">
        <v>1.05</v>
      </c>
      <c r="G142" s="95">
        <f t="shared" si="35"/>
        <v>2.9232</v>
      </c>
      <c r="H142" s="95">
        <v>2.52</v>
      </c>
      <c r="I142" s="120">
        <v>0.16</v>
      </c>
      <c r="J142" s="95">
        <v>0.18</v>
      </c>
      <c r="K142" s="95">
        <f t="shared" si="36"/>
        <v>0.373788</v>
      </c>
      <c r="L142" s="95">
        <f t="shared" si="37"/>
        <v>0.40742892</v>
      </c>
      <c r="M142" s="95">
        <f t="shared" si="38"/>
        <v>4.93441692</v>
      </c>
      <c r="N142" s="95">
        <f t="shared" si="39"/>
        <v>1605.6345936834</v>
      </c>
      <c r="O142" s="109"/>
    </row>
    <row r="143" s="78" customFormat="1" ht="19" customHeight="1" spans="1:15">
      <c r="A143" s="105">
        <v>17</v>
      </c>
      <c r="B143" s="111" t="s">
        <v>96</v>
      </c>
      <c r="C143" s="112"/>
      <c r="D143" s="113" t="s">
        <v>97</v>
      </c>
      <c r="E143" s="112"/>
      <c r="F143" s="182"/>
      <c r="G143" s="182"/>
      <c r="H143" s="182"/>
      <c r="I143" s="182"/>
      <c r="J143" s="121"/>
      <c r="K143" s="121"/>
      <c r="L143" s="121"/>
      <c r="M143" s="121"/>
      <c r="N143" s="121">
        <f>SUM(N128:N142)</f>
        <v>11040.0631990039</v>
      </c>
      <c r="O143" s="112"/>
    </row>
    <row r="144" s="78" customFormat="1" ht="22.5" spans="1:15">
      <c r="A144" s="105" t="s">
        <v>118</v>
      </c>
      <c r="B144" s="102" t="s">
        <v>174</v>
      </c>
      <c r="C144" s="101" t="s">
        <v>169</v>
      </c>
      <c r="D144" s="101" t="s">
        <v>39</v>
      </c>
      <c r="E144" s="103"/>
      <c r="F144" s="109"/>
      <c r="G144" s="109"/>
      <c r="H144" s="109"/>
      <c r="I144" s="109"/>
      <c r="J144" s="109"/>
      <c r="K144" s="109"/>
      <c r="L144" s="109"/>
      <c r="M144" s="109"/>
      <c r="N144" s="109"/>
      <c r="O144" s="109"/>
    </row>
    <row r="145" s="78" customFormat="1" ht="48" outlineLevel="1" spans="1:15">
      <c r="A145" s="105">
        <v>1</v>
      </c>
      <c r="B145" s="110" t="s">
        <v>134</v>
      </c>
      <c r="C145" s="107" t="s">
        <v>135</v>
      </c>
      <c r="D145" s="108" t="s">
        <v>32</v>
      </c>
      <c r="E145" s="179">
        <v>1</v>
      </c>
      <c r="F145" s="95">
        <v>355.52</v>
      </c>
      <c r="G145" s="95">
        <f>H145*(1+I145)</f>
        <v>3838</v>
      </c>
      <c r="H145" s="95">
        <v>3800</v>
      </c>
      <c r="I145" s="120">
        <v>0.01</v>
      </c>
      <c r="J145" s="95">
        <v>84.39</v>
      </c>
      <c r="K145" s="95">
        <f>(F145+G145+J145)*9%</f>
        <v>385.0119</v>
      </c>
      <c r="L145" s="95">
        <f>(F145+G145+J145+K145)*9%</f>
        <v>419.662971</v>
      </c>
      <c r="M145" s="95">
        <f>F145+G145+J145+K145+L145</f>
        <v>5082.584871</v>
      </c>
      <c r="N145" s="95">
        <f>M145*E145</f>
        <v>5082.584871</v>
      </c>
      <c r="O145" s="109"/>
    </row>
    <row r="146" s="78" customFormat="1" ht="48" outlineLevel="1" spans="1:15">
      <c r="A146" s="105">
        <v>2</v>
      </c>
      <c r="B146" s="110" t="s">
        <v>136</v>
      </c>
      <c r="C146" s="107" t="s">
        <v>137</v>
      </c>
      <c r="D146" s="108" t="s">
        <v>32</v>
      </c>
      <c r="E146" s="179">
        <v>2</v>
      </c>
      <c r="F146" s="95">
        <v>14.7</v>
      </c>
      <c r="G146" s="95">
        <f>H146*(1+I146)</f>
        <v>181.8</v>
      </c>
      <c r="H146" s="95">
        <v>180</v>
      </c>
      <c r="I146" s="120">
        <v>0.01</v>
      </c>
      <c r="J146" s="95">
        <v>12.51</v>
      </c>
      <c r="K146" s="95">
        <f>(F146+G146+J146)*9%</f>
        <v>18.8109</v>
      </c>
      <c r="L146" s="95">
        <f>(F146+G146+J146+K146)*9%</f>
        <v>20.503881</v>
      </c>
      <c r="M146" s="95">
        <f>F146+G146+J146+K146+L146</f>
        <v>248.324781</v>
      </c>
      <c r="N146" s="95">
        <f>M146*E146</f>
        <v>496.649562</v>
      </c>
      <c r="O146" s="109"/>
    </row>
    <row r="147" s="78" customFormat="1" ht="48" outlineLevel="1" spans="1:15">
      <c r="A147" s="105">
        <v>3</v>
      </c>
      <c r="B147" s="106" t="s">
        <v>138</v>
      </c>
      <c r="C147" s="107" t="s">
        <v>139</v>
      </c>
      <c r="D147" s="108" t="s">
        <v>32</v>
      </c>
      <c r="E147" s="179">
        <v>9</v>
      </c>
      <c r="F147" s="95">
        <v>12.77</v>
      </c>
      <c r="G147" s="95">
        <f>H147*(1+I147)</f>
        <v>38.38</v>
      </c>
      <c r="H147" s="95">
        <v>38</v>
      </c>
      <c r="I147" s="120">
        <v>0.01</v>
      </c>
      <c r="J147" s="95">
        <v>7.95</v>
      </c>
      <c r="K147" s="95">
        <f>(F147+G147+J147)*9%</f>
        <v>5.319</v>
      </c>
      <c r="L147" s="95">
        <f>(F147+G147+J147+K147)*9%</f>
        <v>5.79771</v>
      </c>
      <c r="M147" s="95">
        <f>F147+G147+J147+K147+L147</f>
        <v>70.21671</v>
      </c>
      <c r="N147" s="95">
        <f>M147*E147</f>
        <v>631.95039</v>
      </c>
      <c r="O147" s="109"/>
    </row>
    <row r="148" s="78" customFormat="1" ht="51" customHeight="1" outlineLevel="1" spans="1:15">
      <c r="A148" s="105">
        <v>4</v>
      </c>
      <c r="B148" s="106" t="s">
        <v>141</v>
      </c>
      <c r="C148" s="107" t="s">
        <v>142</v>
      </c>
      <c r="D148" s="108" t="s">
        <v>32</v>
      </c>
      <c r="E148" s="179">
        <v>4</v>
      </c>
      <c r="F148" s="95">
        <v>17.78</v>
      </c>
      <c r="G148" s="95">
        <f>H148*(1+I148)</f>
        <v>29.29</v>
      </c>
      <c r="H148" s="95">
        <v>29</v>
      </c>
      <c r="I148" s="120">
        <v>0.01</v>
      </c>
      <c r="J148" s="95">
        <v>7.39</v>
      </c>
      <c r="K148" s="95">
        <f>(F148+G148+J148)*9%</f>
        <v>4.9014</v>
      </c>
      <c r="L148" s="95">
        <f>(F148+G148+J148+K148)*9%</f>
        <v>5.342526</v>
      </c>
      <c r="M148" s="95">
        <f>F148+G148+J148+K148+L148</f>
        <v>64.703926</v>
      </c>
      <c r="N148" s="95">
        <f>M148*E148</f>
        <v>258.815704</v>
      </c>
      <c r="O148" s="109"/>
    </row>
    <row r="149" s="78" customFormat="1" ht="48" outlineLevel="1" spans="1:15">
      <c r="A149" s="105">
        <v>5</v>
      </c>
      <c r="B149" s="184" t="s">
        <v>175</v>
      </c>
      <c r="C149" s="185" t="s">
        <v>176</v>
      </c>
      <c r="D149" s="186" t="s">
        <v>32</v>
      </c>
      <c r="E149" s="187">
        <v>0</v>
      </c>
      <c r="F149" s="95">
        <v>17.78</v>
      </c>
      <c r="G149" s="95">
        <f>H149*(1+I149)</f>
        <v>29.29</v>
      </c>
      <c r="H149" s="95">
        <v>29</v>
      </c>
      <c r="I149" s="120">
        <v>0.01</v>
      </c>
      <c r="J149" s="95">
        <v>7.39</v>
      </c>
      <c r="K149" s="95">
        <f>(F149+G149+J149)*9%</f>
        <v>4.9014</v>
      </c>
      <c r="L149" s="95">
        <f>(F149+G149+J149+K149)*9%</f>
        <v>5.342526</v>
      </c>
      <c r="M149" s="95">
        <f>F149+G149+J149+K149+L149</f>
        <v>64.703926</v>
      </c>
      <c r="N149" s="95">
        <f>M149*E149</f>
        <v>0</v>
      </c>
      <c r="O149" s="109"/>
    </row>
    <row r="150" s="78" customFormat="1" ht="48" outlineLevel="1" spans="1:15">
      <c r="A150" s="105">
        <v>6</v>
      </c>
      <c r="B150" s="110" t="s">
        <v>143</v>
      </c>
      <c r="C150" s="107" t="s">
        <v>144</v>
      </c>
      <c r="D150" s="180" t="s">
        <v>78</v>
      </c>
      <c r="E150" s="181">
        <v>17.86</v>
      </c>
      <c r="F150" s="95">
        <v>14.63</v>
      </c>
      <c r="G150" s="95">
        <f t="shared" ref="G145:G159" si="40">H150*(1+I150)</f>
        <v>15.15</v>
      </c>
      <c r="H150" s="95">
        <v>15</v>
      </c>
      <c r="I150" s="120">
        <v>0.01</v>
      </c>
      <c r="J150" s="95">
        <v>8.2</v>
      </c>
      <c r="K150" s="95">
        <f t="shared" ref="K145:K159" si="41">(F150+G150+J150)*9%</f>
        <v>3.4182</v>
      </c>
      <c r="L150" s="95">
        <f t="shared" ref="L145:L159" si="42">(F150+G150+J150+K150)*9%</f>
        <v>3.725838</v>
      </c>
      <c r="M150" s="95">
        <f t="shared" ref="M145:M159" si="43">F150+G150+J150+K150+L150</f>
        <v>45.124038</v>
      </c>
      <c r="N150" s="95">
        <f t="shared" ref="N145:N159" si="44">M150*E150</f>
        <v>805.91531868</v>
      </c>
      <c r="O150" s="109"/>
    </row>
    <row r="151" s="78" customFormat="1" ht="48" outlineLevel="1" spans="1:15">
      <c r="A151" s="105">
        <v>7</v>
      </c>
      <c r="B151" s="106" t="s">
        <v>147</v>
      </c>
      <c r="C151" s="107" t="s">
        <v>148</v>
      </c>
      <c r="D151" s="108" t="s">
        <v>32</v>
      </c>
      <c r="E151" s="179">
        <v>1</v>
      </c>
      <c r="F151" s="95">
        <v>7.23</v>
      </c>
      <c r="G151" s="95">
        <f t="shared" si="40"/>
        <v>27.0504</v>
      </c>
      <c r="H151" s="95">
        <v>26.52</v>
      </c>
      <c r="I151" s="120">
        <v>0.02</v>
      </c>
      <c r="J151" s="95">
        <v>1.36</v>
      </c>
      <c r="K151" s="95">
        <f t="shared" si="41"/>
        <v>3.207636</v>
      </c>
      <c r="L151" s="95">
        <f t="shared" si="42"/>
        <v>3.49632324</v>
      </c>
      <c r="M151" s="95">
        <f t="shared" si="43"/>
        <v>42.34435924</v>
      </c>
      <c r="N151" s="95">
        <f t="shared" si="44"/>
        <v>42.34435924</v>
      </c>
      <c r="O151" s="25"/>
    </row>
    <row r="152" s="78" customFormat="1" ht="48" outlineLevel="1" spans="1:15">
      <c r="A152" s="105">
        <v>8</v>
      </c>
      <c r="B152" s="106" t="s">
        <v>149</v>
      </c>
      <c r="C152" s="107" t="s">
        <v>150</v>
      </c>
      <c r="D152" s="108" t="s">
        <v>32</v>
      </c>
      <c r="E152" s="179">
        <v>1</v>
      </c>
      <c r="F152" s="95">
        <v>7.23</v>
      </c>
      <c r="G152" s="95">
        <f t="shared" si="40"/>
        <v>23.9292</v>
      </c>
      <c r="H152" s="95">
        <v>23.46</v>
      </c>
      <c r="I152" s="120">
        <v>0.02</v>
      </c>
      <c r="J152" s="95">
        <v>1.36</v>
      </c>
      <c r="K152" s="95">
        <f t="shared" si="41"/>
        <v>2.926728</v>
      </c>
      <c r="L152" s="95">
        <f t="shared" si="42"/>
        <v>3.19013352</v>
      </c>
      <c r="M152" s="95">
        <f t="shared" si="43"/>
        <v>38.63606152</v>
      </c>
      <c r="N152" s="95">
        <f t="shared" si="44"/>
        <v>38.63606152</v>
      </c>
      <c r="O152" s="25"/>
    </row>
    <row r="153" s="78" customFormat="1" ht="60" outlineLevel="1" spans="1:15">
      <c r="A153" s="105">
        <v>9</v>
      </c>
      <c r="B153" s="106" t="s">
        <v>151</v>
      </c>
      <c r="C153" s="107" t="s">
        <v>152</v>
      </c>
      <c r="D153" s="108" t="s">
        <v>32</v>
      </c>
      <c r="E153" s="25">
        <v>2</v>
      </c>
      <c r="F153" s="95">
        <v>8.97</v>
      </c>
      <c r="G153" s="95">
        <f t="shared" si="40"/>
        <v>25.5</v>
      </c>
      <c r="H153" s="95">
        <v>25</v>
      </c>
      <c r="I153" s="120">
        <v>0.02</v>
      </c>
      <c r="J153" s="95">
        <v>1.36</v>
      </c>
      <c r="K153" s="95">
        <f t="shared" si="41"/>
        <v>3.2247</v>
      </c>
      <c r="L153" s="95">
        <f t="shared" si="42"/>
        <v>3.514923</v>
      </c>
      <c r="M153" s="95">
        <f t="shared" si="43"/>
        <v>42.569623</v>
      </c>
      <c r="N153" s="95">
        <f t="shared" si="44"/>
        <v>85.139246</v>
      </c>
      <c r="O153" s="25"/>
    </row>
    <row r="154" s="78" customFormat="1" ht="48" outlineLevel="1" spans="1:15">
      <c r="A154" s="105">
        <v>10</v>
      </c>
      <c r="B154" s="106" t="s">
        <v>153</v>
      </c>
      <c r="C154" s="107" t="s">
        <v>154</v>
      </c>
      <c r="D154" s="108" t="s">
        <v>32</v>
      </c>
      <c r="E154" s="179">
        <v>2</v>
      </c>
      <c r="F154" s="95">
        <v>8.26</v>
      </c>
      <c r="G154" s="95">
        <f t="shared" si="40"/>
        <v>30.3</v>
      </c>
      <c r="H154" s="95">
        <v>30</v>
      </c>
      <c r="I154" s="120">
        <v>0.01</v>
      </c>
      <c r="J154" s="95">
        <v>0.2</v>
      </c>
      <c r="K154" s="95">
        <f t="shared" si="41"/>
        <v>3.4884</v>
      </c>
      <c r="L154" s="95">
        <f t="shared" si="42"/>
        <v>3.802356</v>
      </c>
      <c r="M154" s="95">
        <f t="shared" si="43"/>
        <v>46.050756</v>
      </c>
      <c r="N154" s="95">
        <f t="shared" si="44"/>
        <v>92.101512</v>
      </c>
      <c r="O154" s="25"/>
    </row>
    <row r="155" s="78" customFormat="1" ht="60" outlineLevel="1" spans="1:15">
      <c r="A155" s="105">
        <v>11</v>
      </c>
      <c r="B155" s="106" t="s">
        <v>155</v>
      </c>
      <c r="C155" s="107" t="s">
        <v>156</v>
      </c>
      <c r="D155" s="109" t="s">
        <v>78</v>
      </c>
      <c r="E155" s="109">
        <v>9.3</v>
      </c>
      <c r="F155" s="95">
        <v>6.73</v>
      </c>
      <c r="G155" s="95">
        <f t="shared" si="40"/>
        <v>1.8656</v>
      </c>
      <c r="H155" s="95">
        <v>1.76</v>
      </c>
      <c r="I155" s="120">
        <v>0.06</v>
      </c>
      <c r="J155" s="95">
        <v>0.26</v>
      </c>
      <c r="K155" s="95">
        <f t="shared" si="41"/>
        <v>0.797004</v>
      </c>
      <c r="L155" s="95">
        <f t="shared" si="42"/>
        <v>0.86873436</v>
      </c>
      <c r="M155" s="95">
        <f t="shared" si="43"/>
        <v>10.52133836</v>
      </c>
      <c r="N155" s="95">
        <f t="shared" si="44"/>
        <v>97.848446748</v>
      </c>
      <c r="O155" s="123"/>
    </row>
    <row r="156" s="78" customFormat="1" ht="60" outlineLevel="1" spans="1:15">
      <c r="A156" s="105">
        <v>12</v>
      </c>
      <c r="B156" s="106" t="s">
        <v>155</v>
      </c>
      <c r="C156" s="107" t="s">
        <v>157</v>
      </c>
      <c r="D156" s="109" t="s">
        <v>78</v>
      </c>
      <c r="E156" s="109">
        <v>96.5</v>
      </c>
      <c r="F156" s="95">
        <v>6.32</v>
      </c>
      <c r="G156" s="95">
        <f t="shared" si="40"/>
        <v>1.4522</v>
      </c>
      <c r="H156" s="95">
        <v>1.37</v>
      </c>
      <c r="I156" s="120">
        <v>0.06</v>
      </c>
      <c r="J156" s="95">
        <v>0.25</v>
      </c>
      <c r="K156" s="95">
        <f t="shared" si="41"/>
        <v>0.721998</v>
      </c>
      <c r="L156" s="95">
        <f t="shared" si="42"/>
        <v>0.78697782</v>
      </c>
      <c r="M156" s="95">
        <f t="shared" si="43"/>
        <v>9.53117582</v>
      </c>
      <c r="N156" s="95">
        <f t="shared" si="44"/>
        <v>919.75846663</v>
      </c>
      <c r="O156" s="123"/>
    </row>
    <row r="157" s="78" customFormat="1" ht="48" outlineLevel="1" spans="1:15">
      <c r="A157" s="105">
        <v>13</v>
      </c>
      <c r="B157" s="106" t="s">
        <v>158</v>
      </c>
      <c r="C157" s="107" t="s">
        <v>159</v>
      </c>
      <c r="D157" s="109" t="s">
        <v>78</v>
      </c>
      <c r="E157" s="109">
        <v>11.51</v>
      </c>
      <c r="F157" s="95">
        <v>1.79</v>
      </c>
      <c r="G157" s="95">
        <f t="shared" si="40"/>
        <v>3.2025</v>
      </c>
      <c r="H157" s="95">
        <v>3.05</v>
      </c>
      <c r="I157" s="120">
        <v>0.05</v>
      </c>
      <c r="J157" s="95">
        <v>0.07</v>
      </c>
      <c r="K157" s="95">
        <f t="shared" si="41"/>
        <v>0.455625</v>
      </c>
      <c r="L157" s="95">
        <f t="shared" si="42"/>
        <v>0.49663125</v>
      </c>
      <c r="M157" s="95">
        <f t="shared" si="43"/>
        <v>6.01475625</v>
      </c>
      <c r="N157" s="95">
        <f t="shared" si="44"/>
        <v>69.2298444375</v>
      </c>
      <c r="O157" s="123"/>
    </row>
    <row r="158" s="78" customFormat="1" ht="48" outlineLevel="1" spans="1:15">
      <c r="A158" s="105">
        <v>14</v>
      </c>
      <c r="B158" s="106" t="s">
        <v>160</v>
      </c>
      <c r="C158" s="107" t="s">
        <v>161</v>
      </c>
      <c r="D158" s="109" t="s">
        <v>78</v>
      </c>
      <c r="E158" s="109">
        <v>32.4</v>
      </c>
      <c r="F158" s="95">
        <v>0.72</v>
      </c>
      <c r="G158" s="95">
        <f t="shared" si="40"/>
        <v>4.235</v>
      </c>
      <c r="H158" s="95">
        <v>3.85</v>
      </c>
      <c r="I158" s="120">
        <v>0.1</v>
      </c>
      <c r="J158" s="95">
        <v>0.18</v>
      </c>
      <c r="K158" s="95">
        <f t="shared" si="41"/>
        <v>0.46215</v>
      </c>
      <c r="L158" s="95">
        <f t="shared" si="42"/>
        <v>0.5037435</v>
      </c>
      <c r="M158" s="95">
        <f t="shared" si="43"/>
        <v>6.1008935</v>
      </c>
      <c r="N158" s="95">
        <f t="shared" si="44"/>
        <v>197.6689494</v>
      </c>
      <c r="O158" s="109"/>
    </row>
    <row r="159" s="78" customFormat="1" ht="48" outlineLevel="1" spans="1:15">
      <c r="A159" s="105">
        <v>15</v>
      </c>
      <c r="B159" s="106" t="s">
        <v>160</v>
      </c>
      <c r="C159" s="107" t="s">
        <v>162</v>
      </c>
      <c r="D159" s="109" t="s">
        <v>78</v>
      </c>
      <c r="E159" s="109">
        <v>294</v>
      </c>
      <c r="F159" s="95">
        <v>1.05</v>
      </c>
      <c r="G159" s="95">
        <f t="shared" si="40"/>
        <v>2.9232</v>
      </c>
      <c r="H159" s="95">
        <v>2.52</v>
      </c>
      <c r="I159" s="120">
        <v>0.16</v>
      </c>
      <c r="J159" s="95">
        <v>0.18</v>
      </c>
      <c r="K159" s="95">
        <f t="shared" si="41"/>
        <v>0.373788</v>
      </c>
      <c r="L159" s="95">
        <f t="shared" si="42"/>
        <v>0.40742892</v>
      </c>
      <c r="M159" s="95">
        <f t="shared" si="43"/>
        <v>4.93441692</v>
      </c>
      <c r="N159" s="95">
        <f t="shared" si="44"/>
        <v>1450.71857448</v>
      </c>
      <c r="O159" s="109"/>
    </row>
    <row r="160" s="78" customFormat="1" ht="19" customHeight="1" spans="1:15">
      <c r="A160" s="105">
        <v>16</v>
      </c>
      <c r="B160" s="111" t="s">
        <v>96</v>
      </c>
      <c r="C160" s="112"/>
      <c r="D160" s="113" t="s">
        <v>97</v>
      </c>
      <c r="E160" s="112"/>
      <c r="F160" s="182"/>
      <c r="G160" s="182"/>
      <c r="H160" s="182"/>
      <c r="I160" s="182"/>
      <c r="J160" s="121"/>
      <c r="K160" s="121"/>
      <c r="L160" s="121"/>
      <c r="M160" s="121"/>
      <c r="N160" s="121">
        <f>SUM(N145:N159)</f>
        <v>10269.3613061355</v>
      </c>
      <c r="O160" s="112"/>
    </row>
    <row r="161" s="78" customFormat="1" ht="22.5" spans="1:15">
      <c r="A161" s="105" t="s">
        <v>177</v>
      </c>
      <c r="B161" s="102" t="s">
        <v>178</v>
      </c>
      <c r="C161" s="101" t="s">
        <v>179</v>
      </c>
      <c r="D161" s="101" t="s">
        <v>39</v>
      </c>
      <c r="E161" s="103"/>
      <c r="F161" s="109"/>
      <c r="G161" s="109"/>
      <c r="H161" s="109"/>
      <c r="I161" s="109"/>
      <c r="J161" s="109"/>
      <c r="K161" s="109"/>
      <c r="L161" s="109"/>
      <c r="M161" s="109"/>
      <c r="N161" s="109"/>
      <c r="O161" s="109"/>
    </row>
    <row r="162" s="78" customFormat="1" ht="48" outlineLevel="1" spans="1:15">
      <c r="A162" s="105">
        <v>1</v>
      </c>
      <c r="B162" s="110" t="s">
        <v>134</v>
      </c>
      <c r="C162" s="107" t="s">
        <v>135</v>
      </c>
      <c r="D162" s="108" t="s">
        <v>32</v>
      </c>
      <c r="E162" s="179">
        <v>1</v>
      </c>
      <c r="F162" s="95">
        <v>355.52</v>
      </c>
      <c r="G162" s="95">
        <f>H162*(1+I162)</f>
        <v>3838</v>
      </c>
      <c r="H162" s="95">
        <v>3800</v>
      </c>
      <c r="I162" s="120">
        <v>0.01</v>
      </c>
      <c r="J162" s="95">
        <v>84.39</v>
      </c>
      <c r="K162" s="95">
        <f>(F162+G162+J162)*9%</f>
        <v>385.0119</v>
      </c>
      <c r="L162" s="95">
        <f>(F162+G162+J162+K162)*9%</f>
        <v>419.662971</v>
      </c>
      <c r="M162" s="95">
        <f>F162+G162+J162+K162+L162</f>
        <v>5082.584871</v>
      </c>
      <c r="N162" s="95">
        <f>M162*E162</f>
        <v>5082.584871</v>
      </c>
      <c r="O162" s="109"/>
    </row>
    <row r="163" s="78" customFormat="1" ht="48" outlineLevel="1" spans="1:15">
      <c r="A163" s="105">
        <v>2</v>
      </c>
      <c r="B163" s="110" t="s">
        <v>136</v>
      </c>
      <c r="C163" s="107" t="s">
        <v>137</v>
      </c>
      <c r="D163" s="108" t="s">
        <v>32</v>
      </c>
      <c r="E163" s="179">
        <v>2</v>
      </c>
      <c r="F163" s="95">
        <v>14.7</v>
      </c>
      <c r="G163" s="95">
        <f>H163*(1+I163)</f>
        <v>181.8</v>
      </c>
      <c r="H163" s="95">
        <v>180</v>
      </c>
      <c r="I163" s="120">
        <v>0.01</v>
      </c>
      <c r="J163" s="95">
        <v>12.51</v>
      </c>
      <c r="K163" s="95">
        <f>(F163+G163+J163)*9%</f>
        <v>18.8109</v>
      </c>
      <c r="L163" s="95">
        <f>(F163+G163+J163+K163)*9%</f>
        <v>20.503881</v>
      </c>
      <c r="M163" s="95">
        <f>F163+G163+J163+K163+L163</f>
        <v>248.324781</v>
      </c>
      <c r="N163" s="95">
        <f>M163*E163</f>
        <v>496.649562</v>
      </c>
      <c r="O163" s="109"/>
    </row>
    <row r="164" s="78" customFormat="1" ht="48" outlineLevel="1" spans="1:15">
      <c r="A164" s="105">
        <v>3</v>
      </c>
      <c r="B164" s="106" t="s">
        <v>138</v>
      </c>
      <c r="C164" s="107" t="s">
        <v>139</v>
      </c>
      <c r="D164" s="108" t="s">
        <v>32</v>
      </c>
      <c r="E164" s="179">
        <v>9</v>
      </c>
      <c r="F164" s="95">
        <v>12.77</v>
      </c>
      <c r="G164" s="95">
        <f>H164*(1+I164)</f>
        <v>38.38</v>
      </c>
      <c r="H164" s="95">
        <v>38</v>
      </c>
      <c r="I164" s="120">
        <v>0.01</v>
      </c>
      <c r="J164" s="95">
        <v>7.95</v>
      </c>
      <c r="K164" s="95">
        <f>(F164+G164+J164)*9%</f>
        <v>5.319</v>
      </c>
      <c r="L164" s="95">
        <f>(F164+G164+J164+K164)*9%</f>
        <v>5.79771</v>
      </c>
      <c r="M164" s="95">
        <f>F164+G164+J164+K164+L164</f>
        <v>70.21671</v>
      </c>
      <c r="N164" s="95">
        <f>M164*E164</f>
        <v>631.95039</v>
      </c>
      <c r="O164" s="109"/>
    </row>
    <row r="165" s="78" customFormat="1" ht="51" customHeight="1" outlineLevel="1" spans="1:15">
      <c r="A165" s="105">
        <v>4</v>
      </c>
      <c r="B165" s="106" t="s">
        <v>141</v>
      </c>
      <c r="C165" s="107" t="s">
        <v>142</v>
      </c>
      <c r="D165" s="108" t="s">
        <v>32</v>
      </c>
      <c r="E165" s="179">
        <v>8</v>
      </c>
      <c r="F165" s="95">
        <v>17.78</v>
      </c>
      <c r="G165" s="95">
        <f>H165*(1+I165)</f>
        <v>29.29</v>
      </c>
      <c r="H165" s="95">
        <v>29</v>
      </c>
      <c r="I165" s="120">
        <v>0.01</v>
      </c>
      <c r="J165" s="95">
        <v>7.39</v>
      </c>
      <c r="K165" s="95">
        <f>(F165+G165+J165)*9%</f>
        <v>4.9014</v>
      </c>
      <c r="L165" s="95">
        <f>(F165+G165+J165+K165)*9%</f>
        <v>5.342526</v>
      </c>
      <c r="M165" s="95">
        <f>F165+G165+J165+K165+L165</f>
        <v>64.703926</v>
      </c>
      <c r="N165" s="95">
        <f>M165*E165</f>
        <v>517.631408</v>
      </c>
      <c r="O165" s="109"/>
    </row>
    <row r="166" s="78" customFormat="1" ht="48" outlineLevel="1" spans="1:15">
      <c r="A166" s="105">
        <v>5</v>
      </c>
      <c r="B166" s="184" t="s">
        <v>175</v>
      </c>
      <c r="C166" s="185" t="s">
        <v>176</v>
      </c>
      <c r="D166" s="186" t="s">
        <v>32</v>
      </c>
      <c r="E166" s="187">
        <v>0</v>
      </c>
      <c r="F166" s="95">
        <v>17.78</v>
      </c>
      <c r="G166" s="95">
        <f>H166*(1+I166)</f>
        <v>29.29</v>
      </c>
      <c r="H166" s="95">
        <v>29</v>
      </c>
      <c r="I166" s="120">
        <v>0.01</v>
      </c>
      <c r="J166" s="95">
        <v>7.39</v>
      </c>
      <c r="K166" s="95">
        <f>(F166+G166+J166)*9%</f>
        <v>4.9014</v>
      </c>
      <c r="L166" s="95">
        <f>(F166+G166+J166+K166)*9%</f>
        <v>5.342526</v>
      </c>
      <c r="M166" s="95">
        <f>F166+G166+J166+K166+L166</f>
        <v>64.703926</v>
      </c>
      <c r="N166" s="95">
        <f>M166*E166</f>
        <v>0</v>
      </c>
      <c r="O166" s="109"/>
    </row>
    <row r="167" s="78" customFormat="1" ht="48" outlineLevel="1" spans="1:15">
      <c r="A167" s="105">
        <v>6</v>
      </c>
      <c r="B167" s="110" t="s">
        <v>143</v>
      </c>
      <c r="C167" s="107" t="s">
        <v>144</v>
      </c>
      <c r="D167" s="180" t="s">
        <v>78</v>
      </c>
      <c r="E167" s="181">
        <v>17.86</v>
      </c>
      <c r="F167" s="95">
        <v>14.63</v>
      </c>
      <c r="G167" s="95">
        <f t="shared" ref="G162:G176" si="45">H167*(1+I167)</f>
        <v>15.15</v>
      </c>
      <c r="H167" s="95">
        <v>15</v>
      </c>
      <c r="I167" s="120">
        <v>0.01</v>
      </c>
      <c r="J167" s="95">
        <v>8.2</v>
      </c>
      <c r="K167" s="95">
        <f t="shared" ref="K162:K176" si="46">(F167+G167+J167)*9%</f>
        <v>3.4182</v>
      </c>
      <c r="L167" s="95">
        <f t="shared" ref="L162:L176" si="47">(F167+G167+J167+K167)*9%</f>
        <v>3.725838</v>
      </c>
      <c r="M167" s="95">
        <f t="shared" ref="M162:M176" si="48">F167+G167+J167+K167+L167</f>
        <v>45.124038</v>
      </c>
      <c r="N167" s="95">
        <f t="shared" ref="N162:N176" si="49">M167*E167</f>
        <v>805.91531868</v>
      </c>
      <c r="O167" s="109"/>
    </row>
    <row r="168" s="78" customFormat="1" ht="48" outlineLevel="1" spans="1:15">
      <c r="A168" s="105">
        <v>7</v>
      </c>
      <c r="B168" s="106" t="s">
        <v>147</v>
      </c>
      <c r="C168" s="107" t="s">
        <v>148</v>
      </c>
      <c r="D168" s="108" t="s">
        <v>32</v>
      </c>
      <c r="E168" s="179">
        <v>1</v>
      </c>
      <c r="F168" s="95">
        <v>7.23</v>
      </c>
      <c r="G168" s="95">
        <f t="shared" si="45"/>
        <v>27.0504</v>
      </c>
      <c r="H168" s="95">
        <v>26.52</v>
      </c>
      <c r="I168" s="120">
        <v>0.02</v>
      </c>
      <c r="J168" s="95">
        <v>1.36</v>
      </c>
      <c r="K168" s="95">
        <f t="shared" si="46"/>
        <v>3.207636</v>
      </c>
      <c r="L168" s="95">
        <f t="shared" si="47"/>
        <v>3.49632324</v>
      </c>
      <c r="M168" s="95">
        <f t="shared" si="48"/>
        <v>42.34435924</v>
      </c>
      <c r="N168" s="95">
        <f t="shared" si="49"/>
        <v>42.34435924</v>
      </c>
      <c r="O168" s="25"/>
    </row>
    <row r="169" s="78" customFormat="1" ht="48" outlineLevel="1" spans="1:15">
      <c r="A169" s="105">
        <v>8</v>
      </c>
      <c r="B169" s="106" t="s">
        <v>149</v>
      </c>
      <c r="C169" s="107" t="s">
        <v>150</v>
      </c>
      <c r="D169" s="108" t="s">
        <v>32</v>
      </c>
      <c r="E169" s="179">
        <v>1</v>
      </c>
      <c r="F169" s="95">
        <v>7.23</v>
      </c>
      <c r="G169" s="95">
        <f t="shared" si="45"/>
        <v>23.9292</v>
      </c>
      <c r="H169" s="95">
        <v>23.46</v>
      </c>
      <c r="I169" s="120">
        <v>0.02</v>
      </c>
      <c r="J169" s="95">
        <v>1.36</v>
      </c>
      <c r="K169" s="95">
        <f t="shared" si="46"/>
        <v>2.926728</v>
      </c>
      <c r="L169" s="95">
        <f t="shared" si="47"/>
        <v>3.19013352</v>
      </c>
      <c r="M169" s="95">
        <f t="shared" si="48"/>
        <v>38.63606152</v>
      </c>
      <c r="N169" s="95">
        <f t="shared" si="49"/>
        <v>38.63606152</v>
      </c>
      <c r="O169" s="25"/>
    </row>
    <row r="170" s="78" customFormat="1" ht="60" outlineLevel="1" spans="1:15">
      <c r="A170" s="105">
        <v>9</v>
      </c>
      <c r="B170" s="106" t="s">
        <v>151</v>
      </c>
      <c r="C170" s="107" t="s">
        <v>152</v>
      </c>
      <c r="D170" s="108" t="s">
        <v>32</v>
      </c>
      <c r="E170" s="25">
        <v>2</v>
      </c>
      <c r="F170" s="95">
        <v>8.97</v>
      </c>
      <c r="G170" s="95">
        <f t="shared" si="45"/>
        <v>25.5</v>
      </c>
      <c r="H170" s="95">
        <v>25</v>
      </c>
      <c r="I170" s="120">
        <v>0.02</v>
      </c>
      <c r="J170" s="95">
        <v>1.36</v>
      </c>
      <c r="K170" s="95">
        <f t="shared" si="46"/>
        <v>3.2247</v>
      </c>
      <c r="L170" s="95">
        <f t="shared" si="47"/>
        <v>3.514923</v>
      </c>
      <c r="M170" s="95">
        <f t="shared" si="48"/>
        <v>42.569623</v>
      </c>
      <c r="N170" s="95">
        <f t="shared" si="49"/>
        <v>85.139246</v>
      </c>
      <c r="O170" s="25"/>
    </row>
    <row r="171" s="78" customFormat="1" ht="48" outlineLevel="1" spans="1:15">
      <c r="A171" s="105">
        <v>10</v>
      </c>
      <c r="B171" s="106" t="s">
        <v>153</v>
      </c>
      <c r="C171" s="107" t="s">
        <v>154</v>
      </c>
      <c r="D171" s="108" t="s">
        <v>32</v>
      </c>
      <c r="E171" s="179">
        <v>2</v>
      </c>
      <c r="F171" s="95">
        <v>8.26</v>
      </c>
      <c r="G171" s="95">
        <f t="shared" si="45"/>
        <v>30.3</v>
      </c>
      <c r="H171" s="95">
        <v>30</v>
      </c>
      <c r="I171" s="120">
        <v>0.01</v>
      </c>
      <c r="J171" s="95">
        <v>0.2</v>
      </c>
      <c r="K171" s="95">
        <f t="shared" si="46"/>
        <v>3.4884</v>
      </c>
      <c r="L171" s="95">
        <f t="shared" si="47"/>
        <v>3.802356</v>
      </c>
      <c r="M171" s="95">
        <f t="shared" si="48"/>
        <v>46.050756</v>
      </c>
      <c r="N171" s="95">
        <f t="shared" si="49"/>
        <v>92.101512</v>
      </c>
      <c r="O171" s="25"/>
    </row>
    <row r="172" s="78" customFormat="1" ht="60" outlineLevel="1" spans="1:15">
      <c r="A172" s="105">
        <v>11</v>
      </c>
      <c r="B172" s="106" t="s">
        <v>155</v>
      </c>
      <c r="C172" s="107" t="s">
        <v>156</v>
      </c>
      <c r="D172" s="109" t="s">
        <v>78</v>
      </c>
      <c r="E172" s="109">
        <v>9.3</v>
      </c>
      <c r="F172" s="95">
        <v>6.73</v>
      </c>
      <c r="G172" s="95">
        <f t="shared" si="45"/>
        <v>1.8656</v>
      </c>
      <c r="H172" s="95">
        <v>1.76</v>
      </c>
      <c r="I172" s="120">
        <v>0.06</v>
      </c>
      <c r="J172" s="95">
        <v>0.26</v>
      </c>
      <c r="K172" s="95">
        <f t="shared" si="46"/>
        <v>0.797004</v>
      </c>
      <c r="L172" s="95">
        <f t="shared" si="47"/>
        <v>0.86873436</v>
      </c>
      <c r="M172" s="95">
        <f t="shared" si="48"/>
        <v>10.52133836</v>
      </c>
      <c r="N172" s="95">
        <f t="shared" si="49"/>
        <v>97.848446748</v>
      </c>
      <c r="O172" s="123"/>
    </row>
    <row r="173" s="78" customFormat="1" ht="60" outlineLevel="1" spans="1:15">
      <c r="A173" s="105">
        <v>12</v>
      </c>
      <c r="B173" s="106" t="s">
        <v>155</v>
      </c>
      <c r="C173" s="107" t="s">
        <v>157</v>
      </c>
      <c r="D173" s="109" t="s">
        <v>78</v>
      </c>
      <c r="E173" s="109">
        <v>95.8</v>
      </c>
      <c r="F173" s="95">
        <v>6.32</v>
      </c>
      <c r="G173" s="95">
        <f t="shared" si="45"/>
        <v>1.4522</v>
      </c>
      <c r="H173" s="95">
        <v>1.37</v>
      </c>
      <c r="I173" s="120">
        <v>0.06</v>
      </c>
      <c r="J173" s="95">
        <v>0.25</v>
      </c>
      <c r="K173" s="95">
        <f t="shared" si="46"/>
        <v>0.721998</v>
      </c>
      <c r="L173" s="95">
        <f t="shared" si="47"/>
        <v>0.78697782</v>
      </c>
      <c r="M173" s="95">
        <f t="shared" si="48"/>
        <v>9.53117582</v>
      </c>
      <c r="N173" s="95">
        <f t="shared" si="49"/>
        <v>913.086643556</v>
      </c>
      <c r="O173" s="123"/>
    </row>
    <row r="174" s="78" customFormat="1" ht="48" outlineLevel="1" spans="1:15">
      <c r="A174" s="105">
        <v>13</v>
      </c>
      <c r="B174" s="106" t="s">
        <v>158</v>
      </c>
      <c r="C174" s="107" t="s">
        <v>159</v>
      </c>
      <c r="D174" s="109" t="s">
        <v>78</v>
      </c>
      <c r="E174" s="109">
        <v>11.51</v>
      </c>
      <c r="F174" s="95">
        <v>1.79</v>
      </c>
      <c r="G174" s="95">
        <f t="shared" si="45"/>
        <v>3.2025</v>
      </c>
      <c r="H174" s="95">
        <v>3.05</v>
      </c>
      <c r="I174" s="120">
        <v>0.05</v>
      </c>
      <c r="J174" s="95">
        <v>0.07</v>
      </c>
      <c r="K174" s="95">
        <f t="shared" si="46"/>
        <v>0.455625</v>
      </c>
      <c r="L174" s="95">
        <f t="shared" si="47"/>
        <v>0.49663125</v>
      </c>
      <c r="M174" s="95">
        <f t="shared" si="48"/>
        <v>6.01475625</v>
      </c>
      <c r="N174" s="95">
        <f t="shared" si="49"/>
        <v>69.2298444375</v>
      </c>
      <c r="O174" s="123"/>
    </row>
    <row r="175" s="78" customFormat="1" ht="48" outlineLevel="1" spans="1:15">
      <c r="A175" s="105">
        <v>14</v>
      </c>
      <c r="B175" s="106" t="s">
        <v>160</v>
      </c>
      <c r="C175" s="107" t="s">
        <v>161</v>
      </c>
      <c r="D175" s="109" t="s">
        <v>78</v>
      </c>
      <c r="E175" s="109">
        <v>32.4</v>
      </c>
      <c r="F175" s="95">
        <v>0.72</v>
      </c>
      <c r="G175" s="95">
        <f t="shared" si="45"/>
        <v>4.235</v>
      </c>
      <c r="H175" s="95">
        <v>3.85</v>
      </c>
      <c r="I175" s="120">
        <v>0.1</v>
      </c>
      <c r="J175" s="95">
        <v>0.18</v>
      </c>
      <c r="K175" s="95">
        <f t="shared" si="46"/>
        <v>0.46215</v>
      </c>
      <c r="L175" s="95">
        <f t="shared" si="47"/>
        <v>0.5037435</v>
      </c>
      <c r="M175" s="95">
        <f t="shared" si="48"/>
        <v>6.1008935</v>
      </c>
      <c r="N175" s="95">
        <f t="shared" si="49"/>
        <v>197.6689494</v>
      </c>
      <c r="O175" s="109"/>
    </row>
    <row r="176" s="78" customFormat="1" ht="48" outlineLevel="1" spans="1:15">
      <c r="A176" s="105">
        <v>15</v>
      </c>
      <c r="B176" s="106" t="s">
        <v>160</v>
      </c>
      <c r="C176" s="107" t="s">
        <v>162</v>
      </c>
      <c r="D176" s="109" t="s">
        <v>78</v>
      </c>
      <c r="E176" s="109">
        <v>306.495</v>
      </c>
      <c r="F176" s="95">
        <v>1.05</v>
      </c>
      <c r="G176" s="95">
        <f t="shared" si="45"/>
        <v>2.9232</v>
      </c>
      <c r="H176" s="95">
        <v>2.52</v>
      </c>
      <c r="I176" s="120">
        <v>0.16</v>
      </c>
      <c r="J176" s="95">
        <v>0.18</v>
      </c>
      <c r="K176" s="95">
        <f t="shared" si="46"/>
        <v>0.373788</v>
      </c>
      <c r="L176" s="95">
        <f t="shared" si="47"/>
        <v>0.40742892</v>
      </c>
      <c r="M176" s="95">
        <f t="shared" si="48"/>
        <v>4.93441692</v>
      </c>
      <c r="N176" s="95">
        <f t="shared" si="49"/>
        <v>1512.3741138954</v>
      </c>
      <c r="O176" s="109"/>
    </row>
    <row r="177" s="78" customFormat="1" ht="19" customHeight="1" spans="1:15">
      <c r="A177" s="105">
        <v>16</v>
      </c>
      <c r="B177" s="111" t="s">
        <v>96</v>
      </c>
      <c r="C177" s="112"/>
      <c r="D177" s="113" t="s">
        <v>97</v>
      </c>
      <c r="E177" s="112"/>
      <c r="F177" s="182"/>
      <c r="G177" s="182"/>
      <c r="H177" s="182"/>
      <c r="I177" s="182"/>
      <c r="J177" s="121"/>
      <c r="K177" s="121"/>
      <c r="L177" s="121"/>
      <c r="M177" s="121"/>
      <c r="N177" s="121">
        <f>SUM(N162:N176)</f>
        <v>10583.1607264769</v>
      </c>
      <c r="O177" s="112"/>
    </row>
  </sheetData>
  <autoFilter xmlns:etc="http://www.wps.cn/officeDocument/2017/etCustomData" ref="A5:O177" etc:filterBottomFollowUsedRange="0">
    <extLst/>
  </autoFilter>
  <mergeCells count="12">
    <mergeCell ref="A1:O1"/>
    <mergeCell ref="F2:L2"/>
    <mergeCell ref="A2:A4"/>
    <mergeCell ref="B2:B4"/>
    <mergeCell ref="C2:C4"/>
    <mergeCell ref="D2:D4"/>
    <mergeCell ref="E2:E4"/>
    <mergeCell ref="F3:F4"/>
    <mergeCell ref="J3:J4"/>
    <mergeCell ref="M2:M4"/>
    <mergeCell ref="N2:N4"/>
    <mergeCell ref="O2:O4"/>
  </mergeCells>
  <conditionalFormatting sqref="D6">
    <cfRule type="cellIs" dxfId="0" priority="82" operator="equal">
      <formula>0</formula>
    </cfRule>
  </conditionalFormatting>
  <conditionalFormatting sqref="D7">
    <cfRule type="cellIs" dxfId="0" priority="79" operator="equal">
      <formula>0</formula>
    </cfRule>
  </conditionalFormatting>
  <conditionalFormatting sqref="D8">
    <cfRule type="cellIs" dxfId="0" priority="75" operator="equal">
      <formula>0</formula>
    </cfRule>
  </conditionalFormatting>
  <conditionalFormatting sqref="D9">
    <cfRule type="cellIs" dxfId="0" priority="81" operator="equal">
      <formula>0</formula>
    </cfRule>
  </conditionalFormatting>
  <conditionalFormatting sqref="D10">
    <cfRule type="cellIs" dxfId="0" priority="80" operator="equal">
      <formula>0</formula>
    </cfRule>
  </conditionalFormatting>
  <conditionalFormatting sqref="D13">
    <cfRule type="cellIs" dxfId="0" priority="77" operator="equal">
      <formula>0</formula>
    </cfRule>
  </conditionalFormatting>
  <conditionalFormatting sqref="D14">
    <cfRule type="cellIs" dxfId="0" priority="76" operator="equal">
      <formula>0</formula>
    </cfRule>
  </conditionalFormatting>
  <conditionalFormatting sqref="D24">
    <cfRule type="cellIs" dxfId="0" priority="74" operator="equal">
      <formula>0</formula>
    </cfRule>
  </conditionalFormatting>
  <conditionalFormatting sqref="D25">
    <cfRule type="cellIs" dxfId="0" priority="71" operator="equal">
      <formula>0</formula>
    </cfRule>
  </conditionalFormatting>
  <conditionalFormatting sqref="D26">
    <cfRule type="cellIs" dxfId="0" priority="67" operator="equal">
      <formula>0</formula>
    </cfRule>
  </conditionalFormatting>
  <conditionalFormatting sqref="D27">
    <cfRule type="cellIs" dxfId="0" priority="73" operator="equal">
      <formula>0</formula>
    </cfRule>
  </conditionalFormatting>
  <conditionalFormatting sqref="D28">
    <cfRule type="cellIs" dxfId="0" priority="72" operator="equal">
      <formula>0</formula>
    </cfRule>
  </conditionalFormatting>
  <conditionalFormatting sqref="D29">
    <cfRule type="cellIs" dxfId="0" priority="70" operator="equal">
      <formula>0</formula>
    </cfRule>
  </conditionalFormatting>
  <conditionalFormatting sqref="D30">
    <cfRule type="cellIs" dxfId="0" priority="2" operator="equal">
      <formula>0</formula>
    </cfRule>
  </conditionalFormatting>
  <conditionalFormatting sqref="D31">
    <cfRule type="cellIs" dxfId="0" priority="69" operator="equal">
      <formula>0</formula>
    </cfRule>
  </conditionalFormatting>
  <conditionalFormatting sqref="D32">
    <cfRule type="cellIs" dxfId="0" priority="68" operator="equal">
      <formula>0</formula>
    </cfRule>
  </conditionalFormatting>
  <conditionalFormatting sqref="D42">
    <cfRule type="cellIs" dxfId="0" priority="66" operator="equal">
      <formula>0</formula>
    </cfRule>
  </conditionalFormatting>
  <conditionalFormatting sqref="D43">
    <cfRule type="cellIs" dxfId="0" priority="64" operator="equal">
      <formula>0</formula>
    </cfRule>
  </conditionalFormatting>
  <conditionalFormatting sqref="D44">
    <cfRule type="cellIs" dxfId="0" priority="60" operator="equal">
      <formula>0</formula>
    </cfRule>
  </conditionalFormatting>
  <conditionalFormatting sqref="D45">
    <cfRule type="cellIs" dxfId="0" priority="65" operator="equal">
      <formula>0</formula>
    </cfRule>
  </conditionalFormatting>
  <conditionalFormatting sqref="D46">
    <cfRule type="cellIs" dxfId="0" priority="1" operator="equal">
      <formula>0</formula>
    </cfRule>
  </conditionalFormatting>
  <conditionalFormatting sqref="D47">
    <cfRule type="cellIs" dxfId="0" priority="63" operator="equal">
      <formula>0</formula>
    </cfRule>
  </conditionalFormatting>
  <conditionalFormatting sqref="D48">
    <cfRule type="cellIs" dxfId="0" priority="62" operator="equal">
      <formula>0</formula>
    </cfRule>
  </conditionalFormatting>
  <conditionalFormatting sqref="D49">
    <cfRule type="cellIs" dxfId="0" priority="61" operator="equal">
      <formula>0</formula>
    </cfRule>
  </conditionalFormatting>
  <conditionalFormatting sqref="D50">
    <cfRule type="cellIs" dxfId="0" priority="59" operator="equal">
      <formula>0</formula>
    </cfRule>
  </conditionalFormatting>
  <conditionalFormatting sqref="D60">
    <cfRule type="cellIs" dxfId="0" priority="58" operator="equal">
      <formula>0</formula>
    </cfRule>
  </conditionalFormatting>
  <conditionalFormatting sqref="D61">
    <cfRule type="cellIs" dxfId="0" priority="55" operator="equal">
      <formula>0</formula>
    </cfRule>
  </conditionalFormatting>
  <conditionalFormatting sqref="D62">
    <cfRule type="cellIs" dxfId="0" priority="51" operator="equal">
      <formula>0</formula>
    </cfRule>
  </conditionalFormatting>
  <conditionalFormatting sqref="D63">
    <cfRule type="cellIs" dxfId="0" priority="57" operator="equal">
      <formula>0</formula>
    </cfRule>
  </conditionalFormatting>
  <conditionalFormatting sqref="D64">
    <cfRule type="cellIs" dxfId="0" priority="56" operator="equal">
      <formula>0</formula>
    </cfRule>
  </conditionalFormatting>
  <conditionalFormatting sqref="D65">
    <cfRule type="cellIs" dxfId="0" priority="54" operator="equal">
      <formula>0</formula>
    </cfRule>
  </conditionalFormatting>
  <conditionalFormatting sqref="D66">
    <cfRule type="cellIs" dxfId="0" priority="53" operator="equal">
      <formula>0</formula>
    </cfRule>
  </conditionalFormatting>
  <conditionalFormatting sqref="D67">
    <cfRule type="cellIs" dxfId="0" priority="52" operator="equal">
      <formula>0</formula>
    </cfRule>
  </conditionalFormatting>
  <conditionalFormatting sqref="D77">
    <cfRule type="cellIs" dxfId="0" priority="50" operator="equal">
      <formula>0</formula>
    </cfRule>
  </conditionalFormatting>
  <conditionalFormatting sqref="D78">
    <cfRule type="cellIs" dxfId="0" priority="47" operator="equal">
      <formula>0</formula>
    </cfRule>
  </conditionalFormatting>
  <conditionalFormatting sqref="D79">
    <cfRule type="cellIs" dxfId="0" priority="43" operator="equal">
      <formula>0</formula>
    </cfRule>
  </conditionalFormatting>
  <conditionalFormatting sqref="D80">
    <cfRule type="cellIs" dxfId="0" priority="49" operator="equal">
      <formula>0</formula>
    </cfRule>
  </conditionalFormatting>
  <conditionalFormatting sqref="D81">
    <cfRule type="cellIs" dxfId="0" priority="48" operator="equal">
      <formula>0</formula>
    </cfRule>
  </conditionalFormatting>
  <conditionalFormatting sqref="D82">
    <cfRule type="cellIs" dxfId="0" priority="46" operator="equal">
      <formula>0</formula>
    </cfRule>
  </conditionalFormatting>
  <conditionalFormatting sqref="D83">
    <cfRule type="cellIs" dxfId="0" priority="45" operator="equal">
      <formula>0</formula>
    </cfRule>
  </conditionalFormatting>
  <conditionalFormatting sqref="D84">
    <cfRule type="cellIs" dxfId="0" priority="44" operator="equal">
      <formula>0</formula>
    </cfRule>
  </conditionalFormatting>
  <conditionalFormatting sqref="D94">
    <cfRule type="cellIs" dxfId="0" priority="42" operator="equal">
      <formula>0</formula>
    </cfRule>
  </conditionalFormatting>
  <conditionalFormatting sqref="D95">
    <cfRule type="cellIs" dxfId="0" priority="39" operator="equal">
      <formula>0</formula>
    </cfRule>
  </conditionalFormatting>
  <conditionalFormatting sqref="D96">
    <cfRule type="cellIs" dxfId="0" priority="35" operator="equal">
      <formula>0</formula>
    </cfRule>
  </conditionalFormatting>
  <conditionalFormatting sqref="D97">
    <cfRule type="cellIs" dxfId="0" priority="41" operator="equal">
      <formula>0</formula>
    </cfRule>
  </conditionalFormatting>
  <conditionalFormatting sqref="D98">
    <cfRule type="cellIs" dxfId="0" priority="40" operator="equal">
      <formula>0</formula>
    </cfRule>
  </conditionalFormatting>
  <conditionalFormatting sqref="D99">
    <cfRule type="cellIs" dxfId="0" priority="38" operator="equal">
      <formula>0</formula>
    </cfRule>
  </conditionalFormatting>
  <conditionalFormatting sqref="D100">
    <cfRule type="cellIs" dxfId="0" priority="37" operator="equal">
      <formula>0</formula>
    </cfRule>
  </conditionalFormatting>
  <conditionalFormatting sqref="D101">
    <cfRule type="cellIs" dxfId="0" priority="36" operator="equal">
      <formula>0</formula>
    </cfRule>
  </conditionalFormatting>
  <conditionalFormatting sqref="D111">
    <cfRule type="cellIs" dxfId="0" priority="34" operator="equal">
      <formula>0</formula>
    </cfRule>
  </conditionalFormatting>
  <conditionalFormatting sqref="D112">
    <cfRule type="cellIs" dxfId="0" priority="31" operator="equal">
      <formula>0</formula>
    </cfRule>
  </conditionalFormatting>
  <conditionalFormatting sqref="D113">
    <cfRule type="cellIs" dxfId="0" priority="27" operator="equal">
      <formula>0</formula>
    </cfRule>
  </conditionalFormatting>
  <conditionalFormatting sqref="D114">
    <cfRule type="cellIs" dxfId="0" priority="33" operator="equal">
      <formula>0</formula>
    </cfRule>
  </conditionalFormatting>
  <conditionalFormatting sqref="D115">
    <cfRule type="cellIs" dxfId="0" priority="32" operator="equal">
      <formula>0</formula>
    </cfRule>
  </conditionalFormatting>
  <conditionalFormatting sqref="D116">
    <cfRule type="cellIs" dxfId="0" priority="30" operator="equal">
      <formula>0</formula>
    </cfRule>
  </conditionalFormatting>
  <conditionalFormatting sqref="D117">
    <cfRule type="cellIs" dxfId="0" priority="29" operator="equal">
      <formula>0</formula>
    </cfRule>
  </conditionalFormatting>
  <conditionalFormatting sqref="D118">
    <cfRule type="cellIs" dxfId="0" priority="28" operator="equal">
      <formula>0</formula>
    </cfRule>
  </conditionalFormatting>
  <conditionalFormatting sqref="D128">
    <cfRule type="cellIs" dxfId="0" priority="24" operator="equal">
      <formula>0</formula>
    </cfRule>
  </conditionalFormatting>
  <conditionalFormatting sqref="D129">
    <cfRule type="cellIs" dxfId="0" priority="19" operator="equal">
      <formula>0</formula>
    </cfRule>
  </conditionalFormatting>
  <conditionalFormatting sqref="D130">
    <cfRule type="cellIs" dxfId="0" priority="26" operator="equal">
      <formula>0</formula>
    </cfRule>
  </conditionalFormatting>
  <conditionalFormatting sqref="D131">
    <cfRule type="cellIs" dxfId="0" priority="25" operator="equal">
      <formula>0</formula>
    </cfRule>
  </conditionalFormatting>
  <conditionalFormatting sqref="D132">
    <cfRule type="cellIs" dxfId="0" priority="21" operator="equal">
      <formula>0</formula>
    </cfRule>
  </conditionalFormatting>
  <conditionalFormatting sqref="D133">
    <cfRule type="cellIs" dxfId="0" priority="23" operator="equal">
      <formula>0</formula>
    </cfRule>
  </conditionalFormatting>
  <conditionalFormatting sqref="D134">
    <cfRule type="cellIs" dxfId="0" priority="22" operator="equal">
      <formula>0</formula>
    </cfRule>
  </conditionalFormatting>
  <conditionalFormatting sqref="D135">
    <cfRule type="cellIs" dxfId="0" priority="20" operator="equal">
      <formula>0</formula>
    </cfRule>
  </conditionalFormatting>
  <conditionalFormatting sqref="D145">
    <cfRule type="cellIs" dxfId="0" priority="8" operator="equal">
      <formula>0</formula>
    </cfRule>
  </conditionalFormatting>
  <conditionalFormatting sqref="D146">
    <cfRule type="cellIs" dxfId="0" priority="3" operator="equal">
      <formula>0</formula>
    </cfRule>
  </conditionalFormatting>
  <conditionalFormatting sqref="D147">
    <cfRule type="cellIs" dxfId="0" priority="10" operator="equal">
      <formula>0</formula>
    </cfRule>
  </conditionalFormatting>
  <conditionalFormatting sqref="D148">
    <cfRule type="cellIs" dxfId="0" priority="9" operator="equal">
      <formula>0</formula>
    </cfRule>
  </conditionalFormatting>
  <conditionalFormatting sqref="D149">
    <cfRule type="cellIs" dxfId="0" priority="5" operator="equal">
      <formula>0</formula>
    </cfRule>
  </conditionalFormatting>
  <conditionalFormatting sqref="D150">
    <cfRule type="cellIs" dxfId="0" priority="7" operator="equal">
      <formula>0</formula>
    </cfRule>
  </conditionalFormatting>
  <conditionalFormatting sqref="D151">
    <cfRule type="cellIs" dxfId="0" priority="6" operator="equal">
      <formula>0</formula>
    </cfRule>
  </conditionalFormatting>
  <conditionalFormatting sqref="D152">
    <cfRule type="cellIs" dxfId="0" priority="4" operator="equal">
      <formula>0</formula>
    </cfRule>
  </conditionalFormatting>
  <conditionalFormatting sqref="D162">
    <cfRule type="cellIs" dxfId="0" priority="16" operator="equal">
      <formula>0</formula>
    </cfRule>
  </conditionalFormatting>
  <conditionalFormatting sqref="D163">
    <cfRule type="cellIs" dxfId="0" priority="11" operator="equal">
      <formula>0</formula>
    </cfRule>
  </conditionalFormatting>
  <conditionalFormatting sqref="D164">
    <cfRule type="cellIs" dxfId="0" priority="18" operator="equal">
      <formula>0</formula>
    </cfRule>
  </conditionalFormatting>
  <conditionalFormatting sqref="D165">
    <cfRule type="cellIs" dxfId="0" priority="17" operator="equal">
      <formula>0</formula>
    </cfRule>
  </conditionalFormatting>
  <conditionalFormatting sqref="D166">
    <cfRule type="cellIs" dxfId="0" priority="13" operator="equal">
      <formula>0</formula>
    </cfRule>
  </conditionalFormatting>
  <conditionalFormatting sqref="D167">
    <cfRule type="cellIs" dxfId="0" priority="15" operator="equal">
      <formula>0</formula>
    </cfRule>
  </conditionalFormatting>
  <conditionalFormatting sqref="D168">
    <cfRule type="cellIs" dxfId="0" priority="14" operator="equal">
      <formula>0</formula>
    </cfRule>
  </conditionalFormatting>
  <conditionalFormatting sqref="D169">
    <cfRule type="cellIs" dxfId="0" priority="12" operator="equal">
      <formula>0</formula>
    </cfRule>
  </conditionalFormatting>
  <conditionalFormatting sqref="D11:D12">
    <cfRule type="cellIs" dxfId="0" priority="78" operator="equal">
      <formula>0</formula>
    </cfRule>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8"/>
  <sheetViews>
    <sheetView topLeftCell="A4" workbookViewId="0">
      <selection activeCell="J71" sqref="J71"/>
    </sheetView>
  </sheetViews>
  <sheetFormatPr defaultColWidth="9" defaultRowHeight="13.5"/>
  <cols>
    <col min="2" max="2" width="15.75" customWidth="1"/>
    <col min="3" max="3" width="34.6333333333333" customWidth="1"/>
    <col min="5" max="12" width="9" style="23"/>
    <col min="13" max="13" width="15.25" customWidth="1"/>
  </cols>
  <sheetData>
    <row r="1" ht="54" customHeight="1" spans="1:13">
      <c r="A1" s="168" t="s">
        <v>180</v>
      </c>
      <c r="B1" s="169"/>
      <c r="C1" s="168"/>
      <c r="D1" s="168"/>
      <c r="E1" s="170"/>
      <c r="F1" s="170"/>
      <c r="G1" s="170"/>
      <c r="H1" s="170"/>
      <c r="I1" s="170"/>
      <c r="J1" s="170"/>
      <c r="K1" s="170"/>
      <c r="L1" s="170"/>
      <c r="M1" s="168"/>
    </row>
    <row r="2" ht="54" customHeight="1" spans="1:13">
      <c r="A2" s="101" t="s">
        <v>46</v>
      </c>
      <c r="B2" s="101" t="s">
        <v>47</v>
      </c>
      <c r="C2" s="101" t="s">
        <v>48</v>
      </c>
      <c r="D2" s="101" t="s">
        <v>25</v>
      </c>
      <c r="E2" s="103" t="s">
        <v>49</v>
      </c>
      <c r="F2" s="104" t="s">
        <v>50</v>
      </c>
      <c r="G2" s="104"/>
      <c r="H2" s="104"/>
      <c r="I2" s="104"/>
      <c r="J2" s="104"/>
      <c r="K2" s="104" t="s">
        <v>51</v>
      </c>
      <c r="L2" s="104" t="s">
        <v>52</v>
      </c>
      <c r="M2" s="104" t="s">
        <v>29</v>
      </c>
    </row>
    <row r="3" ht="54" customHeight="1" spans="1:13">
      <c r="A3" s="101"/>
      <c r="B3" s="101"/>
      <c r="C3" s="101"/>
      <c r="D3" s="101"/>
      <c r="E3" s="103"/>
      <c r="F3" s="104" t="s">
        <v>53</v>
      </c>
      <c r="G3" s="104" t="s">
        <v>54</v>
      </c>
      <c r="H3" s="104" t="s">
        <v>55</v>
      </c>
      <c r="I3" s="104" t="s">
        <v>56</v>
      </c>
      <c r="J3" s="104" t="s">
        <v>57</v>
      </c>
      <c r="K3" s="104"/>
      <c r="L3" s="104"/>
      <c r="M3" s="104"/>
    </row>
    <row r="4" ht="54" customHeight="1" spans="1:13">
      <c r="A4" s="101"/>
      <c r="B4" s="101"/>
      <c r="C4" s="101"/>
      <c r="D4" s="101"/>
      <c r="E4" s="103"/>
      <c r="F4" s="104"/>
      <c r="G4" s="104"/>
      <c r="H4" s="104"/>
      <c r="I4" s="176"/>
      <c r="J4" s="176"/>
      <c r="K4" s="104"/>
      <c r="L4" s="104"/>
      <c r="M4" s="104"/>
    </row>
    <row r="5" ht="33.95" customHeight="1" spans="1:13">
      <c r="A5" s="101" t="s">
        <v>30</v>
      </c>
      <c r="B5" s="171" t="s">
        <v>181</v>
      </c>
      <c r="C5" s="171" t="s">
        <v>182</v>
      </c>
      <c r="D5" s="172"/>
      <c r="E5" s="103"/>
      <c r="F5" s="104"/>
      <c r="G5" s="104"/>
      <c r="H5" s="104"/>
      <c r="I5" s="104"/>
      <c r="J5" s="104"/>
      <c r="K5" s="104"/>
      <c r="L5" s="104"/>
      <c r="M5" s="104"/>
    </row>
    <row r="6" ht="81" customHeight="1" outlineLevel="1" spans="1:13">
      <c r="A6" s="101">
        <v>1</v>
      </c>
      <c r="B6" s="171" t="s">
        <v>183</v>
      </c>
      <c r="C6" s="171" t="s">
        <v>184</v>
      </c>
      <c r="D6" s="172" t="s">
        <v>64</v>
      </c>
      <c r="E6" s="103">
        <f>4.2*2.65*2</f>
        <v>22.26</v>
      </c>
      <c r="F6" s="173">
        <v>156</v>
      </c>
      <c r="G6" s="174">
        <v>335.68</v>
      </c>
      <c r="H6" s="174">
        <v>56</v>
      </c>
      <c r="I6" s="104">
        <f t="shared" ref="I6:I11" si="0">(F6+G6+H6)*0.09</f>
        <v>49.2912</v>
      </c>
      <c r="J6" s="104">
        <f t="shared" ref="J6:J11" si="1">(F6+G6+H6+I6)*0.09</f>
        <v>53.727408</v>
      </c>
      <c r="K6" s="104">
        <f t="shared" ref="K6:K11" si="2">F6+G6+H6+I6+J6</f>
        <v>650.698608</v>
      </c>
      <c r="L6" s="104">
        <f>E6*K6</f>
        <v>14484.55101408</v>
      </c>
      <c r="M6" s="104" t="s">
        <v>185</v>
      </c>
    </row>
    <row r="7" ht="60" customHeight="1" outlineLevel="1" spans="1:13">
      <c r="A7" s="101">
        <v>2</v>
      </c>
      <c r="B7" s="171" t="s">
        <v>186</v>
      </c>
      <c r="C7" s="171" t="s">
        <v>187</v>
      </c>
      <c r="D7" s="172" t="s">
        <v>64</v>
      </c>
      <c r="E7" s="103">
        <f>门头石材铝板工程量计算式!D14</f>
        <v>56.79026</v>
      </c>
      <c r="F7" s="173">
        <v>175.93</v>
      </c>
      <c r="G7" s="174">
        <v>235.48</v>
      </c>
      <c r="H7" s="174">
        <v>150.65</v>
      </c>
      <c r="I7" s="104">
        <f t="shared" si="0"/>
        <v>50.5854</v>
      </c>
      <c r="J7" s="104">
        <f t="shared" si="1"/>
        <v>55.138086</v>
      </c>
      <c r="K7" s="104">
        <f t="shared" si="2"/>
        <v>667.783486</v>
      </c>
      <c r="L7" s="104">
        <f>E7*K7</f>
        <v>37923.5977936464</v>
      </c>
      <c r="M7" s="104"/>
    </row>
    <row r="8" ht="42" customHeight="1" outlineLevel="1" spans="1:13">
      <c r="A8" s="101">
        <v>3</v>
      </c>
      <c r="B8" s="171" t="s">
        <v>188</v>
      </c>
      <c r="C8" s="171" t="s">
        <v>189</v>
      </c>
      <c r="D8" s="172" t="s">
        <v>78</v>
      </c>
      <c r="E8" s="103">
        <v>5.4</v>
      </c>
      <c r="F8" s="173">
        <v>6.41</v>
      </c>
      <c r="G8" s="174">
        <v>63.07</v>
      </c>
      <c r="H8" s="174">
        <v>5.061</v>
      </c>
      <c r="I8" s="104">
        <f t="shared" si="0"/>
        <v>6.70869</v>
      </c>
      <c r="J8" s="104">
        <f t="shared" si="1"/>
        <v>7.3124721</v>
      </c>
      <c r="K8" s="104">
        <f t="shared" si="2"/>
        <v>88.5621621</v>
      </c>
      <c r="L8" s="104">
        <f t="shared" ref="L6:L11" si="3">E8*K8</f>
        <v>478.23567534</v>
      </c>
      <c r="M8" s="104"/>
    </row>
    <row r="9" ht="39.95" customHeight="1" outlineLevel="1" spans="1:13">
      <c r="A9" s="101">
        <v>4</v>
      </c>
      <c r="B9" s="171" t="s">
        <v>190</v>
      </c>
      <c r="C9" s="171" t="s">
        <v>191</v>
      </c>
      <c r="D9" s="172" t="s">
        <v>78</v>
      </c>
      <c r="E9" s="103">
        <v>5.2</v>
      </c>
      <c r="F9" s="173">
        <v>4.62</v>
      </c>
      <c r="G9" s="174">
        <v>29.449</v>
      </c>
      <c r="H9" s="174">
        <v>12.621</v>
      </c>
      <c r="I9" s="104">
        <f t="shared" si="0"/>
        <v>4.2021</v>
      </c>
      <c r="J9" s="104">
        <f t="shared" si="1"/>
        <v>4.580289</v>
      </c>
      <c r="K9" s="104">
        <f t="shared" si="2"/>
        <v>55.472389</v>
      </c>
      <c r="L9" s="104">
        <f t="shared" si="3"/>
        <v>288.4564228</v>
      </c>
      <c r="M9" s="104"/>
    </row>
    <row r="10" ht="39.95" customHeight="1" outlineLevel="1" spans="1:13">
      <c r="A10" s="101">
        <v>5</v>
      </c>
      <c r="B10" s="171" t="s">
        <v>188</v>
      </c>
      <c r="C10" s="171" t="s">
        <v>192</v>
      </c>
      <c r="D10" s="172" t="s">
        <v>64</v>
      </c>
      <c r="E10" s="103">
        <f>0.159*2</f>
        <v>0.318</v>
      </c>
      <c r="F10" s="173">
        <v>25.62</v>
      </c>
      <c r="G10" s="174">
        <v>260.23</v>
      </c>
      <c r="H10" s="174">
        <v>109.407</v>
      </c>
      <c r="I10" s="104">
        <f t="shared" si="0"/>
        <v>35.57313</v>
      </c>
      <c r="J10" s="104">
        <f t="shared" si="1"/>
        <v>38.7747117</v>
      </c>
      <c r="K10" s="104">
        <f t="shared" si="2"/>
        <v>469.6048417</v>
      </c>
      <c r="L10" s="104">
        <f t="shared" si="3"/>
        <v>149.3343396606</v>
      </c>
      <c r="M10" s="104"/>
    </row>
    <row r="11" ht="39.95" customHeight="1" outlineLevel="1" spans="1:13">
      <c r="A11" s="101">
        <v>6</v>
      </c>
      <c r="B11" s="171" t="s">
        <v>193</v>
      </c>
      <c r="C11" s="171" t="s">
        <v>194</v>
      </c>
      <c r="D11" s="172" t="s">
        <v>32</v>
      </c>
      <c r="E11" s="103">
        <v>1</v>
      </c>
      <c r="F11" s="173">
        <v>493.86</v>
      </c>
      <c r="G11" s="174">
        <v>832.538</v>
      </c>
      <c r="H11" s="174">
        <v>357.352</v>
      </c>
      <c r="I11" s="104">
        <f t="shared" si="0"/>
        <v>151.5375</v>
      </c>
      <c r="J11" s="104">
        <f t="shared" si="1"/>
        <v>165.175875</v>
      </c>
      <c r="K11" s="104">
        <f t="shared" si="2"/>
        <v>2000.463375</v>
      </c>
      <c r="L11" s="104">
        <f t="shared" si="3"/>
        <v>2000.463375</v>
      </c>
      <c r="M11" s="104" t="s">
        <v>195</v>
      </c>
    </row>
    <row r="12" ht="33" customHeight="1" outlineLevel="1" spans="1:13">
      <c r="A12" s="101">
        <v>7</v>
      </c>
      <c r="B12" s="101" t="s">
        <v>96</v>
      </c>
      <c r="C12" s="101"/>
      <c r="D12" s="101" t="s">
        <v>97</v>
      </c>
      <c r="E12" s="103"/>
      <c r="F12" s="104"/>
      <c r="G12" s="104"/>
      <c r="H12" s="104"/>
      <c r="I12" s="104"/>
      <c r="J12" s="104"/>
      <c r="K12" s="104"/>
      <c r="L12" s="104">
        <f>SUM(L6:L11)</f>
        <v>55324.638620527</v>
      </c>
      <c r="M12" s="104"/>
    </row>
    <row r="13" ht="24" customHeight="1" spans="1:13">
      <c r="A13" s="101" t="s">
        <v>33</v>
      </c>
      <c r="B13" s="171" t="s">
        <v>196</v>
      </c>
      <c r="C13" s="171" t="s">
        <v>182</v>
      </c>
      <c r="D13" s="172"/>
      <c r="E13" s="103"/>
      <c r="F13" s="104"/>
      <c r="G13" s="104"/>
      <c r="H13" s="104"/>
      <c r="I13" s="104"/>
      <c r="J13" s="104"/>
      <c r="K13" s="104"/>
      <c r="L13" s="104"/>
      <c r="M13" s="104"/>
    </row>
    <row r="14" ht="89.1" customHeight="1" outlineLevel="1" spans="1:13">
      <c r="A14" s="101">
        <v>1</v>
      </c>
      <c r="B14" s="171" t="s">
        <v>183</v>
      </c>
      <c r="C14" s="171" t="s">
        <v>197</v>
      </c>
      <c r="D14" s="172" t="s">
        <v>64</v>
      </c>
      <c r="E14" s="175">
        <f>4.2*2.548*2</f>
        <v>21.4032</v>
      </c>
      <c r="F14" s="173">
        <v>156</v>
      </c>
      <c r="G14" s="174">
        <v>335.68</v>
      </c>
      <c r="H14" s="174">
        <v>56</v>
      </c>
      <c r="I14" s="104">
        <f t="shared" ref="I14:I19" si="4">(F14+G14+H14)*0.09</f>
        <v>49.2912</v>
      </c>
      <c r="J14" s="104">
        <f t="shared" ref="J14:J19" si="5">(F14+G14+H14+I14)*0.09</f>
        <v>53.727408</v>
      </c>
      <c r="K14" s="104">
        <f t="shared" ref="K14:K19" si="6">F14+G14+H14+I14+J14</f>
        <v>650.698608</v>
      </c>
      <c r="L14" s="104">
        <f>E14*K14</f>
        <v>13927.0324467456</v>
      </c>
      <c r="M14" s="104" t="s">
        <v>198</v>
      </c>
    </row>
    <row r="15" ht="68.1" customHeight="1" outlineLevel="1" spans="1:13">
      <c r="A15" s="101">
        <v>2</v>
      </c>
      <c r="B15" s="171" t="s">
        <v>186</v>
      </c>
      <c r="C15" s="171" t="s">
        <v>187</v>
      </c>
      <c r="D15" s="172" t="s">
        <v>64</v>
      </c>
      <c r="E15" s="103">
        <f>门头石材铝板工程量计算式!D29</f>
        <v>53.72002</v>
      </c>
      <c r="F15" s="173">
        <v>175.93</v>
      </c>
      <c r="G15" s="174">
        <v>235.48</v>
      </c>
      <c r="H15" s="174">
        <v>150.65</v>
      </c>
      <c r="I15" s="104">
        <f t="shared" si="4"/>
        <v>50.5854</v>
      </c>
      <c r="J15" s="104">
        <f t="shared" si="5"/>
        <v>55.138086</v>
      </c>
      <c r="K15" s="104">
        <f t="shared" si="6"/>
        <v>667.783486</v>
      </c>
      <c r="L15" s="104">
        <f t="shared" ref="L14:L19" si="7">E15*K15</f>
        <v>35873.3422235897</v>
      </c>
      <c r="M15" s="104"/>
    </row>
    <row r="16" ht="45" customHeight="1" outlineLevel="1" spans="1:13">
      <c r="A16" s="101">
        <v>3</v>
      </c>
      <c r="B16" s="171" t="s">
        <v>188</v>
      </c>
      <c r="C16" s="171" t="s">
        <v>189</v>
      </c>
      <c r="D16" s="172" t="s">
        <v>78</v>
      </c>
      <c r="E16" s="103">
        <v>4.1</v>
      </c>
      <c r="F16" s="173">
        <v>6.41</v>
      </c>
      <c r="G16" s="174">
        <v>63.07</v>
      </c>
      <c r="H16" s="174">
        <v>5.061</v>
      </c>
      <c r="I16" s="104">
        <f t="shared" si="4"/>
        <v>6.70869</v>
      </c>
      <c r="J16" s="104">
        <f t="shared" si="5"/>
        <v>7.3124721</v>
      </c>
      <c r="K16" s="104">
        <f t="shared" si="6"/>
        <v>88.5621621</v>
      </c>
      <c r="L16" s="104">
        <f t="shared" si="7"/>
        <v>363.10486461</v>
      </c>
      <c r="M16" s="104"/>
    </row>
    <row r="17" ht="45" customHeight="1" outlineLevel="1" spans="1:13">
      <c r="A17" s="101">
        <v>4</v>
      </c>
      <c r="B17" s="171" t="s">
        <v>190</v>
      </c>
      <c r="C17" s="171" t="s">
        <v>191</v>
      </c>
      <c r="D17" s="172" t="s">
        <v>78</v>
      </c>
      <c r="E17" s="103">
        <v>3.9</v>
      </c>
      <c r="F17" s="173">
        <v>4.62</v>
      </c>
      <c r="G17" s="174">
        <v>29.449</v>
      </c>
      <c r="H17" s="174">
        <v>12.621</v>
      </c>
      <c r="I17" s="104">
        <f t="shared" si="4"/>
        <v>4.2021</v>
      </c>
      <c r="J17" s="104">
        <f t="shared" si="5"/>
        <v>4.580289</v>
      </c>
      <c r="K17" s="104">
        <f t="shared" si="6"/>
        <v>55.472389</v>
      </c>
      <c r="L17" s="104">
        <f t="shared" si="7"/>
        <v>216.3423171</v>
      </c>
      <c r="M17" s="104"/>
    </row>
    <row r="18" ht="45" customHeight="1" outlineLevel="1" spans="1:13">
      <c r="A18" s="101">
        <v>5</v>
      </c>
      <c r="B18" s="171" t="s">
        <v>188</v>
      </c>
      <c r="C18" s="171" t="s">
        <v>192</v>
      </c>
      <c r="D18" s="172" t="s">
        <v>64</v>
      </c>
      <c r="E18" s="103">
        <f>0.159*2</f>
        <v>0.318</v>
      </c>
      <c r="F18" s="173">
        <v>25.62</v>
      </c>
      <c r="G18" s="174">
        <v>260.23</v>
      </c>
      <c r="H18" s="174">
        <v>109.407</v>
      </c>
      <c r="I18" s="104">
        <f t="shared" si="4"/>
        <v>35.57313</v>
      </c>
      <c r="J18" s="104">
        <f t="shared" si="5"/>
        <v>38.7747117</v>
      </c>
      <c r="K18" s="104">
        <f t="shared" si="6"/>
        <v>469.6048417</v>
      </c>
      <c r="L18" s="104">
        <f t="shared" si="7"/>
        <v>149.3343396606</v>
      </c>
      <c r="M18" s="104"/>
    </row>
    <row r="19" ht="45" customHeight="1" outlineLevel="1" spans="1:13">
      <c r="A19" s="101">
        <v>6</v>
      </c>
      <c r="B19" s="171" t="s">
        <v>193</v>
      </c>
      <c r="C19" s="171" t="s">
        <v>194</v>
      </c>
      <c r="D19" s="172" t="s">
        <v>32</v>
      </c>
      <c r="E19" s="103">
        <v>1</v>
      </c>
      <c r="F19" s="173">
        <v>493.86</v>
      </c>
      <c r="G19" s="174">
        <v>832.538</v>
      </c>
      <c r="H19" s="174">
        <v>357.352</v>
      </c>
      <c r="I19" s="104">
        <f t="shared" si="4"/>
        <v>151.5375</v>
      </c>
      <c r="J19" s="104">
        <f t="shared" si="5"/>
        <v>165.175875</v>
      </c>
      <c r="K19" s="104">
        <f t="shared" si="6"/>
        <v>2000.463375</v>
      </c>
      <c r="L19" s="104">
        <f t="shared" si="7"/>
        <v>2000.463375</v>
      </c>
      <c r="M19" s="104" t="s">
        <v>195</v>
      </c>
    </row>
    <row r="20" ht="45" customHeight="1" outlineLevel="1" spans="1:13">
      <c r="A20" s="101">
        <v>7</v>
      </c>
      <c r="B20" s="101" t="s">
        <v>96</v>
      </c>
      <c r="C20" s="101"/>
      <c r="D20" s="101" t="s">
        <v>97</v>
      </c>
      <c r="E20" s="103"/>
      <c r="F20" s="104"/>
      <c r="G20" s="104"/>
      <c r="H20" s="104"/>
      <c r="I20" s="104"/>
      <c r="J20" s="104"/>
      <c r="K20" s="104"/>
      <c r="L20" s="104">
        <f>SUM(L14:L19)</f>
        <v>52529.6195667059</v>
      </c>
      <c r="M20" s="104"/>
    </row>
    <row r="21" ht="36" customHeight="1" spans="1:13">
      <c r="A21" s="101" t="s">
        <v>35</v>
      </c>
      <c r="B21" s="171" t="s">
        <v>199</v>
      </c>
      <c r="C21" s="171" t="s">
        <v>182</v>
      </c>
      <c r="D21" s="172"/>
      <c r="E21" s="103"/>
      <c r="F21" s="104"/>
      <c r="G21" s="104"/>
      <c r="H21" s="104"/>
      <c r="I21" s="104"/>
      <c r="J21" s="104"/>
      <c r="K21" s="104"/>
      <c r="L21" s="104"/>
      <c r="M21" s="104"/>
    </row>
    <row r="22" ht="96.95" customHeight="1" outlineLevel="1" spans="1:13">
      <c r="A22" s="101">
        <v>1</v>
      </c>
      <c r="B22" s="171" t="s">
        <v>183</v>
      </c>
      <c r="C22" s="171" t="s">
        <v>197</v>
      </c>
      <c r="D22" s="172" t="s">
        <v>64</v>
      </c>
      <c r="E22" s="103">
        <f>4.2*2.6*2</f>
        <v>21.84</v>
      </c>
      <c r="F22" s="173">
        <v>156</v>
      </c>
      <c r="G22" s="174">
        <v>335.68</v>
      </c>
      <c r="H22" s="174">
        <v>56</v>
      </c>
      <c r="I22" s="104">
        <f t="shared" ref="I22:I27" si="8">(F22+G22+H22)*0.09</f>
        <v>49.2912</v>
      </c>
      <c r="J22" s="104">
        <f t="shared" ref="J22:J27" si="9">(F22+G22+H22+I22)*0.09</f>
        <v>53.727408</v>
      </c>
      <c r="K22" s="104">
        <f t="shared" ref="K22:K27" si="10">F22+G22+H22+I22+J22</f>
        <v>650.698608</v>
      </c>
      <c r="L22" s="104">
        <f>E22*K22</f>
        <v>14211.25759872</v>
      </c>
      <c r="M22" s="104" t="s">
        <v>185</v>
      </c>
    </row>
    <row r="23" ht="68.1" customHeight="1" outlineLevel="1" spans="1:13">
      <c r="A23" s="101">
        <v>2</v>
      </c>
      <c r="B23" s="171" t="s">
        <v>186</v>
      </c>
      <c r="C23" s="171" t="s">
        <v>187</v>
      </c>
      <c r="D23" s="172" t="s">
        <v>64</v>
      </c>
      <c r="E23" s="103">
        <f>门头石材铝板工程量计算式!D43</f>
        <v>53.45784</v>
      </c>
      <c r="F23" s="173">
        <v>175.93</v>
      </c>
      <c r="G23" s="174">
        <v>235.48</v>
      </c>
      <c r="H23" s="174">
        <v>150.65</v>
      </c>
      <c r="I23" s="104">
        <f t="shared" si="8"/>
        <v>50.5854</v>
      </c>
      <c r="J23" s="104">
        <f t="shared" si="9"/>
        <v>55.138086</v>
      </c>
      <c r="K23" s="104">
        <f t="shared" si="10"/>
        <v>667.783486</v>
      </c>
      <c r="L23" s="104">
        <f t="shared" ref="L22:L27" si="11">E23*K23</f>
        <v>35698.2627492302</v>
      </c>
      <c r="M23" s="104"/>
    </row>
    <row r="24" ht="38.1" customHeight="1" outlineLevel="1" spans="1:13">
      <c r="A24" s="101">
        <v>3</v>
      </c>
      <c r="B24" s="171" t="s">
        <v>188</v>
      </c>
      <c r="C24" s="171" t="s">
        <v>189</v>
      </c>
      <c r="D24" s="172" t="s">
        <v>78</v>
      </c>
      <c r="E24" s="103">
        <v>4.85</v>
      </c>
      <c r="F24" s="173">
        <v>6.41</v>
      </c>
      <c r="G24" s="174">
        <v>63.07</v>
      </c>
      <c r="H24" s="174">
        <v>5.061</v>
      </c>
      <c r="I24" s="104">
        <f t="shared" si="8"/>
        <v>6.70869</v>
      </c>
      <c r="J24" s="104">
        <f t="shared" si="9"/>
        <v>7.3124721</v>
      </c>
      <c r="K24" s="104">
        <f t="shared" si="10"/>
        <v>88.5621621</v>
      </c>
      <c r="L24" s="104">
        <f t="shared" si="11"/>
        <v>429.526486185</v>
      </c>
      <c r="M24" s="104"/>
    </row>
    <row r="25" ht="38.1" customHeight="1" outlineLevel="1" spans="1:13">
      <c r="A25" s="101">
        <v>4</v>
      </c>
      <c r="B25" s="171" t="s">
        <v>190</v>
      </c>
      <c r="C25" s="171" t="s">
        <v>191</v>
      </c>
      <c r="D25" s="172" t="s">
        <v>78</v>
      </c>
      <c r="E25" s="103">
        <v>4.65</v>
      </c>
      <c r="F25" s="173">
        <v>4.62</v>
      </c>
      <c r="G25" s="174">
        <v>29.449</v>
      </c>
      <c r="H25" s="174">
        <v>12.621</v>
      </c>
      <c r="I25" s="104">
        <f t="shared" si="8"/>
        <v>4.2021</v>
      </c>
      <c r="J25" s="104">
        <f t="shared" si="9"/>
        <v>4.580289</v>
      </c>
      <c r="K25" s="104">
        <f t="shared" si="10"/>
        <v>55.472389</v>
      </c>
      <c r="L25" s="104">
        <f t="shared" si="11"/>
        <v>257.94660885</v>
      </c>
      <c r="M25" s="104"/>
    </row>
    <row r="26" ht="38.1" customHeight="1" outlineLevel="1" spans="1:13">
      <c r="A26" s="101">
        <v>5</v>
      </c>
      <c r="B26" s="171" t="s">
        <v>188</v>
      </c>
      <c r="C26" s="171" t="s">
        <v>192</v>
      </c>
      <c r="D26" s="172" t="s">
        <v>64</v>
      </c>
      <c r="E26" s="103">
        <f>0.159*2</f>
        <v>0.318</v>
      </c>
      <c r="F26" s="173">
        <v>25.62</v>
      </c>
      <c r="G26" s="174">
        <v>260.23</v>
      </c>
      <c r="H26" s="174">
        <v>109.407</v>
      </c>
      <c r="I26" s="104">
        <f t="shared" si="8"/>
        <v>35.57313</v>
      </c>
      <c r="J26" s="104">
        <f t="shared" si="9"/>
        <v>38.7747117</v>
      </c>
      <c r="K26" s="104">
        <f t="shared" si="10"/>
        <v>469.6048417</v>
      </c>
      <c r="L26" s="104">
        <f t="shared" si="11"/>
        <v>149.3343396606</v>
      </c>
      <c r="M26" s="104"/>
    </row>
    <row r="27" ht="38.1" customHeight="1" outlineLevel="1" spans="1:13">
      <c r="A27" s="101">
        <v>6</v>
      </c>
      <c r="B27" s="171" t="s">
        <v>193</v>
      </c>
      <c r="C27" s="171" t="s">
        <v>194</v>
      </c>
      <c r="D27" s="172" t="s">
        <v>32</v>
      </c>
      <c r="E27" s="103">
        <v>1</v>
      </c>
      <c r="F27" s="173">
        <v>493.86</v>
      </c>
      <c r="G27" s="174">
        <v>832.538</v>
      </c>
      <c r="H27" s="174">
        <v>357.352</v>
      </c>
      <c r="I27" s="104">
        <f t="shared" si="8"/>
        <v>151.5375</v>
      </c>
      <c r="J27" s="104">
        <f t="shared" si="9"/>
        <v>165.175875</v>
      </c>
      <c r="K27" s="104">
        <f t="shared" si="10"/>
        <v>2000.463375</v>
      </c>
      <c r="L27" s="104">
        <f t="shared" si="11"/>
        <v>2000.463375</v>
      </c>
      <c r="M27" s="104" t="s">
        <v>195</v>
      </c>
    </row>
    <row r="28" ht="38.1" customHeight="1" outlineLevel="1" spans="1:13">
      <c r="A28" s="101">
        <v>7</v>
      </c>
      <c r="B28" s="101" t="s">
        <v>96</v>
      </c>
      <c r="C28" s="101"/>
      <c r="D28" s="101" t="s">
        <v>97</v>
      </c>
      <c r="E28" s="103"/>
      <c r="F28" s="104"/>
      <c r="G28" s="104"/>
      <c r="H28" s="104"/>
      <c r="I28" s="104"/>
      <c r="J28" s="104"/>
      <c r="K28" s="104"/>
      <c r="L28" s="104">
        <f>SUM(L22:L27)</f>
        <v>52746.7911576458</v>
      </c>
      <c r="M28" s="104"/>
    </row>
    <row r="29" ht="24.95" customHeight="1" spans="1:13">
      <c r="A29" s="101" t="s">
        <v>37</v>
      </c>
      <c r="B29" s="171" t="s">
        <v>200</v>
      </c>
      <c r="C29" s="171" t="s">
        <v>182</v>
      </c>
      <c r="D29" s="172"/>
      <c r="E29" s="103"/>
      <c r="F29" s="104"/>
      <c r="G29" s="104"/>
      <c r="H29" s="104"/>
      <c r="I29" s="104"/>
      <c r="J29" s="104"/>
      <c r="K29" s="104"/>
      <c r="L29" s="104"/>
      <c r="M29" s="104"/>
    </row>
    <row r="30" ht="78.75" outlineLevel="1" spans="1:13">
      <c r="A30" s="101">
        <v>1</v>
      </c>
      <c r="B30" s="171" t="s">
        <v>183</v>
      </c>
      <c r="C30" s="171" t="s">
        <v>197</v>
      </c>
      <c r="D30" s="172" t="s">
        <v>64</v>
      </c>
      <c r="E30" s="103">
        <f>3.35*2.85+3.35*2.65</f>
        <v>18.425</v>
      </c>
      <c r="F30" s="173">
        <v>156</v>
      </c>
      <c r="G30" s="174">
        <v>335.68</v>
      </c>
      <c r="H30" s="174">
        <v>56</v>
      </c>
      <c r="I30" s="104">
        <f t="shared" ref="I30:I35" si="12">(F30+G30+H30)*0.09</f>
        <v>49.2912</v>
      </c>
      <c r="J30" s="104">
        <f t="shared" ref="J30:J35" si="13">(F30+G30+H30+I30)*0.09</f>
        <v>53.727408</v>
      </c>
      <c r="K30" s="104">
        <f t="shared" ref="K30:K35" si="14">F30+G30+H30+I30+J30</f>
        <v>650.698608</v>
      </c>
      <c r="L30" s="104">
        <f>E30*K30</f>
        <v>11989.1218524</v>
      </c>
      <c r="M30" s="104" t="s">
        <v>198</v>
      </c>
    </row>
    <row r="31" ht="45" outlineLevel="1" spans="1:13">
      <c r="A31" s="101">
        <v>2</v>
      </c>
      <c r="B31" s="171" t="s">
        <v>186</v>
      </c>
      <c r="C31" s="171" t="s">
        <v>187</v>
      </c>
      <c r="D31" s="172" t="s">
        <v>64</v>
      </c>
      <c r="E31" s="103">
        <f>门头石材铝板工程量计算式!D57</f>
        <v>51.1081</v>
      </c>
      <c r="F31" s="173">
        <v>175.93</v>
      </c>
      <c r="G31" s="174">
        <v>235.48</v>
      </c>
      <c r="H31" s="174">
        <v>150.65</v>
      </c>
      <c r="I31" s="104">
        <f t="shared" si="12"/>
        <v>50.5854</v>
      </c>
      <c r="J31" s="104">
        <f t="shared" si="13"/>
        <v>55.138086</v>
      </c>
      <c r="K31" s="104">
        <f t="shared" si="14"/>
        <v>667.783486</v>
      </c>
      <c r="L31" s="104">
        <f t="shared" ref="L30:L35" si="15">E31*K31</f>
        <v>34129.1451808366</v>
      </c>
      <c r="M31" s="104"/>
    </row>
    <row r="32" ht="36" customHeight="1" outlineLevel="1" spans="1:13">
      <c r="A32" s="101">
        <v>3</v>
      </c>
      <c r="B32" s="171" t="s">
        <v>188</v>
      </c>
      <c r="C32" s="171" t="s">
        <v>189</v>
      </c>
      <c r="D32" s="172" t="s">
        <v>78</v>
      </c>
      <c r="E32" s="103">
        <v>5.1</v>
      </c>
      <c r="F32" s="173">
        <v>6.41</v>
      </c>
      <c r="G32" s="174">
        <v>63.07</v>
      </c>
      <c r="H32" s="174">
        <v>5.061</v>
      </c>
      <c r="I32" s="104">
        <f t="shared" si="12"/>
        <v>6.70869</v>
      </c>
      <c r="J32" s="104">
        <f t="shared" si="13"/>
        <v>7.3124721</v>
      </c>
      <c r="K32" s="104">
        <f t="shared" si="14"/>
        <v>88.5621621</v>
      </c>
      <c r="L32" s="104">
        <f t="shared" si="15"/>
        <v>451.66702671</v>
      </c>
      <c r="M32" s="104"/>
    </row>
    <row r="33" ht="36" customHeight="1" outlineLevel="1" spans="1:13">
      <c r="A33" s="101">
        <v>4</v>
      </c>
      <c r="B33" s="171" t="s">
        <v>190</v>
      </c>
      <c r="C33" s="171" t="s">
        <v>191</v>
      </c>
      <c r="D33" s="172" t="s">
        <v>78</v>
      </c>
      <c r="E33" s="103">
        <v>4.9</v>
      </c>
      <c r="F33" s="173">
        <v>4.62</v>
      </c>
      <c r="G33" s="174">
        <v>29.449</v>
      </c>
      <c r="H33" s="174">
        <v>12.621</v>
      </c>
      <c r="I33" s="104">
        <f t="shared" si="12"/>
        <v>4.2021</v>
      </c>
      <c r="J33" s="104">
        <f t="shared" si="13"/>
        <v>4.580289</v>
      </c>
      <c r="K33" s="104">
        <f t="shared" si="14"/>
        <v>55.472389</v>
      </c>
      <c r="L33" s="104">
        <f t="shared" si="15"/>
        <v>271.8147061</v>
      </c>
      <c r="M33" s="104"/>
    </row>
    <row r="34" ht="36" customHeight="1" outlineLevel="1" spans="1:13">
      <c r="A34" s="101">
        <v>5</v>
      </c>
      <c r="B34" s="171" t="s">
        <v>188</v>
      </c>
      <c r="C34" s="171" t="s">
        <v>192</v>
      </c>
      <c r="D34" s="172" t="s">
        <v>64</v>
      </c>
      <c r="E34" s="103">
        <f>0.159*2</f>
        <v>0.318</v>
      </c>
      <c r="F34" s="173">
        <v>25.62</v>
      </c>
      <c r="G34" s="174">
        <v>260.23</v>
      </c>
      <c r="H34" s="174">
        <v>109.407</v>
      </c>
      <c r="I34" s="104">
        <f t="shared" si="12"/>
        <v>35.57313</v>
      </c>
      <c r="J34" s="104">
        <f t="shared" si="13"/>
        <v>38.7747117</v>
      </c>
      <c r="K34" s="104">
        <f t="shared" si="14"/>
        <v>469.6048417</v>
      </c>
      <c r="L34" s="104">
        <f t="shared" si="15"/>
        <v>149.3343396606</v>
      </c>
      <c r="M34" s="104"/>
    </row>
    <row r="35" ht="36" customHeight="1" outlineLevel="1" spans="1:13">
      <c r="A35" s="101">
        <v>6</v>
      </c>
      <c r="B35" s="171" t="s">
        <v>193</v>
      </c>
      <c r="C35" s="171" t="s">
        <v>194</v>
      </c>
      <c r="D35" s="172" t="s">
        <v>32</v>
      </c>
      <c r="E35" s="103">
        <v>1</v>
      </c>
      <c r="F35" s="173">
        <v>493.86</v>
      </c>
      <c r="G35" s="174">
        <v>832.538</v>
      </c>
      <c r="H35" s="174">
        <v>357.352</v>
      </c>
      <c r="I35" s="104">
        <f t="shared" si="12"/>
        <v>151.5375</v>
      </c>
      <c r="J35" s="104">
        <f t="shared" si="13"/>
        <v>165.175875</v>
      </c>
      <c r="K35" s="104">
        <f t="shared" si="14"/>
        <v>2000.463375</v>
      </c>
      <c r="L35" s="104">
        <f t="shared" si="15"/>
        <v>2000.463375</v>
      </c>
      <c r="M35" s="104" t="s">
        <v>195</v>
      </c>
    </row>
    <row r="36" ht="36" customHeight="1" outlineLevel="1" spans="1:13">
      <c r="A36" s="101">
        <v>7</v>
      </c>
      <c r="B36" s="101" t="s">
        <v>96</v>
      </c>
      <c r="C36" s="101"/>
      <c r="D36" s="101" t="s">
        <v>97</v>
      </c>
      <c r="E36" s="103"/>
      <c r="F36" s="104"/>
      <c r="G36" s="104"/>
      <c r="H36" s="104"/>
      <c r="I36" s="104"/>
      <c r="J36" s="104"/>
      <c r="K36" s="104"/>
      <c r="L36" s="104">
        <f>SUM(L30:L35)</f>
        <v>48991.5464807072</v>
      </c>
      <c r="M36" s="104"/>
    </row>
    <row r="37" ht="35.1" customHeight="1" spans="1:13">
      <c r="A37" s="101" t="s">
        <v>40</v>
      </c>
      <c r="B37" s="171" t="s">
        <v>201</v>
      </c>
      <c r="C37" s="171" t="s">
        <v>182</v>
      </c>
      <c r="D37" s="172"/>
      <c r="E37" s="103"/>
      <c r="F37" s="104"/>
      <c r="G37" s="104"/>
      <c r="H37" s="104"/>
      <c r="I37" s="104"/>
      <c r="J37" s="104"/>
      <c r="K37" s="104"/>
      <c r="L37" s="104"/>
      <c r="M37" s="104"/>
    </row>
    <row r="38" ht="78.75" outlineLevel="1" spans="1:13">
      <c r="A38" s="101">
        <v>1</v>
      </c>
      <c r="B38" s="171" t="s">
        <v>183</v>
      </c>
      <c r="C38" s="171" t="s">
        <v>197</v>
      </c>
      <c r="D38" s="172" t="s">
        <v>64</v>
      </c>
      <c r="E38" s="103">
        <f>3.35*2.1+3.35*2.85</f>
        <v>16.5825</v>
      </c>
      <c r="F38" s="173">
        <v>156</v>
      </c>
      <c r="G38" s="174">
        <v>335.68</v>
      </c>
      <c r="H38" s="174">
        <v>56</v>
      </c>
      <c r="I38" s="104">
        <f t="shared" ref="I38:I43" si="16">(F38+G38+H38)*0.09</f>
        <v>49.2912</v>
      </c>
      <c r="J38" s="104">
        <f t="shared" ref="J38:J43" si="17">(F38+G38+H38+I38)*0.09</f>
        <v>53.727408</v>
      </c>
      <c r="K38" s="104">
        <f t="shared" ref="K38:K43" si="18">F38+G38+H38+I38+J38</f>
        <v>650.698608</v>
      </c>
      <c r="L38" s="104">
        <f>E38*K38</f>
        <v>10790.20966716</v>
      </c>
      <c r="M38" s="104" t="s">
        <v>202</v>
      </c>
    </row>
    <row r="39" ht="45" outlineLevel="1" spans="1:13">
      <c r="A39" s="101">
        <v>2</v>
      </c>
      <c r="B39" s="171" t="s">
        <v>186</v>
      </c>
      <c r="C39" s="171" t="s">
        <v>187</v>
      </c>
      <c r="D39" s="172" t="s">
        <v>64</v>
      </c>
      <c r="E39" s="103">
        <f>门头石材铝板工程量计算式!D71</f>
        <v>66.534404</v>
      </c>
      <c r="F39" s="173">
        <v>175.93</v>
      </c>
      <c r="G39" s="174">
        <v>235.48</v>
      </c>
      <c r="H39" s="174">
        <v>150.65</v>
      </c>
      <c r="I39" s="104">
        <f t="shared" si="16"/>
        <v>50.5854</v>
      </c>
      <c r="J39" s="104">
        <f t="shared" si="17"/>
        <v>55.138086</v>
      </c>
      <c r="K39" s="104">
        <f t="shared" si="18"/>
        <v>667.783486</v>
      </c>
      <c r="L39" s="104">
        <f t="shared" ref="L38:L43" si="19">E39*K39</f>
        <v>44430.5762420523</v>
      </c>
      <c r="M39" s="104"/>
    </row>
    <row r="40" ht="22.5" outlineLevel="1" spans="1:13">
      <c r="A40" s="101">
        <v>3</v>
      </c>
      <c r="B40" s="171" t="s">
        <v>188</v>
      </c>
      <c r="C40" s="171" t="s">
        <v>189</v>
      </c>
      <c r="D40" s="172" t="s">
        <v>78</v>
      </c>
      <c r="E40" s="103">
        <v>7.05</v>
      </c>
      <c r="F40" s="173">
        <v>6.41</v>
      </c>
      <c r="G40" s="174">
        <v>63.07</v>
      </c>
      <c r="H40" s="174">
        <v>5.061</v>
      </c>
      <c r="I40" s="104">
        <f t="shared" si="16"/>
        <v>6.70869</v>
      </c>
      <c r="J40" s="104">
        <f t="shared" si="17"/>
        <v>7.3124721</v>
      </c>
      <c r="K40" s="104">
        <f t="shared" si="18"/>
        <v>88.5621621</v>
      </c>
      <c r="L40" s="104">
        <f t="shared" si="19"/>
        <v>624.363242805</v>
      </c>
      <c r="M40" s="104"/>
    </row>
    <row r="41" ht="22.5" outlineLevel="1" spans="1:13">
      <c r="A41" s="101">
        <v>4</v>
      </c>
      <c r="B41" s="171" t="s">
        <v>190</v>
      </c>
      <c r="C41" s="171" t="s">
        <v>191</v>
      </c>
      <c r="D41" s="172" t="s">
        <v>78</v>
      </c>
      <c r="E41" s="103">
        <v>6.85</v>
      </c>
      <c r="F41" s="173">
        <v>4.62</v>
      </c>
      <c r="G41" s="174">
        <v>29.449</v>
      </c>
      <c r="H41" s="174">
        <v>12.621</v>
      </c>
      <c r="I41" s="104">
        <f t="shared" si="16"/>
        <v>4.2021</v>
      </c>
      <c r="J41" s="104">
        <f t="shared" si="17"/>
        <v>4.580289</v>
      </c>
      <c r="K41" s="104">
        <f t="shared" si="18"/>
        <v>55.472389</v>
      </c>
      <c r="L41" s="104">
        <f t="shared" si="19"/>
        <v>379.98586465</v>
      </c>
      <c r="M41" s="104"/>
    </row>
    <row r="42" ht="22.5" outlineLevel="1" spans="1:13">
      <c r="A42" s="101">
        <v>5</v>
      </c>
      <c r="B42" s="171" t="s">
        <v>188</v>
      </c>
      <c r="C42" s="171" t="s">
        <v>192</v>
      </c>
      <c r="D42" s="172" t="s">
        <v>64</v>
      </c>
      <c r="E42" s="103">
        <f>0.159*2</f>
        <v>0.318</v>
      </c>
      <c r="F42" s="173">
        <v>25.62</v>
      </c>
      <c r="G42" s="174">
        <v>260.23</v>
      </c>
      <c r="H42" s="174">
        <v>109.407</v>
      </c>
      <c r="I42" s="104">
        <f t="shared" si="16"/>
        <v>35.57313</v>
      </c>
      <c r="J42" s="104">
        <f t="shared" si="17"/>
        <v>38.7747117</v>
      </c>
      <c r="K42" s="104">
        <f t="shared" si="18"/>
        <v>469.6048417</v>
      </c>
      <c r="L42" s="104">
        <f t="shared" si="19"/>
        <v>149.3343396606</v>
      </c>
      <c r="M42" s="104"/>
    </row>
    <row r="43" ht="24" customHeight="1" outlineLevel="1" spans="1:13">
      <c r="A43" s="101">
        <v>6</v>
      </c>
      <c r="B43" s="171" t="s">
        <v>193</v>
      </c>
      <c r="C43" s="171" t="s">
        <v>194</v>
      </c>
      <c r="D43" s="172" t="s">
        <v>32</v>
      </c>
      <c r="E43" s="103">
        <v>1</v>
      </c>
      <c r="F43" s="173">
        <v>493.86</v>
      </c>
      <c r="G43" s="174">
        <v>832.538</v>
      </c>
      <c r="H43" s="174">
        <v>357.352</v>
      </c>
      <c r="I43" s="104">
        <f t="shared" si="16"/>
        <v>151.5375</v>
      </c>
      <c r="J43" s="104">
        <f t="shared" si="17"/>
        <v>165.175875</v>
      </c>
      <c r="K43" s="104">
        <f t="shared" si="18"/>
        <v>2000.463375</v>
      </c>
      <c r="L43" s="104">
        <f t="shared" si="19"/>
        <v>2000.463375</v>
      </c>
      <c r="M43" s="104" t="s">
        <v>195</v>
      </c>
    </row>
    <row r="44" ht="24" customHeight="1" outlineLevel="1" spans="1:13">
      <c r="A44" s="101">
        <v>7</v>
      </c>
      <c r="B44" s="101" t="s">
        <v>96</v>
      </c>
      <c r="C44" s="101"/>
      <c r="D44" s="101" t="s">
        <v>97</v>
      </c>
      <c r="E44" s="103"/>
      <c r="F44" s="104"/>
      <c r="G44" s="104"/>
      <c r="H44" s="104"/>
      <c r="I44" s="104"/>
      <c r="J44" s="104"/>
      <c r="K44" s="104"/>
      <c r="L44" s="104">
        <f>SUM(L38:L43)</f>
        <v>58374.9327313279</v>
      </c>
      <c r="M44" s="104"/>
    </row>
    <row r="45" ht="33.75" spans="1:13">
      <c r="A45" s="101" t="s">
        <v>42</v>
      </c>
      <c r="B45" s="171" t="s">
        <v>203</v>
      </c>
      <c r="C45" s="171" t="s">
        <v>182</v>
      </c>
      <c r="D45" s="172"/>
      <c r="E45" s="103"/>
      <c r="F45" s="104"/>
      <c r="G45" s="104"/>
      <c r="H45" s="104"/>
      <c r="I45" s="104"/>
      <c r="J45" s="104"/>
      <c r="K45" s="104"/>
      <c r="L45" s="104"/>
      <c r="M45" s="104"/>
    </row>
    <row r="46" ht="90.95" customHeight="1" outlineLevel="1" spans="1:13">
      <c r="A46" s="101">
        <v>1</v>
      </c>
      <c r="B46" s="171" t="s">
        <v>183</v>
      </c>
      <c r="C46" s="171" t="s">
        <v>197</v>
      </c>
      <c r="D46" s="172" t="s">
        <v>64</v>
      </c>
      <c r="E46" s="103">
        <f>3.35*(2.25+2.85)</f>
        <v>17.085</v>
      </c>
      <c r="F46" s="173">
        <v>156</v>
      </c>
      <c r="G46" s="174">
        <v>335.68</v>
      </c>
      <c r="H46" s="174">
        <v>56</v>
      </c>
      <c r="I46" s="104">
        <f t="shared" ref="I46:I51" si="20">(F46+G46+H46)*0.09</f>
        <v>49.2912</v>
      </c>
      <c r="J46" s="104">
        <f t="shared" ref="J46:J51" si="21">(F46+G46+H46+I46)*0.09</f>
        <v>53.727408</v>
      </c>
      <c r="K46" s="104">
        <f t="shared" ref="K46:K51" si="22">F46+G46+H46+I46+J46</f>
        <v>650.698608</v>
      </c>
      <c r="L46" s="104">
        <f>E46*K46</f>
        <v>11117.18571768</v>
      </c>
      <c r="M46" s="104" t="s">
        <v>198</v>
      </c>
    </row>
    <row r="47" ht="60" customHeight="1" outlineLevel="1" spans="1:13">
      <c r="A47" s="101">
        <v>2</v>
      </c>
      <c r="B47" s="171" t="s">
        <v>186</v>
      </c>
      <c r="C47" s="171" t="s">
        <v>187</v>
      </c>
      <c r="D47" s="172" t="s">
        <v>64</v>
      </c>
      <c r="E47" s="103">
        <f>门头石材铝板工程量计算式!D85</f>
        <v>52.362714</v>
      </c>
      <c r="F47" s="173">
        <v>175.93</v>
      </c>
      <c r="G47" s="174">
        <v>235.48</v>
      </c>
      <c r="H47" s="174">
        <v>150.65</v>
      </c>
      <c r="I47" s="104">
        <f t="shared" si="20"/>
        <v>50.5854</v>
      </c>
      <c r="J47" s="104">
        <f t="shared" si="21"/>
        <v>55.138086</v>
      </c>
      <c r="K47" s="104">
        <f t="shared" si="22"/>
        <v>667.783486</v>
      </c>
      <c r="L47" s="104">
        <f t="shared" ref="L46:L51" si="23">E47*K47</f>
        <v>34966.955691341</v>
      </c>
      <c r="M47" s="104"/>
    </row>
    <row r="48" ht="30" customHeight="1" outlineLevel="1" spans="1:13">
      <c r="A48" s="101">
        <v>3</v>
      </c>
      <c r="B48" s="171" t="s">
        <v>188</v>
      </c>
      <c r="C48" s="171" t="s">
        <v>189</v>
      </c>
      <c r="D48" s="172" t="s">
        <v>78</v>
      </c>
      <c r="E48" s="103">
        <v>5.2</v>
      </c>
      <c r="F48" s="173">
        <v>6.41</v>
      </c>
      <c r="G48" s="174">
        <v>63.07</v>
      </c>
      <c r="H48" s="174">
        <v>5.061</v>
      </c>
      <c r="I48" s="104">
        <f t="shared" si="20"/>
        <v>6.70869</v>
      </c>
      <c r="J48" s="104">
        <f t="shared" si="21"/>
        <v>7.3124721</v>
      </c>
      <c r="K48" s="104">
        <f t="shared" si="22"/>
        <v>88.5621621</v>
      </c>
      <c r="L48" s="104">
        <f t="shared" si="23"/>
        <v>460.52324292</v>
      </c>
      <c r="M48" s="104"/>
    </row>
    <row r="49" ht="30" customHeight="1" outlineLevel="1" spans="1:13">
      <c r="A49" s="101">
        <v>4</v>
      </c>
      <c r="B49" s="171" t="s">
        <v>190</v>
      </c>
      <c r="C49" s="171" t="s">
        <v>191</v>
      </c>
      <c r="D49" s="172" t="s">
        <v>78</v>
      </c>
      <c r="E49" s="103">
        <v>7</v>
      </c>
      <c r="F49" s="173">
        <v>4.62</v>
      </c>
      <c r="G49" s="174">
        <v>29.449</v>
      </c>
      <c r="H49" s="174">
        <v>12.621</v>
      </c>
      <c r="I49" s="104">
        <f t="shared" si="20"/>
        <v>4.2021</v>
      </c>
      <c r="J49" s="104">
        <f t="shared" si="21"/>
        <v>4.580289</v>
      </c>
      <c r="K49" s="104">
        <f t="shared" si="22"/>
        <v>55.472389</v>
      </c>
      <c r="L49" s="104">
        <f t="shared" si="23"/>
        <v>388.306723</v>
      </c>
      <c r="M49" s="104"/>
    </row>
    <row r="50" ht="30" customHeight="1" outlineLevel="1" spans="1:13">
      <c r="A50" s="101">
        <v>5</v>
      </c>
      <c r="B50" s="171" t="s">
        <v>188</v>
      </c>
      <c r="C50" s="171" t="s">
        <v>192</v>
      </c>
      <c r="D50" s="172" t="s">
        <v>64</v>
      </c>
      <c r="E50" s="103">
        <f>0.159*2</f>
        <v>0.318</v>
      </c>
      <c r="F50" s="173">
        <v>25.62</v>
      </c>
      <c r="G50" s="174">
        <v>260.23</v>
      </c>
      <c r="H50" s="174">
        <v>109.407</v>
      </c>
      <c r="I50" s="104">
        <f t="shared" si="20"/>
        <v>35.57313</v>
      </c>
      <c r="J50" s="104">
        <f t="shared" si="21"/>
        <v>38.7747117</v>
      </c>
      <c r="K50" s="104">
        <f t="shared" si="22"/>
        <v>469.6048417</v>
      </c>
      <c r="L50" s="104">
        <f t="shared" si="23"/>
        <v>149.3343396606</v>
      </c>
      <c r="M50" s="104"/>
    </row>
    <row r="51" ht="30" customHeight="1" outlineLevel="1" spans="1:13">
      <c r="A51" s="101">
        <v>6</v>
      </c>
      <c r="B51" s="171" t="s">
        <v>193</v>
      </c>
      <c r="C51" s="171" t="s">
        <v>194</v>
      </c>
      <c r="D51" s="172" t="s">
        <v>32</v>
      </c>
      <c r="E51" s="103">
        <v>1</v>
      </c>
      <c r="F51" s="173">
        <v>493.86</v>
      </c>
      <c r="G51" s="174">
        <v>832.538</v>
      </c>
      <c r="H51" s="174">
        <v>357.352</v>
      </c>
      <c r="I51" s="104">
        <f t="shared" si="20"/>
        <v>151.5375</v>
      </c>
      <c r="J51" s="104">
        <f t="shared" si="21"/>
        <v>165.175875</v>
      </c>
      <c r="K51" s="104">
        <f t="shared" si="22"/>
        <v>2000.463375</v>
      </c>
      <c r="L51" s="104">
        <f t="shared" si="23"/>
        <v>2000.463375</v>
      </c>
      <c r="M51" s="104" t="s">
        <v>195</v>
      </c>
    </row>
    <row r="52" ht="26.1" customHeight="1" outlineLevel="1" spans="1:13">
      <c r="A52" s="101">
        <v>7</v>
      </c>
      <c r="B52" s="101" t="s">
        <v>96</v>
      </c>
      <c r="C52" s="101"/>
      <c r="D52" s="101" t="s">
        <v>97</v>
      </c>
      <c r="E52" s="103"/>
      <c r="F52" s="104"/>
      <c r="G52" s="104"/>
      <c r="H52" s="104"/>
      <c r="I52" s="104"/>
      <c r="J52" s="104"/>
      <c r="K52" s="104"/>
      <c r="L52" s="104">
        <f>SUM(L46:L51)</f>
        <v>49082.7690896016</v>
      </c>
      <c r="M52" s="104"/>
    </row>
    <row r="53" spans="1:13">
      <c r="A53" s="101" t="s">
        <v>115</v>
      </c>
      <c r="B53" s="171" t="s">
        <v>204</v>
      </c>
      <c r="C53" s="171" t="s">
        <v>182</v>
      </c>
      <c r="D53" s="172"/>
      <c r="E53" s="103"/>
      <c r="F53" s="104"/>
      <c r="G53" s="104"/>
      <c r="H53" s="104"/>
      <c r="I53" s="104"/>
      <c r="J53" s="104"/>
      <c r="K53" s="104"/>
      <c r="L53" s="104"/>
      <c r="M53" s="104"/>
    </row>
    <row r="54" ht="90.95" customHeight="1" outlineLevel="1" spans="1:13">
      <c r="A54" s="101">
        <v>1</v>
      </c>
      <c r="B54" s="171" t="s">
        <v>183</v>
      </c>
      <c r="C54" s="171" t="s">
        <v>197</v>
      </c>
      <c r="D54" s="172" t="s">
        <v>64</v>
      </c>
      <c r="E54" s="103">
        <f>5.15*(2.1+2.4)</f>
        <v>23.175</v>
      </c>
      <c r="F54" s="173">
        <v>156</v>
      </c>
      <c r="G54" s="174">
        <v>335.68</v>
      </c>
      <c r="H54" s="174">
        <v>56</v>
      </c>
      <c r="I54" s="104">
        <f t="shared" ref="I54:I59" si="24">(F54+G54+H54)*0.09</f>
        <v>49.2912</v>
      </c>
      <c r="J54" s="104">
        <f t="shared" ref="J54:J59" si="25">(F54+G54+H54+I54)*0.09</f>
        <v>53.727408</v>
      </c>
      <c r="K54" s="104">
        <f t="shared" ref="K54:K59" si="26">F54+G54+H54+I54+J54</f>
        <v>650.698608</v>
      </c>
      <c r="L54" s="104">
        <f>E54*K54</f>
        <v>15079.9402404</v>
      </c>
      <c r="M54" s="104" t="s">
        <v>205</v>
      </c>
    </row>
    <row r="55" ht="60" customHeight="1" outlineLevel="1" spans="1:13">
      <c r="A55" s="101">
        <v>2</v>
      </c>
      <c r="B55" s="171" t="s">
        <v>186</v>
      </c>
      <c r="C55" s="171" t="s">
        <v>187</v>
      </c>
      <c r="D55" s="172" t="s">
        <v>64</v>
      </c>
      <c r="E55" s="103">
        <f>门头石材铝板工程量计算式!D99</f>
        <v>52.2624</v>
      </c>
      <c r="F55" s="173">
        <v>175.93</v>
      </c>
      <c r="G55" s="174">
        <v>235.48</v>
      </c>
      <c r="H55" s="174">
        <v>150.65</v>
      </c>
      <c r="I55" s="104">
        <f t="shared" si="24"/>
        <v>50.5854</v>
      </c>
      <c r="J55" s="104">
        <f t="shared" si="25"/>
        <v>55.138086</v>
      </c>
      <c r="K55" s="104">
        <f t="shared" si="26"/>
        <v>667.783486</v>
      </c>
      <c r="L55" s="104">
        <f t="shared" ref="L54:L59" si="27">E55*K55</f>
        <v>34899.9676587264</v>
      </c>
      <c r="M55" s="104"/>
    </row>
    <row r="56" ht="30" customHeight="1" outlineLevel="1" spans="1:13">
      <c r="A56" s="101">
        <v>3</v>
      </c>
      <c r="B56" s="171" t="s">
        <v>188</v>
      </c>
      <c r="C56" s="171" t="s">
        <v>189</v>
      </c>
      <c r="D56" s="172" t="s">
        <v>78</v>
      </c>
      <c r="E56" s="103">
        <v>6</v>
      </c>
      <c r="F56" s="173">
        <v>6.41</v>
      </c>
      <c r="G56" s="174">
        <v>63.07</v>
      </c>
      <c r="H56" s="174">
        <v>5.061</v>
      </c>
      <c r="I56" s="104">
        <f t="shared" si="24"/>
        <v>6.70869</v>
      </c>
      <c r="J56" s="104">
        <f t="shared" si="25"/>
        <v>7.3124721</v>
      </c>
      <c r="K56" s="104">
        <f t="shared" si="26"/>
        <v>88.5621621</v>
      </c>
      <c r="L56" s="104">
        <f t="shared" si="27"/>
        <v>531.3729726</v>
      </c>
      <c r="M56" s="104"/>
    </row>
    <row r="57" ht="30" customHeight="1" outlineLevel="1" spans="1:13">
      <c r="A57" s="101">
        <v>4</v>
      </c>
      <c r="B57" s="171" t="s">
        <v>190</v>
      </c>
      <c r="C57" s="171" t="s">
        <v>191</v>
      </c>
      <c r="D57" s="172" t="s">
        <v>78</v>
      </c>
      <c r="E57" s="103"/>
      <c r="F57" s="173">
        <v>4.62</v>
      </c>
      <c r="G57" s="174">
        <v>29.449</v>
      </c>
      <c r="H57" s="174">
        <v>12.621</v>
      </c>
      <c r="I57" s="104">
        <f t="shared" si="24"/>
        <v>4.2021</v>
      </c>
      <c r="J57" s="104">
        <f t="shared" si="25"/>
        <v>4.580289</v>
      </c>
      <c r="K57" s="104">
        <f t="shared" si="26"/>
        <v>55.472389</v>
      </c>
      <c r="L57" s="104">
        <f t="shared" si="27"/>
        <v>0</v>
      </c>
      <c r="M57" s="104"/>
    </row>
    <row r="58" ht="30" customHeight="1" outlineLevel="1" spans="1:13">
      <c r="A58" s="101">
        <v>5</v>
      </c>
      <c r="B58" s="171" t="s">
        <v>188</v>
      </c>
      <c r="C58" s="171" t="s">
        <v>192</v>
      </c>
      <c r="D58" s="172" t="s">
        <v>64</v>
      </c>
      <c r="E58" s="103">
        <f>0.159*2</f>
        <v>0.318</v>
      </c>
      <c r="F58" s="173">
        <v>25.62</v>
      </c>
      <c r="G58" s="174">
        <v>260.23</v>
      </c>
      <c r="H58" s="174">
        <v>109.407</v>
      </c>
      <c r="I58" s="104">
        <f t="shared" si="24"/>
        <v>35.57313</v>
      </c>
      <c r="J58" s="104">
        <f t="shared" si="25"/>
        <v>38.7747117</v>
      </c>
      <c r="K58" s="104">
        <f t="shared" si="26"/>
        <v>469.6048417</v>
      </c>
      <c r="L58" s="104">
        <f t="shared" si="27"/>
        <v>149.3343396606</v>
      </c>
      <c r="M58" s="104"/>
    </row>
    <row r="59" ht="30" customHeight="1" outlineLevel="1" spans="1:13">
      <c r="A59" s="101">
        <v>6</v>
      </c>
      <c r="B59" s="171" t="s">
        <v>193</v>
      </c>
      <c r="C59" s="171" t="s">
        <v>194</v>
      </c>
      <c r="D59" s="172" t="s">
        <v>32</v>
      </c>
      <c r="E59" s="103">
        <v>1</v>
      </c>
      <c r="F59" s="173">
        <v>493.86</v>
      </c>
      <c r="G59" s="174">
        <v>832.538</v>
      </c>
      <c r="H59" s="174">
        <v>357.352</v>
      </c>
      <c r="I59" s="104">
        <f t="shared" si="24"/>
        <v>151.5375</v>
      </c>
      <c r="J59" s="104">
        <f t="shared" si="25"/>
        <v>165.175875</v>
      </c>
      <c r="K59" s="104">
        <f t="shared" si="26"/>
        <v>2000.463375</v>
      </c>
      <c r="L59" s="104">
        <f t="shared" si="27"/>
        <v>2000.463375</v>
      </c>
      <c r="M59" s="104" t="s">
        <v>195</v>
      </c>
    </row>
    <row r="60" ht="26.1" customHeight="1" outlineLevel="1" spans="1:13">
      <c r="A60" s="101">
        <v>7</v>
      </c>
      <c r="B60" s="101" t="s">
        <v>96</v>
      </c>
      <c r="C60" s="101"/>
      <c r="D60" s="101" t="s">
        <v>97</v>
      </c>
      <c r="E60" s="103"/>
      <c r="F60" s="104"/>
      <c r="G60" s="104"/>
      <c r="H60" s="104"/>
      <c r="I60" s="104"/>
      <c r="J60" s="104"/>
      <c r="K60" s="104"/>
      <c r="L60" s="104">
        <f>SUM(L54:L59)</f>
        <v>52661.078586387</v>
      </c>
      <c r="M60" s="104"/>
    </row>
    <row r="61" ht="24" customHeight="1" spans="1:13">
      <c r="A61" s="101" t="s">
        <v>118</v>
      </c>
      <c r="B61" s="171" t="s">
        <v>206</v>
      </c>
      <c r="C61" s="171" t="s">
        <v>182</v>
      </c>
      <c r="D61" s="172"/>
      <c r="E61" s="103"/>
      <c r="F61" s="104"/>
      <c r="G61" s="104"/>
      <c r="H61" s="104"/>
      <c r="I61" s="104"/>
      <c r="J61" s="104"/>
      <c r="K61" s="104"/>
      <c r="L61" s="104"/>
      <c r="M61" s="104"/>
    </row>
    <row r="62" ht="90.95" customHeight="1" outlineLevel="1" spans="1:13">
      <c r="A62" s="101">
        <v>1</v>
      </c>
      <c r="B62" s="171" t="s">
        <v>183</v>
      </c>
      <c r="C62" s="171" t="s">
        <v>197</v>
      </c>
      <c r="D62" s="172" t="s">
        <v>64</v>
      </c>
      <c r="E62" s="103">
        <f>5.15*(2.1+2.4)</f>
        <v>23.175</v>
      </c>
      <c r="F62" s="173">
        <v>156</v>
      </c>
      <c r="G62" s="174">
        <v>335.68</v>
      </c>
      <c r="H62" s="174">
        <v>56</v>
      </c>
      <c r="I62" s="104">
        <f t="shared" ref="I62:I67" si="28">(F62+G62+H62)*0.09</f>
        <v>49.2912</v>
      </c>
      <c r="J62" s="104">
        <f t="shared" ref="J62:J67" si="29">(F62+G62+H62+I62)*0.09</f>
        <v>53.727408</v>
      </c>
      <c r="K62" s="104">
        <f t="shared" ref="K62:K67" si="30">F62+G62+H62+I62+J62</f>
        <v>650.698608</v>
      </c>
      <c r="L62" s="104">
        <f>E62*K62</f>
        <v>15079.9402404</v>
      </c>
      <c r="M62" s="104" t="s">
        <v>207</v>
      </c>
    </row>
    <row r="63" ht="60" customHeight="1" outlineLevel="1" spans="1:13">
      <c r="A63" s="101">
        <v>2</v>
      </c>
      <c r="B63" s="171" t="s">
        <v>186</v>
      </c>
      <c r="C63" s="171" t="s">
        <v>187</v>
      </c>
      <c r="D63" s="172" t="s">
        <v>64</v>
      </c>
      <c r="E63" s="103">
        <f>门头石材铝板工程量计算式!D113</f>
        <v>52.9817</v>
      </c>
      <c r="F63" s="173">
        <v>175.93</v>
      </c>
      <c r="G63" s="174">
        <v>235.48</v>
      </c>
      <c r="H63" s="174">
        <v>150.65</v>
      </c>
      <c r="I63" s="104">
        <f t="shared" si="28"/>
        <v>50.5854</v>
      </c>
      <c r="J63" s="104">
        <f t="shared" si="29"/>
        <v>55.138086</v>
      </c>
      <c r="K63" s="104">
        <f t="shared" si="30"/>
        <v>667.783486</v>
      </c>
      <c r="L63" s="104">
        <f t="shared" ref="L62:L67" si="31">E63*K63</f>
        <v>35380.3043202062</v>
      </c>
      <c r="M63" s="104"/>
    </row>
    <row r="64" ht="30" customHeight="1" outlineLevel="1" spans="1:13">
      <c r="A64" s="101">
        <v>3</v>
      </c>
      <c r="B64" s="171" t="s">
        <v>188</v>
      </c>
      <c r="C64" s="171" t="s">
        <v>189</v>
      </c>
      <c r="D64" s="172" t="s">
        <v>78</v>
      </c>
      <c r="E64" s="103">
        <v>6</v>
      </c>
      <c r="F64" s="173">
        <v>6.41</v>
      </c>
      <c r="G64" s="174">
        <v>63.07</v>
      </c>
      <c r="H64" s="174">
        <v>5.061</v>
      </c>
      <c r="I64" s="104">
        <f t="shared" si="28"/>
        <v>6.70869</v>
      </c>
      <c r="J64" s="104">
        <f t="shared" si="29"/>
        <v>7.3124721</v>
      </c>
      <c r="K64" s="104">
        <f t="shared" si="30"/>
        <v>88.5621621</v>
      </c>
      <c r="L64" s="104">
        <f t="shared" si="31"/>
        <v>531.3729726</v>
      </c>
      <c r="M64" s="104"/>
    </row>
    <row r="65" ht="30" customHeight="1" outlineLevel="1" spans="1:13">
      <c r="A65" s="101">
        <v>4</v>
      </c>
      <c r="B65" s="171" t="s">
        <v>190</v>
      </c>
      <c r="C65" s="171" t="s">
        <v>191</v>
      </c>
      <c r="D65" s="172" t="s">
        <v>78</v>
      </c>
      <c r="E65" s="103"/>
      <c r="F65" s="173">
        <v>4.62</v>
      </c>
      <c r="G65" s="174">
        <v>29.449</v>
      </c>
      <c r="H65" s="174">
        <v>12.621</v>
      </c>
      <c r="I65" s="104">
        <f t="shared" si="28"/>
        <v>4.2021</v>
      </c>
      <c r="J65" s="104">
        <f t="shared" si="29"/>
        <v>4.580289</v>
      </c>
      <c r="K65" s="104">
        <f t="shared" si="30"/>
        <v>55.472389</v>
      </c>
      <c r="L65" s="104">
        <f t="shared" si="31"/>
        <v>0</v>
      </c>
      <c r="M65" s="104"/>
    </row>
    <row r="66" ht="30" customHeight="1" outlineLevel="1" spans="1:13">
      <c r="A66" s="101">
        <v>5</v>
      </c>
      <c r="B66" s="171" t="s">
        <v>188</v>
      </c>
      <c r="C66" s="171" t="s">
        <v>192</v>
      </c>
      <c r="D66" s="172" t="s">
        <v>64</v>
      </c>
      <c r="E66" s="103">
        <f>0.159*2</f>
        <v>0.318</v>
      </c>
      <c r="F66" s="173">
        <v>25.62</v>
      </c>
      <c r="G66" s="174">
        <v>260.23</v>
      </c>
      <c r="H66" s="174">
        <v>109.407</v>
      </c>
      <c r="I66" s="104">
        <f t="shared" si="28"/>
        <v>35.57313</v>
      </c>
      <c r="J66" s="104">
        <f t="shared" si="29"/>
        <v>38.7747117</v>
      </c>
      <c r="K66" s="104">
        <f t="shared" si="30"/>
        <v>469.6048417</v>
      </c>
      <c r="L66" s="104">
        <f t="shared" si="31"/>
        <v>149.3343396606</v>
      </c>
      <c r="M66" s="104"/>
    </row>
    <row r="67" ht="30" customHeight="1" outlineLevel="1" spans="1:13">
      <c r="A67" s="101">
        <v>6</v>
      </c>
      <c r="B67" s="171" t="s">
        <v>193</v>
      </c>
      <c r="C67" s="171" t="s">
        <v>194</v>
      </c>
      <c r="D67" s="172" t="s">
        <v>32</v>
      </c>
      <c r="E67" s="103">
        <v>1</v>
      </c>
      <c r="F67" s="173">
        <v>493.86</v>
      </c>
      <c r="G67" s="174">
        <v>832.538</v>
      </c>
      <c r="H67" s="174">
        <v>357.352</v>
      </c>
      <c r="I67" s="104">
        <f t="shared" si="28"/>
        <v>151.5375</v>
      </c>
      <c r="J67" s="104">
        <f t="shared" si="29"/>
        <v>165.175875</v>
      </c>
      <c r="K67" s="104">
        <f t="shared" si="30"/>
        <v>2000.463375</v>
      </c>
      <c r="L67" s="104">
        <f t="shared" si="31"/>
        <v>2000.463375</v>
      </c>
      <c r="M67" s="104" t="s">
        <v>195</v>
      </c>
    </row>
    <row r="68" ht="26.1" customHeight="1" outlineLevel="1" spans="1:13">
      <c r="A68" s="101">
        <v>7</v>
      </c>
      <c r="B68" s="101" t="s">
        <v>96</v>
      </c>
      <c r="C68" s="101"/>
      <c r="D68" s="101" t="s">
        <v>97</v>
      </c>
      <c r="E68" s="103"/>
      <c r="F68" s="104"/>
      <c r="G68" s="104"/>
      <c r="H68" s="104"/>
      <c r="I68" s="104"/>
      <c r="J68" s="104"/>
      <c r="K68" s="104"/>
      <c r="L68" s="104">
        <f>SUM(L62:L67)</f>
        <v>53141.4152478668</v>
      </c>
      <c r="M68" s="104"/>
    </row>
  </sheetData>
  <autoFilter xmlns:etc="http://www.wps.cn/officeDocument/2017/etCustomData" ref="A3:M68" etc:filterBottomFollowUsedRange="0">
    <extLst/>
  </autoFilter>
  <mergeCells count="21">
    <mergeCell ref="A1:M1"/>
    <mergeCell ref="F2:J2"/>
    <mergeCell ref="B12:C12"/>
    <mergeCell ref="B20:C20"/>
    <mergeCell ref="B28:C28"/>
    <mergeCell ref="B36:C36"/>
    <mergeCell ref="B44:C44"/>
    <mergeCell ref="B52:C52"/>
    <mergeCell ref="B60:C60"/>
    <mergeCell ref="B68:C68"/>
    <mergeCell ref="A2:A4"/>
    <mergeCell ref="B2:B4"/>
    <mergeCell ref="C2:C4"/>
    <mergeCell ref="D2:D4"/>
    <mergeCell ref="E2:E4"/>
    <mergeCell ref="F3:F4"/>
    <mergeCell ref="G3:G4"/>
    <mergeCell ref="H3:H4"/>
    <mergeCell ref="K2:K4"/>
    <mergeCell ref="L2:L4"/>
    <mergeCell ref="M2:M4"/>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workbookViewId="0">
      <selection activeCell="G8" sqref="G8"/>
    </sheetView>
  </sheetViews>
  <sheetFormatPr defaultColWidth="7.88333333333333" defaultRowHeight="12.75"/>
  <cols>
    <col min="1" max="1" width="7.88333333333333" style="149"/>
    <col min="2" max="2" width="14.8833333333333" style="149" customWidth="1"/>
    <col min="3" max="3" width="29.25" style="149" customWidth="1"/>
    <col min="4" max="4" width="7.88333333333333" style="149"/>
    <col min="5" max="5" width="10.3833333333333" style="149" customWidth="1"/>
    <col min="6" max="11" width="7.88333333333333" style="149"/>
    <col min="12" max="12" width="9.625" style="149"/>
    <col min="13" max="16384" width="7.88333333333333" style="149"/>
  </cols>
  <sheetData>
    <row r="1" ht="44.1" customHeight="1" spans="1:19">
      <c r="A1" s="128" t="s">
        <v>208</v>
      </c>
      <c r="B1" s="150"/>
      <c r="C1" s="128"/>
      <c r="D1" s="128"/>
      <c r="E1" s="128"/>
      <c r="F1" s="128"/>
      <c r="G1" s="128"/>
      <c r="H1" s="128"/>
      <c r="I1" s="128"/>
      <c r="J1" s="128"/>
      <c r="K1" s="128"/>
      <c r="L1" s="128"/>
      <c r="M1" s="128"/>
      <c r="N1" s="159"/>
      <c r="O1" s="159"/>
      <c r="P1" s="159"/>
      <c r="Q1" s="159"/>
      <c r="R1" s="159"/>
      <c r="S1" s="159"/>
    </row>
    <row r="2" ht="14.25" spans="1:19">
      <c r="A2" s="130" t="s">
        <v>46</v>
      </c>
      <c r="B2" s="130" t="s">
        <v>47</v>
      </c>
      <c r="C2" s="130" t="s">
        <v>48</v>
      </c>
      <c r="D2" s="130" t="s">
        <v>25</v>
      </c>
      <c r="E2" s="130" t="s">
        <v>49</v>
      </c>
      <c r="F2" s="131" t="s">
        <v>50</v>
      </c>
      <c r="G2" s="131"/>
      <c r="H2" s="131"/>
      <c r="I2" s="131"/>
      <c r="J2" s="131"/>
      <c r="K2" s="131" t="s">
        <v>51</v>
      </c>
      <c r="L2" s="131" t="s">
        <v>52</v>
      </c>
      <c r="M2" s="131" t="s">
        <v>29</v>
      </c>
      <c r="N2" s="160"/>
      <c r="O2" s="160"/>
      <c r="P2" s="160"/>
      <c r="Q2" s="160"/>
      <c r="R2" s="160"/>
      <c r="S2" s="160"/>
    </row>
    <row r="3" ht="45" spans="1:19">
      <c r="A3" s="130"/>
      <c r="B3" s="130"/>
      <c r="C3" s="130"/>
      <c r="D3" s="130"/>
      <c r="E3" s="130"/>
      <c r="F3" s="131" t="s">
        <v>53</v>
      </c>
      <c r="G3" s="131" t="s">
        <v>54</v>
      </c>
      <c r="H3" s="131" t="s">
        <v>55</v>
      </c>
      <c r="I3" s="131" t="s">
        <v>56</v>
      </c>
      <c r="J3" s="131" t="s">
        <v>57</v>
      </c>
      <c r="K3" s="131"/>
      <c r="L3" s="131"/>
      <c r="M3" s="131"/>
      <c r="N3" s="160"/>
      <c r="O3" s="160"/>
      <c r="P3" s="160"/>
      <c r="Q3" s="160"/>
      <c r="R3" s="160"/>
      <c r="S3" s="160"/>
    </row>
    <row r="4" ht="14.25" spans="1:19">
      <c r="A4" s="130"/>
      <c r="B4" s="130"/>
      <c r="C4" s="130"/>
      <c r="D4" s="130"/>
      <c r="E4" s="130"/>
      <c r="F4" s="131"/>
      <c r="G4" s="131"/>
      <c r="H4" s="131"/>
      <c r="I4" s="161"/>
      <c r="J4" s="161"/>
      <c r="K4" s="131"/>
      <c r="L4" s="131"/>
      <c r="M4" s="131"/>
      <c r="N4" s="160"/>
      <c r="O4" s="160"/>
      <c r="P4" s="160"/>
      <c r="Q4" s="160"/>
      <c r="R4" s="160"/>
      <c r="S4" s="160"/>
    </row>
    <row r="5" ht="33.75" customHeight="1" spans="1:19">
      <c r="A5" s="130" t="s">
        <v>30</v>
      </c>
      <c r="B5" s="130" t="s">
        <v>209</v>
      </c>
      <c r="C5" s="130"/>
      <c r="D5" s="130"/>
      <c r="E5" s="130"/>
      <c r="F5" s="131"/>
      <c r="G5" s="131"/>
      <c r="H5" s="131"/>
      <c r="I5" s="131"/>
      <c r="J5" s="131"/>
      <c r="K5" s="131"/>
      <c r="L5" s="131"/>
      <c r="M5" s="131"/>
      <c r="N5" s="162"/>
      <c r="O5" s="163"/>
      <c r="P5" s="164"/>
      <c r="Q5" s="164"/>
      <c r="R5" s="164"/>
      <c r="S5" s="164"/>
    </row>
    <row r="6" ht="87" customHeight="1" spans="1:19">
      <c r="A6" s="130">
        <v>1</v>
      </c>
      <c r="B6" s="130" t="s">
        <v>62</v>
      </c>
      <c r="C6" s="151" t="s">
        <v>210</v>
      </c>
      <c r="D6" s="130" t="s">
        <v>64</v>
      </c>
      <c r="E6" s="130">
        <f>标准层及地下计算式!J11+标准层及地下计算式!J12+标准层及地下计算式!J21+标准层及地下计算式!J31+标准层及地下计算式!J41+标准层及地下计算式!J51+标准层及地下计算式!J61+标准层及地下计算式!J71+标准层及地下计算式!J81+标准层及地下计算式!J91+标准层及地下计算式!J101+标准层及地下计算式!J111+标准层及地下计算式!J123+标准层及地下计算式!J131+标准层及地下计算式!J139+标准层及地下计算式!J148+标准层及地下计算式!J157+标准层及地下计算式!J173+标准层及地下计算式!J182+标准层及地下计算式!J190+标准层及地下计算式!J198+标准层及地下计算式!J206+标准层及地下计算式!J214+标准层及地下计算式!J222+标准层及地下计算式!J230+标准层及地下计算式!J238</f>
        <v>5978.66</v>
      </c>
      <c r="F6" s="152">
        <v>40</v>
      </c>
      <c r="G6" s="152">
        <v>62.5</v>
      </c>
      <c r="H6" s="152">
        <v>33.921</v>
      </c>
      <c r="I6" s="131">
        <f>(F6+G6+H6)*0.09</f>
        <v>12.27789</v>
      </c>
      <c r="J6" s="131">
        <f>(F6+G6+H6+I6)*0.09</f>
        <v>13.3829001</v>
      </c>
      <c r="K6" s="131">
        <f>F6+G6+H6+I6+J6</f>
        <v>162.0817901</v>
      </c>
      <c r="L6" s="131">
        <f>E6*K6</f>
        <v>969031.915199266</v>
      </c>
      <c r="M6" s="131" t="s">
        <v>211</v>
      </c>
      <c r="N6" s="162"/>
      <c r="O6" s="163"/>
      <c r="P6" s="164"/>
      <c r="Q6" s="164"/>
      <c r="R6" s="164"/>
      <c r="S6" s="164"/>
    </row>
    <row r="7" ht="23.25" customHeight="1" spans="1:19">
      <c r="A7" s="130" t="s">
        <v>33</v>
      </c>
      <c r="B7" s="130" t="s">
        <v>212</v>
      </c>
      <c r="C7" s="130"/>
      <c r="D7" s="130"/>
      <c r="E7" s="130"/>
      <c r="F7" s="152"/>
      <c r="G7" s="152"/>
      <c r="H7" s="152"/>
      <c r="I7" s="131"/>
      <c r="J7" s="131"/>
      <c r="K7" s="131"/>
      <c r="L7" s="131"/>
      <c r="M7" s="131"/>
      <c r="N7" s="162"/>
      <c r="O7" s="163"/>
      <c r="P7" s="164"/>
      <c r="Q7" s="164"/>
      <c r="R7" s="164"/>
      <c r="S7" s="164"/>
    </row>
    <row r="8" ht="84" customHeight="1" spans="1:19">
      <c r="A8" s="130">
        <v>1</v>
      </c>
      <c r="B8" s="130" t="s">
        <v>213</v>
      </c>
      <c r="C8" s="151" t="s">
        <v>214</v>
      </c>
      <c r="D8" s="130" t="s">
        <v>64</v>
      </c>
      <c r="E8" s="130">
        <f>标准层及地下计算式!J5+标准层及地下计算式!J6+标准层及地下计算式!J7+标准层及地下计算式!J19+标准层及地下计算式!J29+标准层及地下计算式!J39+标准层及地下计算式!J49+标准层及地下计算式!J59+标准层及地下计算式!J69+标准层及地下计算式!J79+标准层及地下计算式!J89+标准层及地下计算式!J99+标准层及地下计算式!J109+标准层及地下计算式!J120+标准层及地下计算式!J128+标准层及地下计算式!J136+标准层及地下计算式!J145+标准层及地下计算式!J154+标准层及地下计算式!J162+标准层及地下计算式!J170+标准层及地下计算式!J179+标准层及地下计算式!J187+标准层及地下计算式!J195+标准层及地下计算式!J203+标准层及地下计算式!J211+标准层及地下计算式!J219+标准层及地下计算式!J227+标准层及地下计算式!J235</f>
        <v>422.6742</v>
      </c>
      <c r="F8" s="152">
        <v>39.3</v>
      </c>
      <c r="G8" s="152">
        <v>70.257</v>
      </c>
      <c r="H8" s="152">
        <v>30.921</v>
      </c>
      <c r="I8" s="131">
        <f>(F8+G8+H8)*0.09</f>
        <v>12.64302</v>
      </c>
      <c r="J8" s="131">
        <f>(F8+G8+H8+I8)*0.09</f>
        <v>13.7808918</v>
      </c>
      <c r="K8" s="131">
        <f t="shared" ref="K8:K13" si="0">F8+G8+H8+I8+J8</f>
        <v>166.9019118</v>
      </c>
      <c r="L8" s="131">
        <f>E8*K8</f>
        <v>70545.1320485356</v>
      </c>
      <c r="M8" s="131" t="s">
        <v>215</v>
      </c>
      <c r="N8" s="162"/>
      <c r="O8" s="163"/>
      <c r="P8" s="164"/>
      <c r="Q8" s="164"/>
      <c r="R8" s="164"/>
      <c r="S8" s="164"/>
    </row>
    <row r="9" ht="126" customHeight="1" spans="1:19">
      <c r="A9" s="130">
        <v>2</v>
      </c>
      <c r="B9" s="130" t="s">
        <v>216</v>
      </c>
      <c r="C9" s="151" t="s">
        <v>217</v>
      </c>
      <c r="D9" s="130" t="s">
        <v>64</v>
      </c>
      <c r="E9" s="130">
        <f>标准层及地下计算式!J8+标准层及地下计算式!J9+标准层及地下计算式!J20+标准层及地下计算式!J30+标准层及地下计算式!J40+标准层及地下计算式!J50+标准层及地下计算式!J60+标准层及地下计算式!J70+标准层及地下计算式!J80+标准层及地下计算式!J90+标准层及地下计算式!J100+标准层及地下计算式!J110+标准层及地下计算式!J121+标准层及地下计算式!J129+标准层及地下计算式!J137+标准层及地下计算式!J146+标准层及地下计算式!J155+标准层及地下计算式!J163+标准层及地下计算式!J171+标准层及地下计算式!J180+标准层及地下计算式!J188+标准层及地下计算式!J196+标准层及地下计算式!J204+标准层及地下计算式!J212+标准层及地下计算式!J220+标准层及地下计算式!J228+标准层及地下计算式!J236</f>
        <v>375.6032</v>
      </c>
      <c r="F9" s="152">
        <v>89.78</v>
      </c>
      <c r="G9" s="152">
        <v>134.645</v>
      </c>
      <c r="H9" s="152">
        <v>58.775</v>
      </c>
      <c r="I9" s="131">
        <f>(F9+G9+H9)*0.09</f>
        <v>25.488</v>
      </c>
      <c r="J9" s="131">
        <f>(F9+G9+H9+I9)*0.09</f>
        <v>27.78192</v>
      </c>
      <c r="K9" s="131">
        <f t="shared" si="0"/>
        <v>336.46992</v>
      </c>
      <c r="L9" s="131">
        <f>E9*K9</f>
        <v>126379.178655744</v>
      </c>
      <c r="M9" s="131" t="s">
        <v>218</v>
      </c>
      <c r="N9" s="162"/>
      <c r="O9" s="163"/>
      <c r="P9" s="164"/>
      <c r="Q9" s="164"/>
      <c r="R9" s="164"/>
      <c r="S9" s="164"/>
    </row>
    <row r="10" ht="78.75" spans="1:19">
      <c r="A10" s="130">
        <v>3</v>
      </c>
      <c r="B10" s="130" t="s">
        <v>219</v>
      </c>
      <c r="C10" s="151" t="s">
        <v>220</v>
      </c>
      <c r="D10" s="130" t="s">
        <v>64</v>
      </c>
      <c r="E10" s="130"/>
      <c r="F10" s="152">
        <v>71.93</v>
      </c>
      <c r="G10" s="152">
        <v>7.931</v>
      </c>
      <c r="H10" s="152">
        <v>4.459</v>
      </c>
      <c r="I10" s="131">
        <f>(F10+G10+H10)*0.09</f>
        <v>7.5888</v>
      </c>
      <c r="J10" s="131">
        <f>(F10+G10+H10+I10)*0.09</f>
        <v>8.271792</v>
      </c>
      <c r="K10" s="131">
        <f t="shared" si="0"/>
        <v>100.180592</v>
      </c>
      <c r="L10" s="131">
        <f>E10*K10</f>
        <v>0</v>
      </c>
      <c r="M10" s="165" t="s">
        <v>221</v>
      </c>
      <c r="N10" s="162"/>
      <c r="O10" s="163"/>
      <c r="P10" s="164"/>
      <c r="Q10" s="164"/>
      <c r="R10" s="164"/>
      <c r="S10" s="164"/>
    </row>
    <row r="11" ht="13.5" spans="1:19">
      <c r="A11" s="130" t="s">
        <v>35</v>
      </c>
      <c r="B11" s="130" t="s">
        <v>66</v>
      </c>
      <c r="C11" s="130"/>
      <c r="D11" s="130"/>
      <c r="E11" s="130"/>
      <c r="F11" s="152"/>
      <c r="G11" s="152"/>
      <c r="H11" s="152"/>
      <c r="I11" s="131"/>
      <c r="J11" s="131"/>
      <c r="K11" s="131"/>
      <c r="L11" s="131"/>
      <c r="M11" s="131"/>
      <c r="N11" s="162"/>
      <c r="O11" s="163"/>
      <c r="P11" s="164"/>
      <c r="Q11" s="164"/>
      <c r="R11" s="164"/>
      <c r="S11" s="164"/>
    </row>
    <row r="12" ht="110.1" customHeight="1" spans="1:19">
      <c r="A12" s="130">
        <v>1</v>
      </c>
      <c r="B12" s="153" t="s">
        <v>67</v>
      </c>
      <c r="C12" s="154" t="s">
        <v>222</v>
      </c>
      <c r="D12" s="130" t="s">
        <v>64</v>
      </c>
      <c r="E12" s="130">
        <f>标准层及地下计算式!J14+标准层及地下计算式!J23+标准层及地下计算式!J33+标准层及地下计算式!J43+标准层及地下计算式!J53+标准层及地下计算式!J63+标准层及地下计算式!J73+标准层及地下计算式!J83+标准层及地下计算式!J93+标准层及地下计算式!J103+标准层及地下计算式!J113+标准层及地下计算式!J125+标准层及地下计算式!J133+标准层及地下计算式!J141+标准层及地下计算式!J150+标准层及地下计算式!J159+标准层及地下计算式!J167+标准层及地下计算式!J175+标准层及地下计算式!J184+标准层及地下计算式!J192+标准层及地下计算式!J200+标准层及地下计算式!J208+标准层及地下计算式!J216+标准层及地下计算式!J224+标准层及地下计算式!J232+标准层及地下计算式!J240</f>
        <v>13928.818</v>
      </c>
      <c r="F12" s="152">
        <v>60</v>
      </c>
      <c r="G12" s="152">
        <v>63</v>
      </c>
      <c r="H12" s="152">
        <v>27.401</v>
      </c>
      <c r="I12" s="131">
        <f t="shared" ref="I12:I17" si="1">(F12+G12+H12)*0.09</f>
        <v>13.53609</v>
      </c>
      <c r="J12" s="131">
        <f t="shared" ref="J12:J17" si="2">(F12+G12+H12+I12)*0.09</f>
        <v>14.7543381</v>
      </c>
      <c r="K12" s="131">
        <f t="shared" si="0"/>
        <v>178.6914281</v>
      </c>
      <c r="L12" s="131">
        <f t="shared" ref="L12:L17" si="3">E12*K12</f>
        <v>2488960.38016499</v>
      </c>
      <c r="M12" s="130" t="s">
        <v>215</v>
      </c>
      <c r="N12" s="159"/>
      <c r="O12" s="159"/>
      <c r="P12" s="159"/>
      <c r="Q12" s="159"/>
      <c r="R12" s="159"/>
      <c r="S12" s="159"/>
    </row>
    <row r="13" ht="53.1" customHeight="1" spans="1:19">
      <c r="A13" s="130">
        <v>2</v>
      </c>
      <c r="B13" s="130" t="s">
        <v>83</v>
      </c>
      <c r="C13" s="151" t="s">
        <v>223</v>
      </c>
      <c r="D13" s="130" t="s">
        <v>85</v>
      </c>
      <c r="E13" s="130">
        <f>标准层及地下计算式!J18+标准层及地下计算式!J27+标准层及地下计算式!J37+标准层及地下计算式!J47+标准层及地下计算式!J57+标准层及地下计算式!J67+标准层及地下计算式!J77+标准层及地下计算式!J87+标准层及地下计算式!J97+标准层及地下计算式!J107+标准层及地下计算式!J117+标准层及地下计算式!J127+标准层及地下计算式!J135+标准层及地下计算式!J144+标准层及地下计算式!J153+标准层及地下计算式!J161+标准层及地下计算式!J169+标准层及地下计算式!J178+标准层及地下计算式!J186+标准层及地下计算式!J194+标准层及地下计算式!J202+标准层及地下计算式!J210+标准层及地下计算式!J226+标准层及地下计算式!J218+标准层及地下计算式!J234+标准层及地下计算式!J242</f>
        <v>592</v>
      </c>
      <c r="F13" s="134">
        <v>114.54</v>
      </c>
      <c r="G13" s="134">
        <v>479.46</v>
      </c>
      <c r="H13" s="155">
        <v>234.154</v>
      </c>
      <c r="I13" s="155">
        <f t="shared" si="1"/>
        <v>74.53386</v>
      </c>
      <c r="J13" s="155">
        <f>(F13+G13+I13+H13)*0.09</f>
        <v>81.2419074</v>
      </c>
      <c r="K13" s="155">
        <f t="shared" si="0"/>
        <v>983.9297674</v>
      </c>
      <c r="L13" s="131">
        <f t="shared" si="3"/>
        <v>582486.4223008</v>
      </c>
      <c r="M13" s="131"/>
      <c r="N13" s="162"/>
      <c r="O13" s="163"/>
      <c r="P13" s="164"/>
      <c r="Q13" s="164"/>
      <c r="R13" s="164"/>
      <c r="S13" s="164"/>
    </row>
    <row r="14" ht="30.75" customHeight="1" spans="1:19">
      <c r="A14" s="130">
        <v>3</v>
      </c>
      <c r="B14" s="130" t="s">
        <v>224</v>
      </c>
      <c r="C14" s="151" t="s">
        <v>225</v>
      </c>
      <c r="D14" s="130" t="s">
        <v>78</v>
      </c>
      <c r="E14" s="130">
        <f>标准层及地下计算式!J16+标准层及地下计算式!J25+标准层及地下计算式!J35+标准层及地下计算式!J45+标准层及地下计算式!J55+标准层及地下计算式!J65+标准层及地下计算式!J75+标准层及地下计算式!J85+标准层及地下计算式!J95+标准层及地下计算式!J105+标准层及地下计算式!J115+标准层及地下计算式!J126+标准层及地下计算式!J151+标准层及地下计算式!J176</f>
        <v>7452.7</v>
      </c>
      <c r="F14" s="152">
        <v>4.29</v>
      </c>
      <c r="G14" s="152">
        <v>4.568</v>
      </c>
      <c r="H14" s="152">
        <v>3.722</v>
      </c>
      <c r="I14" s="131">
        <f t="shared" si="1"/>
        <v>1.1322</v>
      </c>
      <c r="J14" s="131">
        <f t="shared" si="2"/>
        <v>1.234098</v>
      </c>
      <c r="K14" s="131">
        <f t="shared" ref="K12:K17" si="4">F14+G14+H14+I14+J14</f>
        <v>14.946298</v>
      </c>
      <c r="L14" s="131">
        <f t="shared" si="3"/>
        <v>111390.2751046</v>
      </c>
      <c r="M14" s="131"/>
      <c r="N14" s="162"/>
      <c r="O14" s="163"/>
      <c r="P14" s="164"/>
      <c r="Q14" s="164"/>
      <c r="R14" s="164"/>
      <c r="S14" s="164"/>
    </row>
    <row r="15" ht="71.25" customHeight="1" spans="1:19">
      <c r="A15" s="130">
        <v>4</v>
      </c>
      <c r="B15" s="156" t="s">
        <v>92</v>
      </c>
      <c r="C15" s="157" t="s">
        <v>93</v>
      </c>
      <c r="D15" s="156" t="s">
        <v>64</v>
      </c>
      <c r="E15" s="130">
        <f>标准层及地下计算式!J26+标准层及地下计算式!J36+标准层及地下计算式!J46+标准层及地下计算式!J56+标准层及地下计算式!J66+标准层及地下计算式!J76+标准层及地下计算式!J86+标准层及地下计算式!J96+标准层及地下计算式!J106+标准层及地下计算式!J116+标准层及地下计算式!J143+标准层及地下计算式!J152+标准层及地下计算式!J177</f>
        <v>4702.808</v>
      </c>
      <c r="F15" s="134">
        <v>15.52</v>
      </c>
      <c r="G15" s="134">
        <v>6.508</v>
      </c>
      <c r="H15" s="134">
        <v>5.932</v>
      </c>
      <c r="I15" s="134">
        <f t="shared" si="1"/>
        <v>2.5164</v>
      </c>
      <c r="J15" s="134">
        <f t="shared" si="2"/>
        <v>2.742876</v>
      </c>
      <c r="K15" s="134">
        <f t="shared" si="4"/>
        <v>33.219276</v>
      </c>
      <c r="L15" s="155">
        <f t="shared" si="3"/>
        <v>156223.876927008</v>
      </c>
      <c r="M15" s="131"/>
      <c r="N15" s="162"/>
      <c r="O15" s="163"/>
      <c r="P15" s="164"/>
      <c r="Q15" s="164"/>
      <c r="R15" s="164"/>
      <c r="S15" s="164"/>
    </row>
    <row r="16" ht="90" spans="1:19">
      <c r="A16" s="130">
        <v>5</v>
      </c>
      <c r="B16" s="156" t="s">
        <v>90</v>
      </c>
      <c r="C16" s="157" t="s">
        <v>91</v>
      </c>
      <c r="D16" s="156" t="s">
        <v>64</v>
      </c>
      <c r="E16" s="130">
        <f>标准层及地下计算式!J134++标准层及地下计算式!J142+标准层及地下计算式!J160+标准层及地下计算式!J168+标准层及地下计算式!J185+标准层及地下计算式!J193+标准层及地下计算式!J201+标准层及地下计算式!J209+标准层及地下计算式!J217+标准层及地下计算式!J225+标准层及地下计算式!J233+标准层及地下计算式!J241</f>
        <v>419.25</v>
      </c>
      <c r="F16" s="134">
        <v>50.95</v>
      </c>
      <c r="G16" s="134">
        <v>88.543</v>
      </c>
      <c r="H16" s="134">
        <v>25.157</v>
      </c>
      <c r="I16" s="134">
        <f t="shared" si="1"/>
        <v>14.8185</v>
      </c>
      <c r="J16" s="134">
        <f t="shared" si="2"/>
        <v>16.152165</v>
      </c>
      <c r="K16" s="134">
        <f t="shared" si="4"/>
        <v>195.620665</v>
      </c>
      <c r="L16" s="155">
        <f t="shared" si="3"/>
        <v>82013.96380125</v>
      </c>
      <c r="M16" s="131"/>
      <c r="N16" s="162"/>
      <c r="O16" s="163"/>
      <c r="P16" s="164"/>
      <c r="Q16" s="164"/>
      <c r="R16" s="164"/>
      <c r="S16" s="164"/>
    </row>
    <row r="17" ht="42" customHeight="1" spans="1:19">
      <c r="A17" s="130">
        <v>6</v>
      </c>
      <c r="B17" s="156" t="s">
        <v>226</v>
      </c>
      <c r="C17" s="157" t="s">
        <v>227</v>
      </c>
      <c r="D17" s="156" t="s">
        <v>228</v>
      </c>
      <c r="E17" s="130">
        <f>标准层及地下计算式!J158+标准层及地下计算式!J165+标准层及地下计算式!J183+标准层及地下计算式!J191+标准层及地下计算式!J199+标准层及地下计算式!J207+标准层及地下计算式!J215+标准层及地下计算式!J223+标准层及地下计算式!J231+标准层及地下计算式!J239</f>
        <v>9.68</v>
      </c>
      <c r="F17" s="152">
        <v>36.4</v>
      </c>
      <c r="G17" s="152">
        <v>250.915</v>
      </c>
      <c r="H17" s="152">
        <v>108.315</v>
      </c>
      <c r="I17" s="131">
        <f t="shared" si="1"/>
        <v>35.6067</v>
      </c>
      <c r="J17" s="131">
        <f t="shared" si="2"/>
        <v>38.811303</v>
      </c>
      <c r="K17" s="131">
        <f t="shared" si="4"/>
        <v>470.048003</v>
      </c>
      <c r="L17" s="131">
        <f t="shared" si="3"/>
        <v>4550.06466904</v>
      </c>
      <c r="M17" s="131"/>
      <c r="N17" s="162"/>
      <c r="O17" s="163"/>
      <c r="P17" s="164"/>
      <c r="Q17" s="164"/>
      <c r="R17" s="164"/>
      <c r="S17" s="164"/>
    </row>
    <row r="18" ht="36" customHeight="1" spans="1:19">
      <c r="A18" s="130" t="s">
        <v>37</v>
      </c>
      <c r="B18" s="130" t="s">
        <v>96</v>
      </c>
      <c r="C18" s="130"/>
      <c r="D18" s="130" t="s">
        <v>97</v>
      </c>
      <c r="E18" s="130"/>
      <c r="F18" s="131"/>
      <c r="G18" s="131"/>
      <c r="H18" s="131"/>
      <c r="I18" s="131"/>
      <c r="J18" s="131"/>
      <c r="K18" s="131"/>
      <c r="L18" s="131">
        <f>SUBTOTAL(9,L6:L17)</f>
        <v>4591581.20887123</v>
      </c>
      <c r="M18" s="131"/>
      <c r="N18" s="162"/>
      <c r="O18" s="163"/>
      <c r="P18" s="164"/>
      <c r="Q18" s="164"/>
      <c r="R18" s="164"/>
      <c r="S18" s="164"/>
    </row>
    <row r="19" spans="1:19">
      <c r="A19" s="158" t="s">
        <v>229</v>
      </c>
      <c r="B19" s="158"/>
      <c r="C19" s="158"/>
      <c r="D19" s="158"/>
      <c r="E19" s="158"/>
      <c r="F19" s="158"/>
      <c r="G19" s="158"/>
      <c r="H19" s="158"/>
      <c r="I19" s="158"/>
      <c r="J19" s="158"/>
      <c r="K19" s="166"/>
      <c r="L19" s="158"/>
      <c r="M19" s="158"/>
      <c r="N19" s="167"/>
      <c r="O19" s="167"/>
      <c r="P19" s="167"/>
      <c r="Q19" s="167"/>
      <c r="R19" s="167"/>
      <c r="S19" s="167"/>
    </row>
  </sheetData>
  <autoFilter xmlns:etc="http://www.wps.cn/officeDocument/2017/etCustomData" ref="A4:S19" etc:filterBottomFollowUsedRange="0">
    <extLst/>
  </autoFilter>
  <mergeCells count="15">
    <mergeCell ref="A1:M1"/>
    <mergeCell ref="F2:J2"/>
    <mergeCell ref="B18:C18"/>
    <mergeCell ref="A19:M19"/>
    <mergeCell ref="A2:A4"/>
    <mergeCell ref="B2:B4"/>
    <mergeCell ref="C2:C4"/>
    <mergeCell ref="D2:D4"/>
    <mergeCell ref="E2:E4"/>
    <mergeCell ref="F3:F4"/>
    <mergeCell ref="G3:G4"/>
    <mergeCell ref="H3:H4"/>
    <mergeCell ref="K2:K4"/>
    <mergeCell ref="L2:L4"/>
    <mergeCell ref="M2:M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32"/>
  <sheetViews>
    <sheetView workbookViewId="0">
      <selection activeCell="G8" sqref="G8"/>
    </sheetView>
  </sheetViews>
  <sheetFormatPr defaultColWidth="9" defaultRowHeight="13.5"/>
  <cols>
    <col min="2" max="2" width="22.75" customWidth="1"/>
    <col min="3" max="3" width="38.3833333333333" customWidth="1"/>
    <col min="5" max="11" width="9" style="125"/>
    <col min="12" max="12" width="12.625" style="125"/>
  </cols>
  <sheetData>
    <row r="1" s="124" customFormat="1" ht="44.1" customHeight="1" spans="1:19">
      <c r="A1" s="126" t="s">
        <v>230</v>
      </c>
      <c r="B1" s="127"/>
      <c r="C1" s="126"/>
      <c r="D1" s="126"/>
      <c r="E1" s="128"/>
      <c r="F1" s="128"/>
      <c r="G1" s="128"/>
      <c r="H1" s="128"/>
      <c r="I1" s="128"/>
      <c r="J1" s="128"/>
      <c r="K1" s="128"/>
      <c r="L1" s="128"/>
      <c r="M1" s="126"/>
      <c r="N1" s="143"/>
      <c r="O1" s="143"/>
      <c r="P1" s="143"/>
      <c r="Q1" s="143"/>
      <c r="R1" s="143"/>
      <c r="S1" s="143"/>
    </row>
    <row r="2" s="124" customFormat="1" ht="14.25" spans="1:19">
      <c r="A2" s="129" t="s">
        <v>46</v>
      </c>
      <c r="B2" s="129" t="s">
        <v>47</v>
      </c>
      <c r="C2" s="129" t="s">
        <v>48</v>
      </c>
      <c r="D2" s="129" t="s">
        <v>25</v>
      </c>
      <c r="E2" s="130" t="s">
        <v>49</v>
      </c>
      <c r="F2" s="131" t="s">
        <v>50</v>
      </c>
      <c r="G2" s="131"/>
      <c r="H2" s="131"/>
      <c r="I2" s="131"/>
      <c r="J2" s="131"/>
      <c r="K2" s="131" t="s">
        <v>51</v>
      </c>
      <c r="L2" s="131" t="s">
        <v>52</v>
      </c>
      <c r="M2" s="131" t="s">
        <v>29</v>
      </c>
      <c r="N2" s="144"/>
      <c r="O2" s="144"/>
      <c r="P2" s="144"/>
      <c r="Q2" s="144"/>
      <c r="R2" s="144"/>
      <c r="S2" s="144"/>
    </row>
    <row r="3" s="124" customFormat="1" ht="45" spans="1:19">
      <c r="A3" s="129"/>
      <c r="B3" s="129"/>
      <c r="C3" s="129"/>
      <c r="D3" s="129"/>
      <c r="E3" s="130"/>
      <c r="F3" s="131" t="s">
        <v>53</v>
      </c>
      <c r="G3" s="131" t="s">
        <v>54</v>
      </c>
      <c r="H3" s="131" t="s">
        <v>55</v>
      </c>
      <c r="I3" s="131" t="s">
        <v>56</v>
      </c>
      <c r="J3" s="131" t="s">
        <v>57</v>
      </c>
      <c r="K3" s="131"/>
      <c r="L3" s="131"/>
      <c r="M3" s="131"/>
      <c r="N3" s="144"/>
      <c r="O3" s="144"/>
      <c r="P3" s="144"/>
      <c r="Q3" s="144"/>
      <c r="R3" s="144"/>
      <c r="S3" s="144"/>
    </row>
    <row r="4" s="124" customFormat="1" ht="21.75" customHeight="1" spans="1:19">
      <c r="A4" s="129"/>
      <c r="B4" s="129"/>
      <c r="C4" s="129"/>
      <c r="D4" s="129"/>
      <c r="E4" s="130"/>
      <c r="F4" s="131"/>
      <c r="G4" s="131"/>
      <c r="H4" s="131"/>
      <c r="I4" s="145"/>
      <c r="J4" s="145"/>
      <c r="K4" s="131"/>
      <c r="L4" s="131"/>
      <c r="M4" s="131"/>
      <c r="N4" s="144"/>
      <c r="O4" s="144"/>
      <c r="P4" s="144"/>
      <c r="Q4" s="144"/>
      <c r="R4" s="144"/>
      <c r="S4" s="144"/>
    </row>
    <row r="5" s="124" customFormat="1" ht="33.75" customHeight="1" spans="1:19">
      <c r="A5" s="129" t="s">
        <v>30</v>
      </c>
      <c r="B5" s="129" t="s">
        <v>231</v>
      </c>
      <c r="C5" s="132" t="s">
        <v>232</v>
      </c>
      <c r="D5" s="129"/>
      <c r="E5" s="130"/>
      <c r="F5" s="131"/>
      <c r="G5" s="131"/>
      <c r="H5" s="131"/>
      <c r="I5" s="131"/>
      <c r="J5" s="131"/>
      <c r="K5" s="131"/>
      <c r="L5" s="131">
        <f>SUBTOTAL(9,L6:L12)</f>
        <v>13895.1627727429</v>
      </c>
      <c r="M5" s="131"/>
      <c r="N5" s="146"/>
      <c r="O5" s="147"/>
      <c r="P5" s="148"/>
      <c r="Q5" s="148"/>
      <c r="R5" s="148"/>
      <c r="S5" s="148"/>
    </row>
    <row r="6" s="124" customFormat="1" ht="62.25" customHeight="1" outlineLevel="1" spans="1:19">
      <c r="A6" s="129">
        <v>1</v>
      </c>
      <c r="B6" s="129" t="s">
        <v>233</v>
      </c>
      <c r="C6" s="133" t="s">
        <v>234</v>
      </c>
      <c r="D6" s="129" t="s">
        <v>64</v>
      </c>
      <c r="E6" s="130">
        <v>3.45</v>
      </c>
      <c r="F6" s="134">
        <v>109.6</v>
      </c>
      <c r="G6" s="134">
        <v>142.849</v>
      </c>
      <c r="H6" s="134">
        <v>36.5</v>
      </c>
      <c r="I6" s="131">
        <f t="shared" ref="I6:I12" si="0">(F6+G6+H6)*0.09</f>
        <v>26.00541</v>
      </c>
      <c r="J6" s="131">
        <f t="shared" ref="J6:J12" si="1">(F6+G6+H6+I6)*0.09</f>
        <v>28.3458969</v>
      </c>
      <c r="K6" s="131">
        <f>F6+G6+H6+I6+J6</f>
        <v>343.3003069</v>
      </c>
      <c r="L6" s="131">
        <f>E6*K6</f>
        <v>1184.386058805</v>
      </c>
      <c r="M6" s="131"/>
      <c r="N6" s="146"/>
      <c r="O6" s="147"/>
      <c r="P6" s="148"/>
      <c r="Q6" s="148"/>
      <c r="R6" s="148"/>
      <c r="S6" s="148"/>
    </row>
    <row r="7" ht="86.25" customHeight="1" outlineLevel="1" spans="1:13">
      <c r="A7" s="35">
        <v>2</v>
      </c>
      <c r="B7" s="135" t="s">
        <v>235</v>
      </c>
      <c r="C7" s="136" t="s">
        <v>236</v>
      </c>
      <c r="D7" s="135" t="s">
        <v>237</v>
      </c>
      <c r="E7" s="137">
        <v>17.03</v>
      </c>
      <c r="F7" s="134">
        <f>31.43+40</f>
        <v>71.43</v>
      </c>
      <c r="G7" s="134">
        <v>112</v>
      </c>
      <c r="H7" s="134">
        <v>63.268</v>
      </c>
      <c r="I7" s="131">
        <f t="shared" si="0"/>
        <v>22.20282</v>
      </c>
      <c r="J7" s="131">
        <f t="shared" si="1"/>
        <v>24.2010738</v>
      </c>
      <c r="K7" s="131">
        <f t="shared" ref="K6:K12" si="2">F7+G7+H7+I7+J7</f>
        <v>293.1018938</v>
      </c>
      <c r="L7" s="131">
        <f t="shared" ref="L6:L12" si="3">E7*K7</f>
        <v>4991.525251414</v>
      </c>
      <c r="M7" s="34"/>
    </row>
    <row r="8" ht="54.75" customHeight="1" outlineLevel="1" spans="1:13">
      <c r="A8" s="35">
        <v>3</v>
      </c>
      <c r="B8" s="138" t="s">
        <v>238</v>
      </c>
      <c r="C8" s="139" t="s">
        <v>239</v>
      </c>
      <c r="D8" s="138" t="s">
        <v>64</v>
      </c>
      <c r="E8" s="137">
        <f>2.1*2.5-E9</f>
        <v>4.83</v>
      </c>
      <c r="F8" s="134">
        <v>26.89</v>
      </c>
      <c r="G8" s="134">
        <v>388.913</v>
      </c>
      <c r="H8" s="134">
        <v>166.677</v>
      </c>
      <c r="I8" s="131">
        <f t="shared" si="0"/>
        <v>52.4232</v>
      </c>
      <c r="J8" s="131">
        <f t="shared" si="1"/>
        <v>57.141288</v>
      </c>
      <c r="K8" s="131">
        <f t="shared" si="2"/>
        <v>692.044488</v>
      </c>
      <c r="L8" s="131">
        <f t="shared" si="3"/>
        <v>3342.57487704</v>
      </c>
      <c r="M8" s="34"/>
    </row>
    <row r="9" ht="104.25" customHeight="1" outlineLevel="1" spans="1:13">
      <c r="A9" s="35">
        <v>4</v>
      </c>
      <c r="B9" s="138" t="s">
        <v>240</v>
      </c>
      <c r="C9" s="136" t="s">
        <v>241</v>
      </c>
      <c r="D9" s="135" t="s">
        <v>237</v>
      </c>
      <c r="E9" s="140">
        <f>0.2*2.1</f>
        <v>0.42</v>
      </c>
      <c r="F9" s="134">
        <v>180.69</v>
      </c>
      <c r="G9" s="134">
        <v>380.25</v>
      </c>
      <c r="H9" s="134">
        <f>G9*0.3</f>
        <v>114.075</v>
      </c>
      <c r="I9" s="131">
        <f t="shared" si="0"/>
        <v>60.75135</v>
      </c>
      <c r="J9" s="131">
        <f t="shared" si="1"/>
        <v>66.2189715</v>
      </c>
      <c r="K9" s="131">
        <f t="shared" si="2"/>
        <v>801.9853215</v>
      </c>
      <c r="L9" s="131">
        <f t="shared" si="3"/>
        <v>336.83383503</v>
      </c>
      <c r="M9" s="34"/>
    </row>
    <row r="10" ht="67.5" customHeight="1" outlineLevel="1" spans="1:13">
      <c r="A10" s="35">
        <v>5</v>
      </c>
      <c r="B10" s="141" t="s">
        <v>242</v>
      </c>
      <c r="C10" s="136" t="s">
        <v>243</v>
      </c>
      <c r="D10" s="141" t="s">
        <v>64</v>
      </c>
      <c r="E10" s="137">
        <f>(0.5+0.4+0.95)*2.47</f>
        <v>4.5695</v>
      </c>
      <c r="F10" s="134">
        <v>130</v>
      </c>
      <c r="G10" s="134">
        <v>240</v>
      </c>
      <c r="H10" s="134">
        <v>37.142</v>
      </c>
      <c r="I10" s="131">
        <f t="shared" si="0"/>
        <v>36.64278</v>
      </c>
      <c r="J10" s="131">
        <f t="shared" si="1"/>
        <v>39.9406302</v>
      </c>
      <c r="K10" s="131">
        <f t="shared" si="2"/>
        <v>483.7254102</v>
      </c>
      <c r="L10" s="131">
        <f t="shared" si="3"/>
        <v>2210.3832619089</v>
      </c>
      <c r="M10" s="34"/>
    </row>
    <row r="11" ht="75" customHeight="1" outlineLevel="1" spans="1:13">
      <c r="A11" s="35">
        <v>6</v>
      </c>
      <c r="B11" s="141" t="s">
        <v>244</v>
      </c>
      <c r="C11" s="136" t="s">
        <v>245</v>
      </c>
      <c r="D11" s="141" t="s">
        <v>78</v>
      </c>
      <c r="E11" s="137">
        <f>0.9+1.7</f>
        <v>2.6</v>
      </c>
      <c r="F11" s="134">
        <v>6.74</v>
      </c>
      <c r="G11" s="134">
        <v>14.018</v>
      </c>
      <c r="H11" s="134">
        <v>4.772</v>
      </c>
      <c r="I11" s="131">
        <f t="shared" si="0"/>
        <v>2.2977</v>
      </c>
      <c r="J11" s="131">
        <f t="shared" si="1"/>
        <v>2.504493</v>
      </c>
      <c r="K11" s="131">
        <f t="shared" si="2"/>
        <v>30.332193</v>
      </c>
      <c r="L11" s="131">
        <f t="shared" si="3"/>
        <v>78.8637018</v>
      </c>
      <c r="M11" s="34"/>
    </row>
    <row r="12" ht="77.25" customHeight="1" outlineLevel="1" spans="1:13">
      <c r="A12" s="35">
        <v>7</v>
      </c>
      <c r="B12" s="141" t="s">
        <v>246</v>
      </c>
      <c r="C12" s="136" t="s">
        <v>247</v>
      </c>
      <c r="D12" s="141" t="s">
        <v>237</v>
      </c>
      <c r="E12" s="137">
        <f>0.75*2.47</f>
        <v>1.8525</v>
      </c>
      <c r="F12" s="134">
        <v>194.56</v>
      </c>
      <c r="G12" s="134">
        <v>356.23</v>
      </c>
      <c r="H12" s="134">
        <v>244.59</v>
      </c>
      <c r="I12" s="131">
        <f t="shared" si="0"/>
        <v>71.5842</v>
      </c>
      <c r="J12" s="131">
        <f t="shared" si="1"/>
        <v>78.026778</v>
      </c>
      <c r="K12" s="131">
        <f t="shared" si="2"/>
        <v>944.990978</v>
      </c>
      <c r="L12" s="131">
        <f t="shared" si="3"/>
        <v>1750.595786745</v>
      </c>
      <c r="M12" s="34"/>
    </row>
    <row r="13" ht="33" customHeight="1" spans="1:13">
      <c r="A13" s="129" t="s">
        <v>33</v>
      </c>
      <c r="B13" s="129" t="s">
        <v>248</v>
      </c>
      <c r="C13" s="129"/>
      <c r="D13" s="34"/>
      <c r="E13" s="137"/>
      <c r="F13" s="137"/>
      <c r="G13" s="137"/>
      <c r="H13" s="137"/>
      <c r="I13" s="137"/>
      <c r="J13" s="137"/>
      <c r="K13" s="137"/>
      <c r="L13" s="137">
        <f>SUM(L14:L20)</f>
        <v>12653.3059782819</v>
      </c>
      <c r="M13" s="34"/>
    </row>
    <row r="14" ht="72" customHeight="1" outlineLevel="1" spans="1:13">
      <c r="A14" s="129">
        <v>1</v>
      </c>
      <c r="B14" s="129" t="s">
        <v>233</v>
      </c>
      <c r="C14" s="133" t="s">
        <v>234</v>
      </c>
      <c r="D14" s="129" t="s">
        <v>64</v>
      </c>
      <c r="E14" s="130">
        <v>3.85</v>
      </c>
      <c r="F14" s="134">
        <v>109.6</v>
      </c>
      <c r="G14" s="134">
        <v>142.849</v>
      </c>
      <c r="H14" s="134">
        <v>36.5</v>
      </c>
      <c r="I14" s="131">
        <f>(F14+G14+H14)*0.09</f>
        <v>26.00541</v>
      </c>
      <c r="J14" s="131">
        <f>(F14+G14+H14+I14)*0.09</f>
        <v>28.3458969</v>
      </c>
      <c r="K14" s="131">
        <f>F14+G14+H14+I14+J14</f>
        <v>343.3003069</v>
      </c>
      <c r="L14" s="131">
        <f>E14*K14</f>
        <v>1321.706181565</v>
      </c>
      <c r="M14" s="34"/>
    </row>
    <row r="15" ht="72" customHeight="1" outlineLevel="1" spans="1:13">
      <c r="A15" s="35">
        <v>2</v>
      </c>
      <c r="B15" s="135" t="s">
        <v>235</v>
      </c>
      <c r="C15" s="136" t="s">
        <v>236</v>
      </c>
      <c r="D15" s="135" t="s">
        <v>237</v>
      </c>
      <c r="E15" s="137">
        <v>16.58</v>
      </c>
      <c r="F15" s="134">
        <f>31.43+40</f>
        <v>71.43</v>
      </c>
      <c r="G15" s="134">
        <v>112</v>
      </c>
      <c r="H15" s="134">
        <v>63.268</v>
      </c>
      <c r="I15" s="131">
        <f>(F15+G15+H15)*0.09</f>
        <v>22.20282</v>
      </c>
      <c r="J15" s="131">
        <f>(F15+G15+H15+I15)*0.09</f>
        <v>24.2010738</v>
      </c>
      <c r="K15" s="131">
        <f>F15+G15+H15+I15+J15</f>
        <v>293.1018938</v>
      </c>
      <c r="L15" s="131">
        <f>E15*K15</f>
        <v>4859.629399204</v>
      </c>
      <c r="M15" s="34"/>
    </row>
    <row r="16" ht="72" customHeight="1" outlineLevel="1" spans="1:13">
      <c r="A16" s="35">
        <v>3</v>
      </c>
      <c r="B16" s="138" t="s">
        <v>238</v>
      </c>
      <c r="C16" s="139" t="s">
        <v>249</v>
      </c>
      <c r="D16" s="138" t="s">
        <v>64</v>
      </c>
      <c r="E16" s="137">
        <f>1.5*2.3</f>
        <v>3.45</v>
      </c>
      <c r="F16" s="134">
        <v>26.89</v>
      </c>
      <c r="G16" s="134">
        <v>388.913</v>
      </c>
      <c r="H16" s="134">
        <v>166.677</v>
      </c>
      <c r="I16" s="131">
        <f t="shared" ref="I14:I20" si="4">(F16+G16+H16)*0.09</f>
        <v>52.4232</v>
      </c>
      <c r="J16" s="131">
        <f t="shared" ref="J14:J20" si="5">(F16+G16+H16+I16)*0.09</f>
        <v>57.141288</v>
      </c>
      <c r="K16" s="131">
        <f t="shared" ref="K14:K20" si="6">F16+G16+H16+I16+J16</f>
        <v>692.044488</v>
      </c>
      <c r="L16" s="131">
        <f t="shared" ref="L14:L20" si="7">E16*K16</f>
        <v>2387.5534836</v>
      </c>
      <c r="M16" s="34"/>
    </row>
    <row r="17" ht="72" customHeight="1" outlineLevel="1" spans="1:13">
      <c r="A17" s="35">
        <v>4</v>
      </c>
      <c r="B17" s="138" t="s">
        <v>240</v>
      </c>
      <c r="C17" s="136" t="s">
        <v>241</v>
      </c>
      <c r="D17" s="135" t="s">
        <v>237</v>
      </c>
      <c r="E17" s="140">
        <f>0.2*1.5</f>
        <v>0.3</v>
      </c>
      <c r="F17" s="134">
        <v>180.69</v>
      </c>
      <c r="G17" s="134">
        <v>380.25</v>
      </c>
      <c r="H17" s="134">
        <f>G17*0.3</f>
        <v>114.075</v>
      </c>
      <c r="I17" s="131">
        <f t="shared" si="4"/>
        <v>60.75135</v>
      </c>
      <c r="J17" s="131">
        <f t="shared" si="5"/>
        <v>66.2189715</v>
      </c>
      <c r="K17" s="131">
        <f t="shared" si="6"/>
        <v>801.9853215</v>
      </c>
      <c r="L17" s="131">
        <f t="shared" si="7"/>
        <v>240.59559645</v>
      </c>
      <c r="M17" s="34"/>
    </row>
    <row r="18" ht="72" customHeight="1" outlineLevel="1" spans="1:13">
      <c r="A18" s="35">
        <v>5</v>
      </c>
      <c r="B18" s="135" t="s">
        <v>242</v>
      </c>
      <c r="C18" s="136" t="s">
        <v>243</v>
      </c>
      <c r="D18" s="135" t="s">
        <v>64</v>
      </c>
      <c r="E18" s="137">
        <f>(0.47*2+0.7+0.05)*2.47</f>
        <v>4.1743</v>
      </c>
      <c r="F18" s="134">
        <v>130</v>
      </c>
      <c r="G18" s="134">
        <v>240</v>
      </c>
      <c r="H18" s="134">
        <v>37.142</v>
      </c>
      <c r="I18" s="131">
        <f t="shared" si="4"/>
        <v>36.64278</v>
      </c>
      <c r="J18" s="131">
        <f t="shared" si="5"/>
        <v>39.9406302</v>
      </c>
      <c r="K18" s="131">
        <f t="shared" si="6"/>
        <v>483.7254102</v>
      </c>
      <c r="L18" s="131">
        <f t="shared" si="7"/>
        <v>2019.21497979786</v>
      </c>
      <c r="M18" s="34"/>
    </row>
    <row r="19" ht="72" customHeight="1" outlineLevel="1" spans="1:13">
      <c r="A19" s="35">
        <v>6</v>
      </c>
      <c r="B19" s="135" t="s">
        <v>244</v>
      </c>
      <c r="C19" s="136" t="s">
        <v>245</v>
      </c>
      <c r="D19" s="135" t="s">
        <v>78</v>
      </c>
      <c r="E19" s="137">
        <f>0.75+0.7+0.47*2+0.05</f>
        <v>2.44</v>
      </c>
      <c r="F19" s="134">
        <v>6.74</v>
      </c>
      <c r="G19" s="134">
        <v>14.018</v>
      </c>
      <c r="H19" s="134">
        <v>4.772</v>
      </c>
      <c r="I19" s="131">
        <f t="shared" si="4"/>
        <v>2.2977</v>
      </c>
      <c r="J19" s="131">
        <f t="shared" si="5"/>
        <v>2.504493</v>
      </c>
      <c r="K19" s="131">
        <f t="shared" si="6"/>
        <v>30.332193</v>
      </c>
      <c r="L19" s="131">
        <f t="shared" si="7"/>
        <v>74.01055092</v>
      </c>
      <c r="M19" s="34"/>
    </row>
    <row r="20" ht="80" customHeight="1" outlineLevel="1" spans="1:13">
      <c r="A20" s="35">
        <v>7</v>
      </c>
      <c r="B20" s="135" t="s">
        <v>246</v>
      </c>
      <c r="C20" s="136" t="s">
        <v>247</v>
      </c>
      <c r="D20" s="135" t="s">
        <v>237</v>
      </c>
      <c r="E20" s="137">
        <f>0.75*2.47</f>
        <v>1.8525</v>
      </c>
      <c r="F20" s="134">
        <v>194.56</v>
      </c>
      <c r="G20" s="134">
        <v>356.23</v>
      </c>
      <c r="H20" s="134">
        <v>244.59</v>
      </c>
      <c r="I20" s="131">
        <f t="shared" si="4"/>
        <v>71.5842</v>
      </c>
      <c r="J20" s="131">
        <f t="shared" si="5"/>
        <v>78.026778</v>
      </c>
      <c r="K20" s="131">
        <f t="shared" si="6"/>
        <v>944.990978</v>
      </c>
      <c r="L20" s="131">
        <f t="shared" si="7"/>
        <v>1750.595786745</v>
      </c>
      <c r="M20" s="34"/>
    </row>
    <row r="21" ht="33" customHeight="1" spans="1:13">
      <c r="A21" s="129" t="s">
        <v>35</v>
      </c>
      <c r="B21" s="129" t="s">
        <v>250</v>
      </c>
      <c r="C21" s="129"/>
      <c r="D21" s="34"/>
      <c r="E21" s="137"/>
      <c r="F21" s="137"/>
      <c r="G21" s="137"/>
      <c r="H21" s="137"/>
      <c r="I21" s="137"/>
      <c r="J21" s="137"/>
      <c r="K21" s="137"/>
      <c r="L21" s="137">
        <f>SUM(L22:L28)</f>
        <v>17249.5092649802</v>
      </c>
      <c r="M21" s="34"/>
    </row>
    <row r="22" ht="72" customHeight="1" outlineLevel="1" spans="1:13">
      <c r="A22" s="129">
        <v>1</v>
      </c>
      <c r="B22" s="129" t="s">
        <v>233</v>
      </c>
      <c r="C22" s="133" t="s">
        <v>234</v>
      </c>
      <c r="D22" s="129" t="s">
        <v>64</v>
      </c>
      <c r="E22" s="130">
        <v>5.59</v>
      </c>
      <c r="F22" s="134">
        <v>109.6</v>
      </c>
      <c r="G22" s="134">
        <v>142.849</v>
      </c>
      <c r="H22" s="134">
        <v>36.5</v>
      </c>
      <c r="I22" s="131">
        <f>(F22+G22+H22)*0.09</f>
        <v>26.00541</v>
      </c>
      <c r="J22" s="131">
        <f>(F22+G22+H22+I22)*0.09</f>
        <v>28.3458969</v>
      </c>
      <c r="K22" s="131">
        <f>F22+G22+H22+I22+J22</f>
        <v>343.3003069</v>
      </c>
      <c r="L22" s="131">
        <f>E22*K22</f>
        <v>1919.048715571</v>
      </c>
      <c r="M22" s="34"/>
    </row>
    <row r="23" ht="72" customHeight="1" outlineLevel="1" spans="1:13">
      <c r="A23" s="35">
        <v>2</v>
      </c>
      <c r="B23" s="135" t="s">
        <v>235</v>
      </c>
      <c r="C23" s="136" t="s">
        <v>236</v>
      </c>
      <c r="D23" s="135" t="s">
        <v>237</v>
      </c>
      <c r="E23" s="137">
        <v>20.34</v>
      </c>
      <c r="F23" s="134">
        <f>31.43+40</f>
        <v>71.43</v>
      </c>
      <c r="G23" s="134">
        <v>112</v>
      </c>
      <c r="H23" s="134">
        <v>63.268</v>
      </c>
      <c r="I23" s="131">
        <f>(F23+G23+H23)*0.09</f>
        <v>22.20282</v>
      </c>
      <c r="J23" s="131">
        <f>(F23+G23+H23+I23)*0.09</f>
        <v>24.2010738</v>
      </c>
      <c r="K23" s="131">
        <f>F23+G23+H23+I23+J23</f>
        <v>293.1018938</v>
      </c>
      <c r="L23" s="131">
        <f>E23*K23</f>
        <v>5961.692519892</v>
      </c>
      <c r="M23" s="34"/>
    </row>
    <row r="24" ht="72" customHeight="1" outlineLevel="1" spans="1:13">
      <c r="A24" s="35">
        <v>3</v>
      </c>
      <c r="B24" s="138" t="s">
        <v>238</v>
      </c>
      <c r="C24" s="139" t="s">
        <v>249</v>
      </c>
      <c r="D24" s="138" t="s">
        <v>64</v>
      </c>
      <c r="E24" s="137">
        <f>1.5*2.3</f>
        <v>3.45</v>
      </c>
      <c r="F24" s="134">
        <v>26.89</v>
      </c>
      <c r="G24" s="134">
        <v>388.913</v>
      </c>
      <c r="H24" s="134">
        <v>166.677</v>
      </c>
      <c r="I24" s="131">
        <f t="shared" ref="I22:I28" si="8">(F24+G24+H24)*0.09</f>
        <v>52.4232</v>
      </c>
      <c r="J24" s="131">
        <f t="shared" ref="J22:J28" si="9">(F24+G24+H24+I24)*0.09</f>
        <v>57.141288</v>
      </c>
      <c r="K24" s="131">
        <f t="shared" ref="K22:K28" si="10">F24+G24+H24+I24+J24</f>
        <v>692.044488</v>
      </c>
      <c r="L24" s="131">
        <f t="shared" ref="L22:L28" si="11">E24*K24</f>
        <v>2387.5534836</v>
      </c>
      <c r="M24" s="34"/>
    </row>
    <row r="25" ht="72" customHeight="1" outlineLevel="1" spans="1:13">
      <c r="A25" s="35">
        <v>4</v>
      </c>
      <c r="B25" s="138" t="s">
        <v>240</v>
      </c>
      <c r="C25" s="136" t="s">
        <v>241</v>
      </c>
      <c r="D25" s="135" t="s">
        <v>237</v>
      </c>
      <c r="E25" s="140">
        <f>0.2*1.5</f>
        <v>0.3</v>
      </c>
      <c r="F25" s="134">
        <v>180.69</v>
      </c>
      <c r="G25" s="134">
        <v>380.25</v>
      </c>
      <c r="H25" s="134">
        <f>G25*0.3</f>
        <v>114.075</v>
      </c>
      <c r="I25" s="131">
        <f t="shared" si="8"/>
        <v>60.75135</v>
      </c>
      <c r="J25" s="131">
        <f t="shared" si="9"/>
        <v>66.2189715</v>
      </c>
      <c r="K25" s="131">
        <f t="shared" si="10"/>
        <v>801.9853215</v>
      </c>
      <c r="L25" s="131">
        <f t="shared" si="11"/>
        <v>240.59559645</v>
      </c>
      <c r="M25" s="34"/>
    </row>
    <row r="26" ht="72" customHeight="1" outlineLevel="1" spans="1:13">
      <c r="A26" s="35">
        <v>5</v>
      </c>
      <c r="B26" s="141" t="s">
        <v>242</v>
      </c>
      <c r="C26" s="136" t="s">
        <v>243</v>
      </c>
      <c r="D26" s="135" t="s">
        <v>64</v>
      </c>
      <c r="E26" s="137">
        <f>(4*0.7)*2.47</f>
        <v>6.916</v>
      </c>
      <c r="F26" s="134">
        <v>130</v>
      </c>
      <c r="G26" s="134">
        <v>240</v>
      </c>
      <c r="H26" s="134">
        <v>37.142</v>
      </c>
      <c r="I26" s="131">
        <f t="shared" si="8"/>
        <v>36.64278</v>
      </c>
      <c r="J26" s="131">
        <f t="shared" si="9"/>
        <v>39.9406302</v>
      </c>
      <c r="K26" s="131">
        <f t="shared" si="10"/>
        <v>483.7254102</v>
      </c>
      <c r="L26" s="131">
        <f t="shared" si="11"/>
        <v>3345.4449369432</v>
      </c>
      <c r="M26" s="34"/>
    </row>
    <row r="27" ht="72" customHeight="1" outlineLevel="1" spans="1:13">
      <c r="A27" s="35">
        <v>6</v>
      </c>
      <c r="B27" s="141" t="s">
        <v>244</v>
      </c>
      <c r="C27" s="136" t="s">
        <v>245</v>
      </c>
      <c r="D27" s="135" t="s">
        <v>78</v>
      </c>
      <c r="E27" s="137">
        <f>5.85-1.65</f>
        <v>4.2</v>
      </c>
      <c r="F27" s="134">
        <v>6.74</v>
      </c>
      <c r="G27" s="134">
        <v>14.018</v>
      </c>
      <c r="H27" s="134">
        <v>4.772</v>
      </c>
      <c r="I27" s="131">
        <f t="shared" si="8"/>
        <v>2.2977</v>
      </c>
      <c r="J27" s="131">
        <f t="shared" si="9"/>
        <v>2.504493</v>
      </c>
      <c r="K27" s="131">
        <f t="shared" si="10"/>
        <v>30.332193</v>
      </c>
      <c r="L27" s="131">
        <f t="shared" si="11"/>
        <v>127.3952106</v>
      </c>
      <c r="M27" s="34"/>
    </row>
    <row r="28" ht="72" customHeight="1" outlineLevel="1" spans="1:13">
      <c r="A28" s="35">
        <v>7</v>
      </c>
      <c r="B28" s="141" t="s">
        <v>246</v>
      </c>
      <c r="C28" s="136" t="s">
        <v>247</v>
      </c>
      <c r="D28" s="135" t="s">
        <v>237</v>
      </c>
      <c r="E28" s="137">
        <f>1.4*2.47</f>
        <v>3.458</v>
      </c>
      <c r="F28" s="134">
        <v>194.56</v>
      </c>
      <c r="G28" s="134">
        <v>356.23</v>
      </c>
      <c r="H28" s="134">
        <v>244.59</v>
      </c>
      <c r="I28" s="131">
        <f t="shared" si="8"/>
        <v>71.5842</v>
      </c>
      <c r="J28" s="131">
        <f t="shared" si="9"/>
        <v>78.026778</v>
      </c>
      <c r="K28" s="131">
        <f t="shared" si="10"/>
        <v>944.990978</v>
      </c>
      <c r="L28" s="131">
        <f t="shared" si="11"/>
        <v>3267.778801924</v>
      </c>
      <c r="M28" s="34"/>
    </row>
    <row r="29" ht="33" customHeight="1" spans="1:13">
      <c r="A29" s="129" t="s">
        <v>37</v>
      </c>
      <c r="B29" s="129" t="s">
        <v>251</v>
      </c>
      <c r="C29" s="129"/>
      <c r="D29" s="34"/>
      <c r="E29" s="137"/>
      <c r="F29" s="137"/>
      <c r="G29" s="137"/>
      <c r="H29" s="137"/>
      <c r="I29" s="137"/>
      <c r="J29" s="137"/>
      <c r="K29" s="137"/>
      <c r="L29" s="137">
        <f>SUM(L30:L36)</f>
        <v>16000.4176834876</v>
      </c>
      <c r="M29" s="34"/>
    </row>
    <row r="30" ht="72" customHeight="1" outlineLevel="1" spans="1:13">
      <c r="A30" s="129">
        <v>1</v>
      </c>
      <c r="B30" s="129" t="s">
        <v>233</v>
      </c>
      <c r="C30" s="133" t="s">
        <v>234</v>
      </c>
      <c r="D30" s="129" t="s">
        <v>64</v>
      </c>
      <c r="E30" s="130">
        <v>4.23</v>
      </c>
      <c r="F30" s="134">
        <v>109.6</v>
      </c>
      <c r="G30" s="134">
        <v>142.849</v>
      </c>
      <c r="H30" s="134">
        <v>36.5</v>
      </c>
      <c r="I30" s="131">
        <f>(F30+G30+H30)*0.09</f>
        <v>26.00541</v>
      </c>
      <c r="J30" s="131">
        <f>(F30+G30+H30+I30)*0.09</f>
        <v>28.3458969</v>
      </c>
      <c r="K30" s="131">
        <f>F30+G30+H30+I30+J30</f>
        <v>343.3003069</v>
      </c>
      <c r="L30" s="131">
        <f>E30*K30</f>
        <v>1452.160298187</v>
      </c>
      <c r="M30" s="34"/>
    </row>
    <row r="31" ht="72" customHeight="1" outlineLevel="1" spans="1:13">
      <c r="A31" s="35">
        <v>2</v>
      </c>
      <c r="B31" s="135" t="s">
        <v>235</v>
      </c>
      <c r="C31" s="136" t="s">
        <v>236</v>
      </c>
      <c r="D31" s="135" t="s">
        <v>237</v>
      </c>
      <c r="E31" s="137">
        <v>18.22</v>
      </c>
      <c r="F31" s="134">
        <f>31.43+40</f>
        <v>71.43</v>
      </c>
      <c r="G31" s="134">
        <v>112</v>
      </c>
      <c r="H31" s="134">
        <v>63.268</v>
      </c>
      <c r="I31" s="131">
        <f>(F31+G31+H31)*0.09</f>
        <v>22.20282</v>
      </c>
      <c r="J31" s="131">
        <f>(F31+G31+H31+I31)*0.09</f>
        <v>24.2010738</v>
      </c>
      <c r="K31" s="131">
        <f>F31+G31+H31+I31+J31</f>
        <v>293.1018938</v>
      </c>
      <c r="L31" s="131">
        <f>E31*K31</f>
        <v>5340.316505036</v>
      </c>
      <c r="M31" s="34"/>
    </row>
    <row r="32" ht="72" customHeight="1" outlineLevel="1" spans="1:13">
      <c r="A32" s="35">
        <v>3</v>
      </c>
      <c r="B32" s="138" t="s">
        <v>238</v>
      </c>
      <c r="C32" s="139" t="s">
        <v>249</v>
      </c>
      <c r="D32" s="138" t="s">
        <v>64</v>
      </c>
      <c r="E32" s="137">
        <f>2.1*2.3</f>
        <v>4.83</v>
      </c>
      <c r="F32" s="134">
        <v>26.89</v>
      </c>
      <c r="G32" s="134">
        <v>388.913</v>
      </c>
      <c r="H32" s="134">
        <v>166.677</v>
      </c>
      <c r="I32" s="131">
        <f t="shared" ref="I30:I36" si="12">(F32+G32+H32)*0.09</f>
        <v>52.4232</v>
      </c>
      <c r="J32" s="131">
        <f t="shared" ref="J30:J36" si="13">(F32+G32+H32+I32)*0.09</f>
        <v>57.141288</v>
      </c>
      <c r="K32" s="131">
        <f t="shared" ref="K30:K36" si="14">F32+G32+H32+I32+J32</f>
        <v>692.044488</v>
      </c>
      <c r="L32" s="131">
        <f t="shared" ref="L30:L36" si="15">E32*K32</f>
        <v>3342.57487704</v>
      </c>
      <c r="M32" s="34"/>
    </row>
    <row r="33" ht="72" customHeight="1" outlineLevel="1" spans="1:13">
      <c r="A33" s="35">
        <v>4</v>
      </c>
      <c r="B33" s="138" t="s">
        <v>240</v>
      </c>
      <c r="C33" s="136" t="s">
        <v>241</v>
      </c>
      <c r="D33" s="135" t="s">
        <v>237</v>
      </c>
      <c r="E33" s="140">
        <f>0.2*2.1</f>
        <v>0.42</v>
      </c>
      <c r="F33" s="134">
        <v>180.69</v>
      </c>
      <c r="G33" s="134">
        <v>380.25</v>
      </c>
      <c r="H33" s="134">
        <f>G33*0.3</f>
        <v>114.075</v>
      </c>
      <c r="I33" s="131">
        <f t="shared" si="12"/>
        <v>60.75135</v>
      </c>
      <c r="J33" s="131">
        <f t="shared" si="13"/>
        <v>66.2189715</v>
      </c>
      <c r="K33" s="131">
        <f t="shared" si="14"/>
        <v>801.9853215</v>
      </c>
      <c r="L33" s="131">
        <f t="shared" si="15"/>
        <v>336.83383503</v>
      </c>
      <c r="M33" s="34"/>
    </row>
    <row r="34" ht="72" customHeight="1" outlineLevel="1" spans="1:13">
      <c r="A34" s="35">
        <v>5</v>
      </c>
      <c r="B34" s="141" t="s">
        <v>242</v>
      </c>
      <c r="C34" s="136" t="s">
        <v>243</v>
      </c>
      <c r="D34" s="135" t="s">
        <v>64</v>
      </c>
      <c r="E34" s="137">
        <f>(1.745+0.375+0.945)*2.47</f>
        <v>7.57055</v>
      </c>
      <c r="F34" s="134">
        <v>130</v>
      </c>
      <c r="G34" s="134">
        <v>240</v>
      </c>
      <c r="H34" s="134">
        <v>37.142</v>
      </c>
      <c r="I34" s="131">
        <f t="shared" si="12"/>
        <v>36.64278</v>
      </c>
      <c r="J34" s="131">
        <f t="shared" si="13"/>
        <v>39.9406302</v>
      </c>
      <c r="K34" s="131">
        <f t="shared" si="14"/>
        <v>483.7254102</v>
      </c>
      <c r="L34" s="131">
        <f t="shared" si="15"/>
        <v>3662.06740418961</v>
      </c>
      <c r="M34" s="34"/>
    </row>
    <row r="35" ht="72" customHeight="1" outlineLevel="1" spans="1:13">
      <c r="A35" s="35">
        <v>6</v>
      </c>
      <c r="B35" s="141" t="s">
        <v>244</v>
      </c>
      <c r="C35" s="136" t="s">
        <v>245</v>
      </c>
      <c r="D35" s="135" t="s">
        <v>78</v>
      </c>
      <c r="E35" s="137">
        <f>(1.745+0.375+1.7)</f>
        <v>3.82</v>
      </c>
      <c r="F35" s="134">
        <v>6.74</v>
      </c>
      <c r="G35" s="134">
        <v>14.018</v>
      </c>
      <c r="H35" s="134">
        <v>4.772</v>
      </c>
      <c r="I35" s="131">
        <f t="shared" si="12"/>
        <v>2.2977</v>
      </c>
      <c r="J35" s="131">
        <f t="shared" si="13"/>
        <v>2.504493</v>
      </c>
      <c r="K35" s="131">
        <f t="shared" si="14"/>
        <v>30.332193</v>
      </c>
      <c r="L35" s="131">
        <f t="shared" si="15"/>
        <v>115.86897726</v>
      </c>
      <c r="M35" s="34"/>
    </row>
    <row r="36" ht="72" customHeight="1" outlineLevel="1" spans="1:13">
      <c r="A36" s="35">
        <v>7</v>
      </c>
      <c r="B36" s="141" t="s">
        <v>246</v>
      </c>
      <c r="C36" s="136" t="s">
        <v>247</v>
      </c>
      <c r="D36" s="135" t="s">
        <v>237</v>
      </c>
      <c r="E36" s="137">
        <f>0.75*2.47</f>
        <v>1.8525</v>
      </c>
      <c r="F36" s="134">
        <v>194.56</v>
      </c>
      <c r="G36" s="134">
        <v>356.23</v>
      </c>
      <c r="H36" s="134">
        <v>244.59</v>
      </c>
      <c r="I36" s="131">
        <f t="shared" si="12"/>
        <v>71.5842</v>
      </c>
      <c r="J36" s="131">
        <f t="shared" si="13"/>
        <v>78.026778</v>
      </c>
      <c r="K36" s="131">
        <f t="shared" si="14"/>
        <v>944.990978</v>
      </c>
      <c r="L36" s="131">
        <f t="shared" si="15"/>
        <v>1750.595786745</v>
      </c>
      <c r="M36" s="34"/>
    </row>
    <row r="37" ht="33" customHeight="1" spans="1:13">
      <c r="A37" s="129" t="s">
        <v>40</v>
      </c>
      <c r="B37" s="129" t="s">
        <v>252</v>
      </c>
      <c r="C37" s="129"/>
      <c r="D37" s="34"/>
      <c r="E37" s="137"/>
      <c r="F37" s="137"/>
      <c r="G37" s="137"/>
      <c r="H37" s="137"/>
      <c r="I37" s="137"/>
      <c r="J37" s="137"/>
      <c r="K37" s="137"/>
      <c r="L37" s="137">
        <f>SUM(L38:L44)</f>
        <v>14661.640681997</v>
      </c>
      <c r="M37" s="34"/>
    </row>
    <row r="38" ht="72" customHeight="1" outlineLevel="1" spans="1:13">
      <c r="A38" s="129">
        <v>1</v>
      </c>
      <c r="B38" s="129" t="s">
        <v>233</v>
      </c>
      <c r="C38" s="133" t="s">
        <v>234</v>
      </c>
      <c r="D38" s="129" t="s">
        <v>64</v>
      </c>
      <c r="E38" s="130">
        <v>4.44</v>
      </c>
      <c r="F38" s="134">
        <v>109.6</v>
      </c>
      <c r="G38" s="134">
        <v>142.849</v>
      </c>
      <c r="H38" s="134">
        <v>36.5</v>
      </c>
      <c r="I38" s="131">
        <f>(F38+G38+H38)*0.09</f>
        <v>26.00541</v>
      </c>
      <c r="J38" s="131">
        <f>(F38+G38+H38+I38)*0.09</f>
        <v>28.3458969</v>
      </c>
      <c r="K38" s="131">
        <f>F38+G38+H38+I38+J38</f>
        <v>343.3003069</v>
      </c>
      <c r="L38" s="131">
        <f>E38*K38</f>
        <v>1524.253362636</v>
      </c>
      <c r="M38" s="34"/>
    </row>
    <row r="39" ht="72" customHeight="1" outlineLevel="1" spans="1:13">
      <c r="A39" s="35">
        <v>2</v>
      </c>
      <c r="B39" s="135" t="s">
        <v>235</v>
      </c>
      <c r="C39" s="136" t="s">
        <v>236</v>
      </c>
      <c r="D39" s="135" t="s">
        <v>237</v>
      </c>
      <c r="E39" s="140">
        <v>18.59</v>
      </c>
      <c r="F39" s="134">
        <f>31.43+40</f>
        <v>71.43</v>
      </c>
      <c r="G39" s="134">
        <v>112</v>
      </c>
      <c r="H39" s="134">
        <v>63.268</v>
      </c>
      <c r="I39" s="131">
        <f>(F39+G39+H39)*0.09</f>
        <v>22.20282</v>
      </c>
      <c r="J39" s="131">
        <f>(F39+G39+H39+I39)*0.09</f>
        <v>24.2010738</v>
      </c>
      <c r="K39" s="131">
        <f>F39+G39+H39+I39+J39</f>
        <v>293.1018938</v>
      </c>
      <c r="L39" s="131">
        <f>E39*K39</f>
        <v>5448.764205742</v>
      </c>
      <c r="M39" s="34"/>
    </row>
    <row r="40" ht="72" customHeight="1" outlineLevel="1" spans="1:13">
      <c r="A40" s="35">
        <v>3</v>
      </c>
      <c r="B40" s="138" t="s">
        <v>238</v>
      </c>
      <c r="C40" s="139" t="s">
        <v>249</v>
      </c>
      <c r="D40" s="138" t="s">
        <v>64</v>
      </c>
      <c r="E40" s="137">
        <f>2.1*2.3</f>
        <v>4.83</v>
      </c>
      <c r="F40" s="134">
        <v>26.89</v>
      </c>
      <c r="G40" s="134">
        <v>388.913</v>
      </c>
      <c r="H40" s="134">
        <v>166.677</v>
      </c>
      <c r="I40" s="131">
        <f t="shared" ref="I38:I44" si="16">(F40+G40+H40)*0.09</f>
        <v>52.4232</v>
      </c>
      <c r="J40" s="131">
        <f t="shared" ref="J38:J44" si="17">(F40+G40+H40+I40)*0.09</f>
        <v>57.141288</v>
      </c>
      <c r="K40" s="131">
        <f t="shared" ref="K38:K44" si="18">F40+G40+H40+I40+J40</f>
        <v>692.044488</v>
      </c>
      <c r="L40" s="131">
        <f t="shared" ref="L38:L44" si="19">E40*K40</f>
        <v>3342.57487704</v>
      </c>
      <c r="M40" s="34"/>
    </row>
    <row r="41" ht="72" customHeight="1" outlineLevel="1" spans="1:13">
      <c r="A41" s="35">
        <v>4</v>
      </c>
      <c r="B41" s="138" t="s">
        <v>240</v>
      </c>
      <c r="C41" s="136" t="s">
        <v>241</v>
      </c>
      <c r="D41" s="135" t="s">
        <v>237</v>
      </c>
      <c r="E41" s="140">
        <f>0.2*2.1</f>
        <v>0.42</v>
      </c>
      <c r="F41" s="134">
        <v>180.69</v>
      </c>
      <c r="G41" s="134">
        <v>380.25</v>
      </c>
      <c r="H41" s="134">
        <f>G41*0.3</f>
        <v>114.075</v>
      </c>
      <c r="I41" s="131">
        <f t="shared" si="16"/>
        <v>60.75135</v>
      </c>
      <c r="J41" s="131">
        <f t="shared" si="17"/>
        <v>66.2189715</v>
      </c>
      <c r="K41" s="131">
        <f t="shared" si="18"/>
        <v>801.9853215</v>
      </c>
      <c r="L41" s="131">
        <f t="shared" si="19"/>
        <v>336.83383503</v>
      </c>
      <c r="M41" s="34"/>
    </row>
    <row r="42" ht="72" customHeight="1" outlineLevel="1" spans="1:13">
      <c r="A42" s="35">
        <v>5</v>
      </c>
      <c r="B42" s="141" t="s">
        <v>242</v>
      </c>
      <c r="C42" s="136" t="s">
        <v>243</v>
      </c>
      <c r="D42" s="135" t="s">
        <v>64</v>
      </c>
      <c r="E42" s="137">
        <f>(0.5+0.155+1.17)*2.47</f>
        <v>4.50775</v>
      </c>
      <c r="F42" s="134">
        <v>130</v>
      </c>
      <c r="G42" s="134">
        <v>240</v>
      </c>
      <c r="H42" s="134">
        <v>37.142</v>
      </c>
      <c r="I42" s="131">
        <f t="shared" si="16"/>
        <v>36.64278</v>
      </c>
      <c r="J42" s="131">
        <f t="shared" si="17"/>
        <v>39.9406302</v>
      </c>
      <c r="K42" s="131">
        <f t="shared" si="18"/>
        <v>483.7254102</v>
      </c>
      <c r="L42" s="131">
        <f t="shared" si="19"/>
        <v>2180.51321782905</v>
      </c>
      <c r="M42" s="34"/>
    </row>
    <row r="43" ht="72" customHeight="1" outlineLevel="1" spans="1:13">
      <c r="A43" s="35">
        <v>6</v>
      </c>
      <c r="B43" s="141" t="s">
        <v>244</v>
      </c>
      <c r="C43" s="136" t="s">
        <v>245</v>
      </c>
      <c r="D43" s="135" t="s">
        <v>78</v>
      </c>
      <c r="E43" s="137">
        <f>(0.5+0.155+1.17+0.75)</f>
        <v>2.575</v>
      </c>
      <c r="F43" s="134">
        <v>6.74</v>
      </c>
      <c r="G43" s="134">
        <v>14.018</v>
      </c>
      <c r="H43" s="134">
        <v>4.772</v>
      </c>
      <c r="I43" s="131">
        <f t="shared" si="16"/>
        <v>2.2977</v>
      </c>
      <c r="J43" s="131">
        <f t="shared" si="17"/>
        <v>2.504493</v>
      </c>
      <c r="K43" s="131">
        <f t="shared" si="18"/>
        <v>30.332193</v>
      </c>
      <c r="L43" s="131">
        <f t="shared" si="19"/>
        <v>78.105396975</v>
      </c>
      <c r="M43" s="34"/>
    </row>
    <row r="44" ht="72" customHeight="1" outlineLevel="1" spans="1:13">
      <c r="A44" s="35">
        <v>7</v>
      </c>
      <c r="B44" s="141" t="s">
        <v>246</v>
      </c>
      <c r="C44" s="136" t="s">
        <v>247</v>
      </c>
      <c r="D44" s="135" t="s">
        <v>237</v>
      </c>
      <c r="E44" s="137">
        <f>0.75*2.47</f>
        <v>1.8525</v>
      </c>
      <c r="F44" s="134">
        <v>194.56</v>
      </c>
      <c r="G44" s="134">
        <v>356.23</v>
      </c>
      <c r="H44" s="134">
        <v>244.59</v>
      </c>
      <c r="I44" s="131">
        <f t="shared" si="16"/>
        <v>71.5842</v>
      </c>
      <c r="J44" s="131">
        <f t="shared" si="17"/>
        <v>78.026778</v>
      </c>
      <c r="K44" s="131">
        <f t="shared" si="18"/>
        <v>944.990978</v>
      </c>
      <c r="L44" s="131">
        <f t="shared" si="19"/>
        <v>1750.595786745</v>
      </c>
      <c r="M44" s="34"/>
    </row>
    <row r="45" ht="33" customHeight="1" spans="1:13">
      <c r="A45" s="129" t="s">
        <v>42</v>
      </c>
      <c r="B45" s="129" t="s">
        <v>253</v>
      </c>
      <c r="C45" s="132" t="s">
        <v>232</v>
      </c>
      <c r="D45" s="34"/>
      <c r="E45" s="137"/>
      <c r="F45" s="137"/>
      <c r="G45" s="137"/>
      <c r="H45" s="137"/>
      <c r="I45" s="137"/>
      <c r="J45" s="137"/>
      <c r="K45" s="137"/>
      <c r="L45" s="137">
        <f>SUM(L46:L52)</f>
        <v>9293.02020729255</v>
      </c>
      <c r="M45" s="34"/>
    </row>
    <row r="46" ht="72" customHeight="1" outlineLevel="1" spans="1:13">
      <c r="A46" s="129">
        <v>1</v>
      </c>
      <c r="B46" s="129" t="s">
        <v>233</v>
      </c>
      <c r="C46" s="133" t="s">
        <v>234</v>
      </c>
      <c r="D46" s="129" t="s">
        <v>64</v>
      </c>
      <c r="E46" s="130">
        <v>2.62</v>
      </c>
      <c r="F46" s="134">
        <v>109.6</v>
      </c>
      <c r="G46" s="134">
        <v>142.849</v>
      </c>
      <c r="H46" s="134">
        <v>36.5</v>
      </c>
      <c r="I46" s="131">
        <f>(F46+G46+H46)*0.09</f>
        <v>26.00541</v>
      </c>
      <c r="J46" s="131">
        <f>(F46+G46+H46+I46)*0.09</f>
        <v>28.3458969</v>
      </c>
      <c r="K46" s="131">
        <f>F46+G46+H46+I46+J46</f>
        <v>343.3003069</v>
      </c>
      <c r="L46" s="131">
        <f>E46*K46</f>
        <v>899.446804078</v>
      </c>
      <c r="M46" s="34"/>
    </row>
    <row r="47" ht="72" customHeight="1" outlineLevel="1" spans="1:13">
      <c r="A47" s="35">
        <v>2</v>
      </c>
      <c r="B47" s="135" t="s">
        <v>235</v>
      </c>
      <c r="C47" s="136" t="s">
        <v>236</v>
      </c>
      <c r="D47" s="135" t="s">
        <v>237</v>
      </c>
      <c r="E47" s="140">
        <v>10.93</v>
      </c>
      <c r="F47" s="134">
        <f>31.43+40</f>
        <v>71.43</v>
      </c>
      <c r="G47" s="134">
        <v>112</v>
      </c>
      <c r="H47" s="134">
        <v>63.268</v>
      </c>
      <c r="I47" s="131">
        <f>(F47+G47+H47)*0.09</f>
        <v>22.20282</v>
      </c>
      <c r="J47" s="131">
        <f>(F47+G47+H47+I47)*0.09</f>
        <v>24.2010738</v>
      </c>
      <c r="K47" s="131">
        <f>F47+G47+H47+I47+J47</f>
        <v>293.1018938</v>
      </c>
      <c r="L47" s="131">
        <f>E47*K47</f>
        <v>3203.603699234</v>
      </c>
      <c r="M47" s="34"/>
    </row>
    <row r="48" ht="72" customHeight="1" outlineLevel="1" spans="1:13">
      <c r="A48" s="35">
        <v>3</v>
      </c>
      <c r="B48" s="138" t="s">
        <v>238</v>
      </c>
      <c r="C48" s="139" t="s">
        <v>249</v>
      </c>
      <c r="D48" s="138" t="s">
        <v>64</v>
      </c>
      <c r="E48" s="137">
        <f>2.1*2.3</f>
        <v>4.83</v>
      </c>
      <c r="F48" s="134">
        <v>26.89</v>
      </c>
      <c r="G48" s="134">
        <v>388.913</v>
      </c>
      <c r="H48" s="134">
        <v>166.677</v>
      </c>
      <c r="I48" s="131">
        <f t="shared" ref="I46:I52" si="20">(F48+G48+H48)*0.09</f>
        <v>52.4232</v>
      </c>
      <c r="J48" s="131">
        <f t="shared" ref="J46:J52" si="21">(F48+G48+H48+I48)*0.09</f>
        <v>57.141288</v>
      </c>
      <c r="K48" s="131">
        <f t="shared" ref="K46:K52" si="22">F48+G48+H48+I48+J48</f>
        <v>692.044488</v>
      </c>
      <c r="L48" s="131">
        <f t="shared" ref="L46:L52" si="23">E48*K48</f>
        <v>3342.57487704</v>
      </c>
      <c r="M48" s="34"/>
    </row>
    <row r="49" ht="72" customHeight="1" outlineLevel="1" spans="1:13">
      <c r="A49" s="35">
        <v>4</v>
      </c>
      <c r="B49" s="138" t="s">
        <v>240</v>
      </c>
      <c r="C49" s="136" t="s">
        <v>241</v>
      </c>
      <c r="D49" s="135" t="s">
        <v>237</v>
      </c>
      <c r="E49" s="140">
        <f>0.2*2.1</f>
        <v>0.42</v>
      </c>
      <c r="F49" s="134">
        <v>180.69</v>
      </c>
      <c r="G49" s="134">
        <v>380.25</v>
      </c>
      <c r="H49" s="134">
        <f>G49*0.3</f>
        <v>114.075</v>
      </c>
      <c r="I49" s="131">
        <f t="shared" si="20"/>
        <v>60.75135</v>
      </c>
      <c r="J49" s="131">
        <f t="shared" si="21"/>
        <v>66.2189715</v>
      </c>
      <c r="K49" s="131">
        <f t="shared" si="22"/>
        <v>801.9853215</v>
      </c>
      <c r="L49" s="131">
        <f t="shared" si="23"/>
        <v>336.83383503</v>
      </c>
      <c r="M49" s="34"/>
    </row>
    <row r="50" ht="72" customHeight="1" outlineLevel="1" spans="1:13">
      <c r="A50" s="35">
        <v>5</v>
      </c>
      <c r="B50" s="141" t="s">
        <v>242</v>
      </c>
      <c r="C50" s="136" t="s">
        <v>243</v>
      </c>
      <c r="D50" s="135" t="s">
        <v>64</v>
      </c>
      <c r="E50" s="137">
        <f>0.075*2.47</f>
        <v>0.18525</v>
      </c>
      <c r="F50" s="134">
        <v>130</v>
      </c>
      <c r="G50" s="134">
        <v>240</v>
      </c>
      <c r="H50" s="134">
        <v>37.142</v>
      </c>
      <c r="I50" s="131">
        <f t="shared" si="20"/>
        <v>36.64278</v>
      </c>
      <c r="J50" s="131">
        <f t="shared" si="21"/>
        <v>39.9406302</v>
      </c>
      <c r="K50" s="131">
        <f t="shared" si="22"/>
        <v>483.7254102</v>
      </c>
      <c r="L50" s="131">
        <f t="shared" si="23"/>
        <v>89.61013223955</v>
      </c>
      <c r="M50" s="34"/>
    </row>
    <row r="51" ht="72" customHeight="1" outlineLevel="1" spans="1:13">
      <c r="A51" s="35">
        <v>6</v>
      </c>
      <c r="B51" s="141" t="s">
        <v>244</v>
      </c>
      <c r="C51" s="136" t="s">
        <v>245</v>
      </c>
      <c r="D51" s="135" t="s">
        <v>78</v>
      </c>
      <c r="E51" s="137">
        <v>0.675</v>
      </c>
      <c r="F51" s="134">
        <v>6.74</v>
      </c>
      <c r="G51" s="134">
        <v>14.018</v>
      </c>
      <c r="H51" s="134">
        <v>4.772</v>
      </c>
      <c r="I51" s="131">
        <f t="shared" si="20"/>
        <v>2.2977</v>
      </c>
      <c r="J51" s="131">
        <f t="shared" si="21"/>
        <v>2.504493</v>
      </c>
      <c r="K51" s="131">
        <f t="shared" si="22"/>
        <v>30.332193</v>
      </c>
      <c r="L51" s="131">
        <f t="shared" si="23"/>
        <v>20.474230275</v>
      </c>
      <c r="M51" s="34"/>
    </row>
    <row r="52" ht="72" customHeight="1" outlineLevel="1" spans="1:13">
      <c r="A52" s="35">
        <v>7</v>
      </c>
      <c r="B52" s="141" t="s">
        <v>246</v>
      </c>
      <c r="C52" s="136" t="s">
        <v>247</v>
      </c>
      <c r="D52" s="135" t="s">
        <v>237</v>
      </c>
      <c r="E52" s="137">
        <f>0.6*2.47</f>
        <v>1.482</v>
      </c>
      <c r="F52" s="134">
        <v>194.56</v>
      </c>
      <c r="G52" s="134">
        <v>356.23</v>
      </c>
      <c r="H52" s="134">
        <v>244.59</v>
      </c>
      <c r="I52" s="131">
        <f t="shared" si="20"/>
        <v>71.5842</v>
      </c>
      <c r="J52" s="131">
        <f t="shared" si="21"/>
        <v>78.026778</v>
      </c>
      <c r="K52" s="131">
        <f t="shared" si="22"/>
        <v>944.990978</v>
      </c>
      <c r="L52" s="131">
        <f t="shared" si="23"/>
        <v>1400.476629396</v>
      </c>
      <c r="M52" s="34"/>
    </row>
    <row r="53" ht="33" customHeight="1" spans="1:13">
      <c r="A53" s="142" t="s">
        <v>115</v>
      </c>
      <c r="B53" s="142" t="s">
        <v>254</v>
      </c>
      <c r="C53" s="129"/>
      <c r="D53" s="34"/>
      <c r="E53" s="137"/>
      <c r="F53" s="137"/>
      <c r="G53" s="137"/>
      <c r="H53" s="137"/>
      <c r="I53" s="137"/>
      <c r="J53" s="137"/>
      <c r="K53" s="137"/>
      <c r="L53" s="137">
        <f>SUM(L54:L60)</f>
        <v>9155.5249888891</v>
      </c>
      <c r="M53" s="34"/>
    </row>
    <row r="54" ht="72" customHeight="1" outlineLevel="1" spans="1:13">
      <c r="A54" s="142">
        <v>1</v>
      </c>
      <c r="B54" s="142" t="s">
        <v>233</v>
      </c>
      <c r="C54" s="133" t="s">
        <v>234</v>
      </c>
      <c r="D54" s="129" t="s">
        <v>64</v>
      </c>
      <c r="E54" s="130">
        <v>2.29</v>
      </c>
      <c r="F54" s="134">
        <v>109.6</v>
      </c>
      <c r="G54" s="134">
        <v>142.849</v>
      </c>
      <c r="H54" s="134">
        <v>36.5</v>
      </c>
      <c r="I54" s="131">
        <f>(F54+G54+H54)*0.09</f>
        <v>26.00541</v>
      </c>
      <c r="J54" s="131">
        <f>(F54+G54+H54+I54)*0.09</f>
        <v>28.3458969</v>
      </c>
      <c r="K54" s="131">
        <f>F54+G54+H54+I54+J54</f>
        <v>343.3003069</v>
      </c>
      <c r="L54" s="131">
        <f>E54*K54</f>
        <v>786.157702801</v>
      </c>
      <c r="M54" s="34"/>
    </row>
    <row r="55" ht="72" customHeight="1" outlineLevel="1" spans="1:13">
      <c r="A55" s="35">
        <v>2</v>
      </c>
      <c r="B55" s="135" t="s">
        <v>235</v>
      </c>
      <c r="C55" s="136" t="s">
        <v>236</v>
      </c>
      <c r="D55" s="135" t="s">
        <v>237</v>
      </c>
      <c r="E55" s="140">
        <v>8.92</v>
      </c>
      <c r="F55" s="134">
        <f>31.43+40</f>
        <v>71.43</v>
      </c>
      <c r="G55" s="134">
        <v>112</v>
      </c>
      <c r="H55" s="134">
        <v>63.268</v>
      </c>
      <c r="I55" s="131">
        <f>(F55+G55+H55)*0.09</f>
        <v>22.20282</v>
      </c>
      <c r="J55" s="131">
        <f>(F55+G55+H55+I55)*0.09</f>
        <v>24.2010738</v>
      </c>
      <c r="K55" s="131">
        <f>F55+G55+H55+I55+J55</f>
        <v>293.1018938</v>
      </c>
      <c r="L55" s="131">
        <f>E55*K55</f>
        <v>2614.468892696</v>
      </c>
      <c r="M55" s="34"/>
    </row>
    <row r="56" ht="72" customHeight="1" outlineLevel="1" spans="1:13">
      <c r="A56" s="35">
        <v>3</v>
      </c>
      <c r="B56" s="138" t="s">
        <v>238</v>
      </c>
      <c r="C56" s="139" t="s">
        <v>249</v>
      </c>
      <c r="D56" s="138" t="s">
        <v>64</v>
      </c>
      <c r="E56" s="137">
        <f>2.1*2.3</f>
        <v>4.83</v>
      </c>
      <c r="F56" s="134">
        <v>26.89</v>
      </c>
      <c r="G56" s="134">
        <v>388.913</v>
      </c>
      <c r="H56" s="134">
        <v>166.677</v>
      </c>
      <c r="I56" s="131">
        <f t="shared" ref="I54:I60" si="24">(F56+G56+H56)*0.09</f>
        <v>52.4232</v>
      </c>
      <c r="J56" s="131">
        <f t="shared" ref="J54:J60" si="25">(F56+G56+H56+I56)*0.09</f>
        <v>57.141288</v>
      </c>
      <c r="K56" s="131">
        <f t="shared" ref="K54:K60" si="26">F56+G56+H56+I56+J56</f>
        <v>692.044488</v>
      </c>
      <c r="L56" s="131">
        <f t="shared" ref="L54:L60" si="27">E56*K56</f>
        <v>3342.57487704</v>
      </c>
      <c r="M56" s="34"/>
    </row>
    <row r="57" ht="72" customHeight="1" outlineLevel="1" spans="1:13">
      <c r="A57" s="35">
        <v>4</v>
      </c>
      <c r="B57" s="138" t="s">
        <v>240</v>
      </c>
      <c r="C57" s="136" t="s">
        <v>241</v>
      </c>
      <c r="D57" s="135" t="s">
        <v>237</v>
      </c>
      <c r="E57" s="140">
        <f>0.2*2.1</f>
        <v>0.42</v>
      </c>
      <c r="F57" s="134">
        <v>180.69</v>
      </c>
      <c r="G57" s="134">
        <v>380.25</v>
      </c>
      <c r="H57" s="134">
        <f>G57*0.3</f>
        <v>114.075</v>
      </c>
      <c r="I57" s="131">
        <f t="shared" si="24"/>
        <v>60.75135</v>
      </c>
      <c r="J57" s="131">
        <f t="shared" si="25"/>
        <v>66.2189715</v>
      </c>
      <c r="K57" s="131">
        <f t="shared" si="26"/>
        <v>801.9853215</v>
      </c>
      <c r="L57" s="131">
        <f t="shared" si="27"/>
        <v>336.83383503</v>
      </c>
      <c r="M57" s="34"/>
    </row>
    <row r="58" ht="72" customHeight="1" outlineLevel="1" spans="1:13">
      <c r="A58" s="35">
        <v>5</v>
      </c>
      <c r="B58" s="141" t="s">
        <v>242</v>
      </c>
      <c r="C58" s="136" t="s">
        <v>243</v>
      </c>
      <c r="D58" s="135" t="s">
        <v>64</v>
      </c>
      <c r="E58" s="137">
        <f>0.15*2.47</f>
        <v>0.3705</v>
      </c>
      <c r="F58" s="134">
        <v>130</v>
      </c>
      <c r="G58" s="134">
        <v>240</v>
      </c>
      <c r="H58" s="134">
        <v>37.142</v>
      </c>
      <c r="I58" s="131">
        <f t="shared" si="24"/>
        <v>36.64278</v>
      </c>
      <c r="J58" s="131">
        <f t="shared" si="25"/>
        <v>39.9406302</v>
      </c>
      <c r="K58" s="131">
        <f t="shared" si="26"/>
        <v>483.7254102</v>
      </c>
      <c r="L58" s="131">
        <f t="shared" si="27"/>
        <v>179.2202644791</v>
      </c>
      <c r="M58" s="34"/>
    </row>
    <row r="59" ht="72" customHeight="1" outlineLevel="1" spans="1:13">
      <c r="A59" s="35">
        <v>6</v>
      </c>
      <c r="B59" s="141" t="s">
        <v>244</v>
      </c>
      <c r="C59" s="136" t="s">
        <v>245</v>
      </c>
      <c r="D59" s="135" t="s">
        <v>78</v>
      </c>
      <c r="E59" s="137">
        <f>0.8+0.155</f>
        <v>0.955</v>
      </c>
      <c r="F59" s="134">
        <v>6.74</v>
      </c>
      <c r="G59" s="134">
        <v>14.018</v>
      </c>
      <c r="H59" s="134">
        <v>4.772</v>
      </c>
      <c r="I59" s="131">
        <f t="shared" si="24"/>
        <v>2.2977</v>
      </c>
      <c r="J59" s="131">
        <f t="shared" si="25"/>
        <v>2.504493</v>
      </c>
      <c r="K59" s="131">
        <f t="shared" si="26"/>
        <v>30.332193</v>
      </c>
      <c r="L59" s="131">
        <f t="shared" si="27"/>
        <v>28.967244315</v>
      </c>
      <c r="M59" s="34"/>
    </row>
    <row r="60" ht="72" customHeight="1" outlineLevel="1" spans="1:13">
      <c r="A60" s="35">
        <v>7</v>
      </c>
      <c r="B60" s="141" t="s">
        <v>246</v>
      </c>
      <c r="C60" s="136" t="s">
        <v>247</v>
      </c>
      <c r="D60" s="135" t="s">
        <v>237</v>
      </c>
      <c r="E60" s="137">
        <f>0.8*2.47</f>
        <v>1.976</v>
      </c>
      <c r="F60" s="134">
        <v>194.56</v>
      </c>
      <c r="G60" s="134">
        <v>356.23</v>
      </c>
      <c r="H60" s="134">
        <v>244.59</v>
      </c>
      <c r="I60" s="131">
        <f t="shared" si="24"/>
        <v>71.5842</v>
      </c>
      <c r="J60" s="131">
        <f t="shared" si="25"/>
        <v>78.026778</v>
      </c>
      <c r="K60" s="131">
        <f t="shared" si="26"/>
        <v>944.990978</v>
      </c>
      <c r="L60" s="131">
        <f t="shared" si="27"/>
        <v>1867.302172528</v>
      </c>
      <c r="M60" s="34"/>
    </row>
    <row r="61" spans="1:13">
      <c r="A61" s="142" t="s">
        <v>118</v>
      </c>
      <c r="B61" s="142" t="s">
        <v>255</v>
      </c>
      <c r="C61" s="129"/>
      <c r="D61" s="34"/>
      <c r="E61" s="137"/>
      <c r="F61" s="137"/>
      <c r="G61" s="137"/>
      <c r="H61" s="137"/>
      <c r="I61" s="137"/>
      <c r="J61" s="137"/>
      <c r="K61" s="137"/>
      <c r="L61" s="137">
        <f>SUM(L62:L68)</f>
        <v>13898.4367284292</v>
      </c>
      <c r="M61" s="34"/>
    </row>
    <row r="62" ht="45" outlineLevel="1" spans="1:13">
      <c r="A62" s="142">
        <v>1</v>
      </c>
      <c r="B62" s="142" t="s">
        <v>233</v>
      </c>
      <c r="C62" s="133" t="s">
        <v>234</v>
      </c>
      <c r="D62" s="129" t="s">
        <v>64</v>
      </c>
      <c r="E62" s="130">
        <v>3.86</v>
      </c>
      <c r="F62" s="134">
        <v>109.6</v>
      </c>
      <c r="G62" s="134">
        <v>142.849</v>
      </c>
      <c r="H62" s="134">
        <v>36.5</v>
      </c>
      <c r="I62" s="131">
        <f>(F62+G62+H62)*0.09</f>
        <v>26.00541</v>
      </c>
      <c r="J62" s="131">
        <f>(F62+G62+H62+I62)*0.09</f>
        <v>28.3458969</v>
      </c>
      <c r="K62" s="131">
        <f>F62+G62+H62+I62+J62</f>
        <v>343.3003069</v>
      </c>
      <c r="L62" s="131">
        <f>E62*K62</f>
        <v>1325.139184634</v>
      </c>
      <c r="M62" s="34"/>
    </row>
    <row r="63" ht="67.5" outlineLevel="1" spans="1:13">
      <c r="A63" s="35">
        <v>2</v>
      </c>
      <c r="B63" s="135" t="s">
        <v>235</v>
      </c>
      <c r="C63" s="136" t="s">
        <v>236</v>
      </c>
      <c r="D63" s="135" t="s">
        <v>237</v>
      </c>
      <c r="E63" s="140">
        <v>14.68</v>
      </c>
      <c r="F63" s="134">
        <f>31.43+40</f>
        <v>71.43</v>
      </c>
      <c r="G63" s="134">
        <v>112</v>
      </c>
      <c r="H63" s="134">
        <v>63.268</v>
      </c>
      <c r="I63" s="131">
        <f>(F63+G63+H63)*0.09</f>
        <v>22.20282</v>
      </c>
      <c r="J63" s="131">
        <f>(F63+G63+H63+I63)*0.09</f>
        <v>24.2010738</v>
      </c>
      <c r="K63" s="131">
        <f>F63+G63+H63+I63+J63</f>
        <v>293.1018938</v>
      </c>
      <c r="L63" s="131">
        <f>E63*K63</f>
        <v>4302.735800984</v>
      </c>
      <c r="M63" s="34"/>
    </row>
    <row r="64" ht="45" outlineLevel="1" spans="1:13">
      <c r="A64" s="35">
        <v>3</v>
      </c>
      <c r="B64" s="138" t="s">
        <v>238</v>
      </c>
      <c r="C64" s="139" t="s">
        <v>249</v>
      </c>
      <c r="D64" s="138" t="s">
        <v>64</v>
      </c>
      <c r="E64" s="137">
        <f>2.1*2.3</f>
        <v>4.83</v>
      </c>
      <c r="F64" s="134">
        <v>26.89</v>
      </c>
      <c r="G64" s="134">
        <v>388.913</v>
      </c>
      <c r="H64" s="134">
        <v>166.677</v>
      </c>
      <c r="I64" s="131">
        <f t="shared" ref="I62:I68" si="28">(F64+G64+H64)*0.09</f>
        <v>52.4232</v>
      </c>
      <c r="J64" s="131">
        <f t="shared" ref="J62:J68" si="29">(F64+G64+H64+I64)*0.09</f>
        <v>57.141288</v>
      </c>
      <c r="K64" s="131">
        <f t="shared" ref="K62:K68" si="30">F64+G64+H64+I64+J64</f>
        <v>692.044488</v>
      </c>
      <c r="L64" s="131">
        <f t="shared" ref="L62:L68" si="31">E64*K64</f>
        <v>3342.57487704</v>
      </c>
      <c r="M64" s="34"/>
    </row>
    <row r="65" ht="54" outlineLevel="1" spans="1:13">
      <c r="A65" s="35">
        <v>4</v>
      </c>
      <c r="B65" s="138" t="s">
        <v>240</v>
      </c>
      <c r="C65" s="136" t="s">
        <v>241</v>
      </c>
      <c r="D65" s="135" t="s">
        <v>237</v>
      </c>
      <c r="E65" s="140">
        <f>0.2*2.1</f>
        <v>0.42</v>
      </c>
      <c r="F65" s="134">
        <v>180.69</v>
      </c>
      <c r="G65" s="134">
        <v>380.25</v>
      </c>
      <c r="H65" s="134">
        <f>G65*0.3</f>
        <v>114.075</v>
      </c>
      <c r="I65" s="131">
        <f t="shared" si="28"/>
        <v>60.75135</v>
      </c>
      <c r="J65" s="131">
        <f t="shared" si="29"/>
        <v>66.2189715</v>
      </c>
      <c r="K65" s="131">
        <f t="shared" si="30"/>
        <v>801.9853215</v>
      </c>
      <c r="L65" s="131">
        <f t="shared" si="31"/>
        <v>336.83383503</v>
      </c>
      <c r="M65" s="34"/>
    </row>
    <row r="66" ht="67.5" outlineLevel="1" spans="1:13">
      <c r="A66" s="35">
        <v>5</v>
      </c>
      <c r="B66" s="141" t="s">
        <v>242</v>
      </c>
      <c r="C66" s="136" t="s">
        <v>243</v>
      </c>
      <c r="D66" s="135" t="s">
        <v>64</v>
      </c>
      <c r="E66" s="137">
        <f>(5.15-2.1-0.75)*2.47</f>
        <v>5.681</v>
      </c>
      <c r="F66" s="134">
        <v>130</v>
      </c>
      <c r="G66" s="134">
        <v>240</v>
      </c>
      <c r="H66" s="134">
        <v>37.142</v>
      </c>
      <c r="I66" s="131">
        <f t="shared" si="28"/>
        <v>36.64278</v>
      </c>
      <c r="J66" s="131">
        <f t="shared" si="29"/>
        <v>39.9406302</v>
      </c>
      <c r="K66" s="131">
        <f t="shared" si="30"/>
        <v>483.7254102</v>
      </c>
      <c r="L66" s="131">
        <f t="shared" si="31"/>
        <v>2748.0440553462</v>
      </c>
      <c r="M66" s="34"/>
    </row>
    <row r="67" ht="40.5" outlineLevel="1" spans="1:13">
      <c r="A67" s="35">
        <v>6</v>
      </c>
      <c r="B67" s="141" t="s">
        <v>244</v>
      </c>
      <c r="C67" s="136" t="s">
        <v>245</v>
      </c>
      <c r="D67" s="135" t="s">
        <v>78</v>
      </c>
      <c r="E67" s="137">
        <f>5.15-2.1</f>
        <v>3.05</v>
      </c>
      <c r="F67" s="134">
        <v>6.74</v>
      </c>
      <c r="G67" s="134">
        <v>14.018</v>
      </c>
      <c r="H67" s="134">
        <v>4.772</v>
      </c>
      <c r="I67" s="131">
        <f t="shared" si="28"/>
        <v>2.2977</v>
      </c>
      <c r="J67" s="131">
        <f t="shared" si="29"/>
        <v>2.504493</v>
      </c>
      <c r="K67" s="131">
        <f t="shared" si="30"/>
        <v>30.332193</v>
      </c>
      <c r="L67" s="131">
        <f t="shared" si="31"/>
        <v>92.51318865</v>
      </c>
      <c r="M67" s="34"/>
    </row>
    <row r="68" ht="67.5" outlineLevel="1" spans="1:13">
      <c r="A68" s="35">
        <v>7</v>
      </c>
      <c r="B68" s="141" t="s">
        <v>246</v>
      </c>
      <c r="C68" s="136" t="s">
        <v>247</v>
      </c>
      <c r="D68" s="135" t="s">
        <v>237</v>
      </c>
      <c r="E68" s="137">
        <f>0.75*2.47</f>
        <v>1.8525</v>
      </c>
      <c r="F68" s="134">
        <v>194.56</v>
      </c>
      <c r="G68" s="134">
        <v>356.23</v>
      </c>
      <c r="H68" s="134">
        <v>244.59</v>
      </c>
      <c r="I68" s="131">
        <f t="shared" si="28"/>
        <v>71.5842</v>
      </c>
      <c r="J68" s="131">
        <f t="shared" si="29"/>
        <v>78.026778</v>
      </c>
      <c r="K68" s="131">
        <f t="shared" si="30"/>
        <v>944.990978</v>
      </c>
      <c r="L68" s="131">
        <f t="shared" si="31"/>
        <v>1750.595786745</v>
      </c>
      <c r="M68" s="34"/>
    </row>
    <row r="69" spans="1:13">
      <c r="A69" s="142" t="s">
        <v>177</v>
      </c>
      <c r="B69" s="142" t="s">
        <v>256</v>
      </c>
      <c r="C69" s="129"/>
      <c r="D69" s="34"/>
      <c r="E69" s="137"/>
      <c r="F69" s="137"/>
      <c r="G69" s="137"/>
      <c r="H69" s="137"/>
      <c r="I69" s="137"/>
      <c r="J69" s="137"/>
      <c r="K69" s="137"/>
      <c r="L69" s="137">
        <f>SUM(L70:L76)</f>
        <v>11574.2917248061</v>
      </c>
      <c r="M69" s="34"/>
    </row>
    <row r="70" ht="45" outlineLevel="1" spans="1:13">
      <c r="A70" s="142">
        <v>1</v>
      </c>
      <c r="B70" s="142" t="s">
        <v>233</v>
      </c>
      <c r="C70" s="133" t="s">
        <v>234</v>
      </c>
      <c r="D70" s="129" t="s">
        <v>64</v>
      </c>
      <c r="E70" s="130">
        <v>3.15</v>
      </c>
      <c r="F70" s="134">
        <v>109.6</v>
      </c>
      <c r="G70" s="134">
        <v>142.849</v>
      </c>
      <c r="H70" s="134">
        <v>36.5</v>
      </c>
      <c r="I70" s="131">
        <f>(F70+G70+H70)*0.09</f>
        <v>26.00541</v>
      </c>
      <c r="J70" s="131">
        <f>(F70+G70+H70+I70)*0.09</f>
        <v>28.3458969</v>
      </c>
      <c r="K70" s="131">
        <f>F70+G70+H70+I70+J70</f>
        <v>343.3003069</v>
      </c>
      <c r="L70" s="131">
        <f>E70*K70</f>
        <v>1081.395966735</v>
      </c>
      <c r="M70" s="34"/>
    </row>
    <row r="71" ht="67.5" outlineLevel="1" spans="1:13">
      <c r="A71" s="35">
        <v>2</v>
      </c>
      <c r="B71" s="135" t="s">
        <v>235</v>
      </c>
      <c r="C71" s="136" t="s">
        <v>236</v>
      </c>
      <c r="D71" s="135" t="s">
        <v>237</v>
      </c>
      <c r="E71" s="140">
        <f>15.32-E70</f>
        <v>12.17</v>
      </c>
      <c r="F71" s="134">
        <f>31.43+40</f>
        <v>71.43</v>
      </c>
      <c r="G71" s="134">
        <v>112</v>
      </c>
      <c r="H71" s="134">
        <v>63.268</v>
      </c>
      <c r="I71" s="131">
        <f>(F71+G71+H71)*0.09</f>
        <v>22.20282</v>
      </c>
      <c r="J71" s="131">
        <f>(F71+G71+H71+I71)*0.09</f>
        <v>24.2010738</v>
      </c>
      <c r="K71" s="131">
        <f>F71+G71+H71+I71+J71</f>
        <v>293.1018938</v>
      </c>
      <c r="L71" s="131">
        <f>E71*K71</f>
        <v>3567.050047546</v>
      </c>
      <c r="M71" s="34"/>
    </row>
    <row r="72" ht="45" outlineLevel="1" spans="1:13">
      <c r="A72" s="35">
        <v>3</v>
      </c>
      <c r="B72" s="138" t="s">
        <v>238</v>
      </c>
      <c r="C72" s="139" t="s">
        <v>249</v>
      </c>
      <c r="D72" s="138" t="s">
        <v>64</v>
      </c>
      <c r="E72" s="137">
        <f>1.8*2.3</f>
        <v>4.14</v>
      </c>
      <c r="F72" s="134">
        <v>26.89</v>
      </c>
      <c r="G72" s="134">
        <v>388.913</v>
      </c>
      <c r="H72" s="134">
        <v>166.677</v>
      </c>
      <c r="I72" s="131">
        <f t="shared" ref="I70:I76" si="32">(F72+G72+H72)*0.09</f>
        <v>52.4232</v>
      </c>
      <c r="J72" s="131">
        <f t="shared" ref="J70:J76" si="33">(F72+G72+H72+I72)*0.09</f>
        <v>57.141288</v>
      </c>
      <c r="K72" s="131">
        <f t="shared" ref="K70:K76" si="34">F72+G72+H72+I72+J72</f>
        <v>692.044488</v>
      </c>
      <c r="L72" s="131">
        <f t="shared" ref="L70:L76" si="35">E72*K72</f>
        <v>2865.06418032</v>
      </c>
      <c r="M72" s="34"/>
    </row>
    <row r="73" ht="54" outlineLevel="1" spans="1:13">
      <c r="A73" s="35">
        <v>4</v>
      </c>
      <c r="B73" s="138" t="s">
        <v>240</v>
      </c>
      <c r="C73" s="136" t="s">
        <v>241</v>
      </c>
      <c r="D73" s="135" t="s">
        <v>237</v>
      </c>
      <c r="E73" s="140">
        <f>0.2*1.8</f>
        <v>0.36</v>
      </c>
      <c r="F73" s="134">
        <v>180.69</v>
      </c>
      <c r="G73" s="134">
        <v>380.25</v>
      </c>
      <c r="H73" s="134">
        <f>G73*0.3</f>
        <v>114.075</v>
      </c>
      <c r="I73" s="131">
        <f t="shared" si="32"/>
        <v>60.75135</v>
      </c>
      <c r="J73" s="131">
        <f t="shared" si="33"/>
        <v>66.2189715</v>
      </c>
      <c r="K73" s="131">
        <f t="shared" si="34"/>
        <v>801.9853215</v>
      </c>
      <c r="L73" s="131">
        <f t="shared" si="35"/>
        <v>288.71471574</v>
      </c>
      <c r="M73" s="34"/>
    </row>
    <row r="74" ht="67.5" outlineLevel="1" spans="1:13">
      <c r="A74" s="35">
        <v>5</v>
      </c>
      <c r="B74" s="141" t="s">
        <v>242</v>
      </c>
      <c r="C74" s="136" t="s">
        <v>243</v>
      </c>
      <c r="D74" s="135" t="s">
        <v>64</v>
      </c>
      <c r="E74" s="137">
        <f>(1.05+0.45+0.15)*2.47</f>
        <v>4.0755</v>
      </c>
      <c r="F74" s="134">
        <v>130</v>
      </c>
      <c r="G74" s="134">
        <v>240</v>
      </c>
      <c r="H74" s="134">
        <v>37.142</v>
      </c>
      <c r="I74" s="131">
        <f t="shared" si="32"/>
        <v>36.64278</v>
      </c>
      <c r="J74" s="131">
        <f t="shared" si="33"/>
        <v>39.9406302</v>
      </c>
      <c r="K74" s="131">
        <f t="shared" si="34"/>
        <v>483.7254102</v>
      </c>
      <c r="L74" s="131">
        <f t="shared" si="35"/>
        <v>1971.4229092701</v>
      </c>
      <c r="M74" s="34"/>
    </row>
    <row r="75" ht="40.5" outlineLevel="1" spans="1:13">
      <c r="A75" s="35">
        <v>6</v>
      </c>
      <c r="B75" s="141" t="s">
        <v>244</v>
      </c>
      <c r="C75" s="136" t="s">
        <v>245</v>
      </c>
      <c r="D75" s="135" t="s">
        <v>78</v>
      </c>
      <c r="E75" s="137">
        <f>4.2-1.8-0.75</f>
        <v>1.65</v>
      </c>
      <c r="F75" s="134">
        <v>6.74</v>
      </c>
      <c r="G75" s="134">
        <v>14.018</v>
      </c>
      <c r="H75" s="134">
        <v>4.772</v>
      </c>
      <c r="I75" s="131">
        <f t="shared" si="32"/>
        <v>2.2977</v>
      </c>
      <c r="J75" s="131">
        <f t="shared" si="33"/>
        <v>2.504493</v>
      </c>
      <c r="K75" s="131">
        <f t="shared" si="34"/>
        <v>30.332193</v>
      </c>
      <c r="L75" s="131">
        <f t="shared" si="35"/>
        <v>50.04811845</v>
      </c>
      <c r="M75" s="34"/>
    </row>
    <row r="76" ht="67.5" outlineLevel="1" spans="1:13">
      <c r="A76" s="35">
        <v>7</v>
      </c>
      <c r="B76" s="141" t="s">
        <v>246</v>
      </c>
      <c r="C76" s="136" t="s">
        <v>247</v>
      </c>
      <c r="D76" s="135" t="s">
        <v>237</v>
      </c>
      <c r="E76" s="137">
        <f>0.75*2.47</f>
        <v>1.8525</v>
      </c>
      <c r="F76" s="134">
        <v>194.56</v>
      </c>
      <c r="G76" s="134">
        <v>356.23</v>
      </c>
      <c r="H76" s="134">
        <v>244.59</v>
      </c>
      <c r="I76" s="131">
        <f t="shared" si="32"/>
        <v>71.5842</v>
      </c>
      <c r="J76" s="131">
        <f t="shared" si="33"/>
        <v>78.026778</v>
      </c>
      <c r="K76" s="131">
        <f t="shared" si="34"/>
        <v>944.990978</v>
      </c>
      <c r="L76" s="131">
        <f t="shared" si="35"/>
        <v>1750.595786745</v>
      </c>
      <c r="M76" s="34"/>
    </row>
    <row r="77" spans="1:13">
      <c r="A77" s="142" t="s">
        <v>257</v>
      </c>
      <c r="B77" s="142" t="s">
        <v>258</v>
      </c>
      <c r="C77" s="129"/>
      <c r="D77" s="34"/>
      <c r="E77" s="137"/>
      <c r="F77" s="137"/>
      <c r="G77" s="137"/>
      <c r="H77" s="137"/>
      <c r="I77" s="137"/>
      <c r="J77" s="137"/>
      <c r="K77" s="137"/>
      <c r="L77" s="137">
        <f>SUM(L78:L84)</f>
        <v>8831.95020788115</v>
      </c>
      <c r="M77" s="34"/>
    </row>
    <row r="78" ht="45" outlineLevel="1" spans="1:13">
      <c r="A78" s="142">
        <v>1</v>
      </c>
      <c r="B78" s="142" t="s">
        <v>233</v>
      </c>
      <c r="C78" s="133" t="s">
        <v>234</v>
      </c>
      <c r="D78" s="129" t="s">
        <v>64</v>
      </c>
      <c r="E78" s="130">
        <v>2.24</v>
      </c>
      <c r="F78" s="134">
        <v>109.6</v>
      </c>
      <c r="G78" s="134">
        <v>142.849</v>
      </c>
      <c r="H78" s="134">
        <v>36.5</v>
      </c>
      <c r="I78" s="131">
        <f>(F78+G78+H78)*0.09</f>
        <v>26.00541</v>
      </c>
      <c r="J78" s="131">
        <f>(F78+G78+H78+I78)*0.09</f>
        <v>28.3458969</v>
      </c>
      <c r="K78" s="131">
        <f>F78+G78+H78+I78+J78</f>
        <v>343.3003069</v>
      </c>
      <c r="L78" s="131">
        <f>E78*K78</f>
        <v>768.992687456</v>
      </c>
      <c r="M78" s="34"/>
    </row>
    <row r="79" ht="67.5" outlineLevel="1" spans="1:13">
      <c r="A79" s="35">
        <v>2</v>
      </c>
      <c r="B79" s="135" t="s">
        <v>235</v>
      </c>
      <c r="C79" s="136" t="s">
        <v>259</v>
      </c>
      <c r="D79" s="135" t="s">
        <v>237</v>
      </c>
      <c r="E79" s="140">
        <v>8.57</v>
      </c>
      <c r="F79" s="134">
        <f>31.43+40</f>
        <v>71.43</v>
      </c>
      <c r="G79" s="134">
        <v>112</v>
      </c>
      <c r="H79" s="134">
        <v>63.268</v>
      </c>
      <c r="I79" s="131">
        <f>(F79+G79+H79)*0.09</f>
        <v>22.20282</v>
      </c>
      <c r="J79" s="131">
        <f>(F79+G79+H79+I79)*0.09</f>
        <v>24.2010738</v>
      </c>
      <c r="K79" s="131">
        <f>F79+G79+H79+I79+J79</f>
        <v>293.1018938</v>
      </c>
      <c r="L79" s="131">
        <f>E79*K79</f>
        <v>2511.883229866</v>
      </c>
      <c r="M79" s="34"/>
    </row>
    <row r="80" ht="45" outlineLevel="1" spans="1:13">
      <c r="A80" s="35">
        <v>3</v>
      </c>
      <c r="B80" s="138" t="s">
        <v>238</v>
      </c>
      <c r="C80" s="139" t="s">
        <v>249</v>
      </c>
      <c r="D80" s="138" t="s">
        <v>64</v>
      </c>
      <c r="E80" s="137">
        <f>2.1*2.3</f>
        <v>4.83</v>
      </c>
      <c r="F80" s="134">
        <v>26.89</v>
      </c>
      <c r="G80" s="134">
        <v>388.913</v>
      </c>
      <c r="H80" s="134">
        <v>166.677</v>
      </c>
      <c r="I80" s="131">
        <f t="shared" ref="I78:I84" si="36">(F80+G80+H80)*0.09</f>
        <v>52.4232</v>
      </c>
      <c r="J80" s="131">
        <f t="shared" ref="J78:J84" si="37">(F80+G80+H80+I80)*0.09</f>
        <v>57.141288</v>
      </c>
      <c r="K80" s="131">
        <f t="shared" ref="K78:K84" si="38">F80+G80+H80+I80+J80</f>
        <v>692.044488</v>
      </c>
      <c r="L80" s="131">
        <f t="shared" ref="L78:L84" si="39">E80*K80</f>
        <v>3342.57487704</v>
      </c>
      <c r="M80" s="34"/>
    </row>
    <row r="81" ht="54" outlineLevel="1" spans="1:13">
      <c r="A81" s="35">
        <v>4</v>
      </c>
      <c r="B81" s="138" t="s">
        <v>240</v>
      </c>
      <c r="C81" s="136" t="s">
        <v>241</v>
      </c>
      <c r="D81" s="135" t="s">
        <v>237</v>
      </c>
      <c r="E81" s="140">
        <f>0.2*2.1</f>
        <v>0.42</v>
      </c>
      <c r="F81" s="134">
        <v>180.69</v>
      </c>
      <c r="G81" s="134">
        <v>380.25</v>
      </c>
      <c r="H81" s="134">
        <f>G81*0.3</f>
        <v>114.075</v>
      </c>
      <c r="I81" s="131">
        <f t="shared" si="36"/>
        <v>60.75135</v>
      </c>
      <c r="J81" s="131">
        <f t="shared" si="37"/>
        <v>66.2189715</v>
      </c>
      <c r="K81" s="131">
        <f t="shared" si="38"/>
        <v>801.9853215</v>
      </c>
      <c r="L81" s="131">
        <f t="shared" si="39"/>
        <v>336.83383503</v>
      </c>
      <c r="M81" s="34"/>
    </row>
    <row r="82" ht="67.5" outlineLevel="1" spans="1:13">
      <c r="A82" s="35">
        <v>5</v>
      </c>
      <c r="B82" s="141" t="s">
        <v>242</v>
      </c>
      <c r="C82" s="136" t="s">
        <v>243</v>
      </c>
      <c r="D82" s="135" t="s">
        <v>64</v>
      </c>
      <c r="E82" s="137">
        <f>0.225*2.47</f>
        <v>0.55575</v>
      </c>
      <c r="F82" s="134">
        <v>130</v>
      </c>
      <c r="G82" s="134">
        <v>240</v>
      </c>
      <c r="H82" s="134">
        <v>37.142</v>
      </c>
      <c r="I82" s="131">
        <f t="shared" si="36"/>
        <v>36.64278</v>
      </c>
      <c r="J82" s="131">
        <f t="shared" si="37"/>
        <v>39.9406302</v>
      </c>
      <c r="K82" s="131">
        <f t="shared" si="38"/>
        <v>483.7254102</v>
      </c>
      <c r="L82" s="131">
        <f t="shared" si="39"/>
        <v>268.83039671865</v>
      </c>
      <c r="M82" s="34"/>
    </row>
    <row r="83" ht="40.5" outlineLevel="1" spans="1:13">
      <c r="A83" s="35">
        <v>6</v>
      </c>
      <c r="B83" s="141" t="s">
        <v>244</v>
      </c>
      <c r="C83" s="136" t="s">
        <v>245</v>
      </c>
      <c r="D83" s="135" t="s">
        <v>78</v>
      </c>
      <c r="E83" s="137">
        <f>0.225+0.675</f>
        <v>0.9</v>
      </c>
      <c r="F83" s="134">
        <v>6.74</v>
      </c>
      <c r="G83" s="134">
        <v>14.018</v>
      </c>
      <c r="H83" s="134">
        <v>4.772</v>
      </c>
      <c r="I83" s="131">
        <f t="shared" si="36"/>
        <v>2.2977</v>
      </c>
      <c r="J83" s="131">
        <f t="shared" si="37"/>
        <v>2.504493</v>
      </c>
      <c r="K83" s="131">
        <f t="shared" si="38"/>
        <v>30.332193</v>
      </c>
      <c r="L83" s="131">
        <f t="shared" si="39"/>
        <v>27.2989737</v>
      </c>
      <c r="M83" s="34"/>
    </row>
    <row r="84" ht="67.5" outlineLevel="1" spans="1:13">
      <c r="A84" s="35">
        <v>7</v>
      </c>
      <c r="B84" s="141" t="s">
        <v>246</v>
      </c>
      <c r="C84" s="136" t="s">
        <v>247</v>
      </c>
      <c r="D84" s="135" t="s">
        <v>237</v>
      </c>
      <c r="E84" s="137">
        <f>0.675*2.47</f>
        <v>1.66725</v>
      </c>
      <c r="F84" s="134">
        <v>194.56</v>
      </c>
      <c r="G84" s="134">
        <v>356.23</v>
      </c>
      <c r="H84" s="134">
        <v>244.59</v>
      </c>
      <c r="I84" s="131">
        <f t="shared" si="36"/>
        <v>71.5842</v>
      </c>
      <c r="J84" s="131">
        <f t="shared" si="37"/>
        <v>78.026778</v>
      </c>
      <c r="K84" s="131">
        <f t="shared" si="38"/>
        <v>944.990978</v>
      </c>
      <c r="L84" s="131">
        <f t="shared" si="39"/>
        <v>1575.5362080705</v>
      </c>
      <c r="M84" s="34"/>
    </row>
    <row r="85" spans="1:13">
      <c r="A85" s="142" t="s">
        <v>260</v>
      </c>
      <c r="B85" s="142" t="s">
        <v>261</v>
      </c>
      <c r="C85" s="129"/>
      <c r="D85" s="34"/>
      <c r="E85" s="137"/>
      <c r="F85" s="137"/>
      <c r="G85" s="137"/>
      <c r="H85" s="137"/>
      <c r="I85" s="137"/>
      <c r="J85" s="137"/>
      <c r="K85" s="137"/>
      <c r="L85" s="137">
        <f>SUM(L86:L92)</f>
        <v>17610.8814948458</v>
      </c>
      <c r="M85" s="34"/>
    </row>
    <row r="86" ht="45" outlineLevel="1" spans="1:13">
      <c r="A86" s="142">
        <v>1</v>
      </c>
      <c r="B86" s="142" t="s">
        <v>233</v>
      </c>
      <c r="C86" s="133" t="s">
        <v>234</v>
      </c>
      <c r="D86" s="129" t="s">
        <v>64</v>
      </c>
      <c r="E86" s="130">
        <v>5.91</v>
      </c>
      <c r="F86" s="134">
        <v>109.6</v>
      </c>
      <c r="G86" s="134">
        <v>142.849</v>
      </c>
      <c r="H86" s="134">
        <v>36.5</v>
      </c>
      <c r="I86" s="131">
        <f>(F86+G86+H86)*0.09</f>
        <v>26.00541</v>
      </c>
      <c r="J86" s="131">
        <f>(F86+G86+H86+I86)*0.09</f>
        <v>28.3458969</v>
      </c>
      <c r="K86" s="131">
        <f>F86+G86+H86+I86+J86</f>
        <v>343.3003069</v>
      </c>
      <c r="L86" s="131">
        <f>E86*K86</f>
        <v>2028.904813779</v>
      </c>
      <c r="M86" s="34"/>
    </row>
    <row r="87" ht="67.5" outlineLevel="1" spans="1:13">
      <c r="A87" s="35">
        <v>2</v>
      </c>
      <c r="B87" s="135" t="s">
        <v>235</v>
      </c>
      <c r="C87" s="136" t="s">
        <v>236</v>
      </c>
      <c r="D87" s="135" t="s">
        <v>237</v>
      </c>
      <c r="E87" s="140">
        <v>14.32</v>
      </c>
      <c r="F87" s="134">
        <f>31.43+40</f>
        <v>71.43</v>
      </c>
      <c r="G87" s="134">
        <v>112</v>
      </c>
      <c r="H87" s="134">
        <v>63.268</v>
      </c>
      <c r="I87" s="131">
        <f>(F87+G87+H87)*0.09</f>
        <v>22.20282</v>
      </c>
      <c r="J87" s="131">
        <f>(F87+G87+H87+I87)*0.09</f>
        <v>24.2010738</v>
      </c>
      <c r="K87" s="131">
        <f>F87+G87+H87+I87+J87</f>
        <v>293.1018938</v>
      </c>
      <c r="L87" s="131">
        <f>E87*K87</f>
        <v>4197.219119216</v>
      </c>
      <c r="M87" s="34"/>
    </row>
    <row r="88" ht="45" outlineLevel="1" spans="1:13">
      <c r="A88" s="35">
        <v>3</v>
      </c>
      <c r="B88" s="138" t="s">
        <v>238</v>
      </c>
      <c r="C88" s="139" t="s">
        <v>249</v>
      </c>
      <c r="D88" s="138" t="s">
        <v>64</v>
      </c>
      <c r="E88" s="137">
        <f>1.5*2.3</f>
        <v>3.45</v>
      </c>
      <c r="F88" s="134">
        <v>26.89</v>
      </c>
      <c r="G88" s="134">
        <v>388.913</v>
      </c>
      <c r="H88" s="134">
        <v>166.677</v>
      </c>
      <c r="I88" s="131">
        <f t="shared" ref="I86:I92" si="40">(F88+G88+H88)*0.09</f>
        <v>52.4232</v>
      </c>
      <c r="J88" s="131">
        <f t="shared" ref="J86:J92" si="41">(F88+G88+H88+I88)*0.09</f>
        <v>57.141288</v>
      </c>
      <c r="K88" s="131">
        <f t="shared" ref="K86:K92" si="42">F88+G88+H88+I88+J88</f>
        <v>692.044488</v>
      </c>
      <c r="L88" s="131">
        <f t="shared" ref="L86:L92" si="43">E88*K88</f>
        <v>2387.5534836</v>
      </c>
      <c r="M88" s="34"/>
    </row>
    <row r="89" ht="54" outlineLevel="1" spans="1:13">
      <c r="A89" s="35">
        <v>4</v>
      </c>
      <c r="B89" s="138" t="s">
        <v>240</v>
      </c>
      <c r="C89" s="136" t="s">
        <v>241</v>
      </c>
      <c r="D89" s="135" t="s">
        <v>237</v>
      </c>
      <c r="E89" s="140">
        <f>0.2*1.5</f>
        <v>0.3</v>
      </c>
      <c r="F89" s="134">
        <v>180.69</v>
      </c>
      <c r="G89" s="134">
        <v>380.25</v>
      </c>
      <c r="H89" s="134">
        <f>G89*0.3</f>
        <v>114.075</v>
      </c>
      <c r="I89" s="131">
        <f t="shared" si="40"/>
        <v>60.75135</v>
      </c>
      <c r="J89" s="131">
        <f t="shared" si="41"/>
        <v>66.2189715</v>
      </c>
      <c r="K89" s="131">
        <f t="shared" si="42"/>
        <v>801.9853215</v>
      </c>
      <c r="L89" s="131">
        <f t="shared" si="43"/>
        <v>240.59559645</v>
      </c>
      <c r="M89" s="34"/>
    </row>
    <row r="90" ht="67.5" outlineLevel="1" spans="1:13">
      <c r="A90" s="35">
        <v>5</v>
      </c>
      <c r="B90" s="141" t="s">
        <v>242</v>
      </c>
      <c r="C90" s="136" t="s">
        <v>243</v>
      </c>
      <c r="D90" s="135" t="s">
        <v>64</v>
      </c>
      <c r="E90" s="137">
        <f>(0.6+0.15+3.2+0.85+0.9)*2.47</f>
        <v>14.079</v>
      </c>
      <c r="F90" s="134">
        <v>130</v>
      </c>
      <c r="G90" s="134">
        <v>240</v>
      </c>
      <c r="H90" s="134">
        <v>37.142</v>
      </c>
      <c r="I90" s="131">
        <f t="shared" si="40"/>
        <v>36.64278</v>
      </c>
      <c r="J90" s="131">
        <f t="shared" si="41"/>
        <v>39.9406302</v>
      </c>
      <c r="K90" s="131">
        <f t="shared" si="42"/>
        <v>483.7254102</v>
      </c>
      <c r="L90" s="131">
        <f t="shared" si="43"/>
        <v>6810.3700502058</v>
      </c>
      <c r="M90" s="34"/>
    </row>
    <row r="91" ht="40.5" outlineLevel="1" spans="1:13">
      <c r="A91" s="35">
        <v>6</v>
      </c>
      <c r="B91" s="141" t="s">
        <v>244</v>
      </c>
      <c r="C91" s="136" t="s">
        <v>245</v>
      </c>
      <c r="D91" s="135" t="s">
        <v>78</v>
      </c>
      <c r="E91" s="137">
        <f>(0.6+0.15+3.2+0.85+0.9+0.75)</f>
        <v>6.45</v>
      </c>
      <c r="F91" s="134">
        <v>6.74</v>
      </c>
      <c r="G91" s="134">
        <v>14.018</v>
      </c>
      <c r="H91" s="134">
        <v>4.772</v>
      </c>
      <c r="I91" s="131">
        <f t="shared" si="40"/>
        <v>2.2977</v>
      </c>
      <c r="J91" s="131">
        <f t="shared" si="41"/>
        <v>2.504493</v>
      </c>
      <c r="K91" s="131">
        <f t="shared" si="42"/>
        <v>30.332193</v>
      </c>
      <c r="L91" s="131">
        <f t="shared" si="43"/>
        <v>195.64264485</v>
      </c>
      <c r="M91" s="34"/>
    </row>
    <row r="92" ht="67.5" outlineLevel="1" spans="1:13">
      <c r="A92" s="35">
        <v>7</v>
      </c>
      <c r="B92" s="141" t="s">
        <v>246</v>
      </c>
      <c r="C92" s="136" t="s">
        <v>247</v>
      </c>
      <c r="D92" s="135" t="s">
        <v>237</v>
      </c>
      <c r="E92" s="137">
        <f>0.75*2.47</f>
        <v>1.8525</v>
      </c>
      <c r="F92" s="134">
        <v>194.56</v>
      </c>
      <c r="G92" s="134">
        <v>356.23</v>
      </c>
      <c r="H92" s="134">
        <v>244.59</v>
      </c>
      <c r="I92" s="131">
        <f t="shared" si="40"/>
        <v>71.5842</v>
      </c>
      <c r="J92" s="131">
        <f t="shared" si="41"/>
        <v>78.026778</v>
      </c>
      <c r="K92" s="131">
        <f t="shared" si="42"/>
        <v>944.990978</v>
      </c>
      <c r="L92" s="131">
        <f t="shared" si="43"/>
        <v>1750.595786745</v>
      </c>
      <c r="M92" s="34"/>
    </row>
    <row r="93" ht="33" customHeight="1" spans="1:13">
      <c r="A93" s="142" t="s">
        <v>262</v>
      </c>
      <c r="B93" s="142" t="s">
        <v>263</v>
      </c>
      <c r="C93" s="129"/>
      <c r="D93" s="34"/>
      <c r="E93" s="137"/>
      <c r="F93" s="137"/>
      <c r="G93" s="137"/>
      <c r="H93" s="137"/>
      <c r="I93" s="137"/>
      <c r="J93" s="137"/>
      <c r="K93" s="137"/>
      <c r="L93" s="137">
        <f>SUM(L94:L100)</f>
        <v>13898.4367284292</v>
      </c>
      <c r="M93" s="34"/>
    </row>
    <row r="94" ht="45" outlineLevel="1" spans="1:13">
      <c r="A94" s="142">
        <v>1</v>
      </c>
      <c r="B94" s="142" t="s">
        <v>233</v>
      </c>
      <c r="C94" s="133" t="s">
        <v>234</v>
      </c>
      <c r="D94" s="129" t="s">
        <v>64</v>
      </c>
      <c r="E94" s="130">
        <v>3.86</v>
      </c>
      <c r="F94" s="134">
        <v>109.6</v>
      </c>
      <c r="G94" s="134">
        <v>142.849</v>
      </c>
      <c r="H94" s="134">
        <v>36.5</v>
      </c>
      <c r="I94" s="131">
        <f>(F94+G94+H94)*0.09</f>
        <v>26.00541</v>
      </c>
      <c r="J94" s="131">
        <f>(F94+G94+H94+I94)*0.09</f>
        <v>28.3458969</v>
      </c>
      <c r="K94" s="131">
        <f>F94+G94+H94+I94+J94</f>
        <v>343.3003069</v>
      </c>
      <c r="L94" s="131">
        <f>E94*K94</f>
        <v>1325.139184634</v>
      </c>
      <c r="M94" s="34"/>
    </row>
    <row r="95" ht="67.5" outlineLevel="1" spans="1:13">
      <c r="A95" s="35">
        <v>2</v>
      </c>
      <c r="B95" s="135" t="s">
        <v>235</v>
      </c>
      <c r="C95" s="136" t="s">
        <v>236</v>
      </c>
      <c r="D95" s="135" t="s">
        <v>237</v>
      </c>
      <c r="E95" s="140">
        <v>14.68</v>
      </c>
      <c r="F95" s="134">
        <f>31.43+40</f>
        <v>71.43</v>
      </c>
      <c r="G95" s="134">
        <v>112</v>
      </c>
      <c r="H95" s="134">
        <v>63.268</v>
      </c>
      <c r="I95" s="131">
        <f>(F95+G95+H95)*0.09</f>
        <v>22.20282</v>
      </c>
      <c r="J95" s="131">
        <f>(F95+G95+H95+I95)*0.09</f>
        <v>24.2010738</v>
      </c>
      <c r="K95" s="131">
        <f>F95+G95+H95+I95+J95</f>
        <v>293.1018938</v>
      </c>
      <c r="L95" s="131">
        <f>E95*K95</f>
        <v>4302.735800984</v>
      </c>
      <c r="M95" s="34"/>
    </row>
    <row r="96" ht="45" outlineLevel="1" spans="1:13">
      <c r="A96" s="35">
        <v>3</v>
      </c>
      <c r="B96" s="138" t="s">
        <v>238</v>
      </c>
      <c r="C96" s="139" t="s">
        <v>249</v>
      </c>
      <c r="D96" s="138" t="s">
        <v>64</v>
      </c>
      <c r="E96" s="137">
        <f>2.1*2.3</f>
        <v>4.83</v>
      </c>
      <c r="F96" s="134">
        <v>26.89</v>
      </c>
      <c r="G96" s="134">
        <v>388.913</v>
      </c>
      <c r="H96" s="134">
        <v>166.677</v>
      </c>
      <c r="I96" s="131">
        <f t="shared" ref="I94:I100" si="44">(F96+G96+H96)*0.09</f>
        <v>52.4232</v>
      </c>
      <c r="J96" s="131">
        <f t="shared" ref="J94:J100" si="45">(F96+G96+H96+I96)*0.09</f>
        <v>57.141288</v>
      </c>
      <c r="K96" s="131">
        <f t="shared" ref="K94:K100" si="46">F96+G96+H96+I96+J96</f>
        <v>692.044488</v>
      </c>
      <c r="L96" s="131">
        <f t="shared" ref="L94:L100" si="47">E96*K96</f>
        <v>3342.57487704</v>
      </c>
      <c r="M96" s="34"/>
    </row>
    <row r="97" ht="54" outlineLevel="1" spans="1:13">
      <c r="A97" s="35">
        <v>4</v>
      </c>
      <c r="B97" s="138" t="s">
        <v>240</v>
      </c>
      <c r="C97" s="136" t="s">
        <v>241</v>
      </c>
      <c r="D97" s="135" t="s">
        <v>237</v>
      </c>
      <c r="E97" s="140">
        <f>0.2*2.1</f>
        <v>0.42</v>
      </c>
      <c r="F97" s="134">
        <v>180.69</v>
      </c>
      <c r="G97" s="134">
        <v>380.25</v>
      </c>
      <c r="H97" s="134">
        <f>G97*0.3</f>
        <v>114.075</v>
      </c>
      <c r="I97" s="131">
        <f t="shared" si="44"/>
        <v>60.75135</v>
      </c>
      <c r="J97" s="131">
        <f t="shared" si="45"/>
        <v>66.2189715</v>
      </c>
      <c r="K97" s="131">
        <f t="shared" si="46"/>
        <v>801.9853215</v>
      </c>
      <c r="L97" s="131">
        <f t="shared" si="47"/>
        <v>336.83383503</v>
      </c>
      <c r="M97" s="34"/>
    </row>
    <row r="98" ht="67.5" outlineLevel="1" spans="1:13">
      <c r="A98" s="35">
        <v>5</v>
      </c>
      <c r="B98" s="141" t="s">
        <v>242</v>
      </c>
      <c r="C98" s="136" t="s">
        <v>243</v>
      </c>
      <c r="D98" s="135" t="s">
        <v>64</v>
      </c>
      <c r="E98" s="137">
        <f>(5.15-2.1-0.75)*2.47</f>
        <v>5.681</v>
      </c>
      <c r="F98" s="134">
        <v>130</v>
      </c>
      <c r="G98" s="134">
        <v>240</v>
      </c>
      <c r="H98" s="134">
        <v>37.142</v>
      </c>
      <c r="I98" s="131">
        <f t="shared" si="44"/>
        <v>36.64278</v>
      </c>
      <c r="J98" s="131">
        <f t="shared" si="45"/>
        <v>39.9406302</v>
      </c>
      <c r="K98" s="131">
        <f t="shared" si="46"/>
        <v>483.7254102</v>
      </c>
      <c r="L98" s="131">
        <f t="shared" si="47"/>
        <v>2748.0440553462</v>
      </c>
      <c r="M98" s="77" t="s">
        <v>218</v>
      </c>
    </row>
    <row r="99" ht="40.5" outlineLevel="1" spans="1:13">
      <c r="A99" s="35">
        <v>6</v>
      </c>
      <c r="B99" s="141" t="s">
        <v>244</v>
      </c>
      <c r="C99" s="136" t="s">
        <v>245</v>
      </c>
      <c r="D99" s="135" t="s">
        <v>78</v>
      </c>
      <c r="E99" s="137">
        <f>(5.15-2.1)</f>
        <v>3.05</v>
      </c>
      <c r="F99" s="134">
        <v>6.74</v>
      </c>
      <c r="G99" s="134">
        <v>14.018</v>
      </c>
      <c r="H99" s="134">
        <v>4.772</v>
      </c>
      <c r="I99" s="131">
        <f t="shared" si="44"/>
        <v>2.2977</v>
      </c>
      <c r="J99" s="131">
        <f t="shared" si="45"/>
        <v>2.504493</v>
      </c>
      <c r="K99" s="131">
        <f t="shared" si="46"/>
        <v>30.332193</v>
      </c>
      <c r="L99" s="131">
        <f t="shared" si="47"/>
        <v>92.51318865</v>
      </c>
      <c r="M99" s="34"/>
    </row>
    <row r="100" ht="67.5" outlineLevel="1" spans="1:13">
      <c r="A100" s="35">
        <v>7</v>
      </c>
      <c r="B100" s="141" t="s">
        <v>246</v>
      </c>
      <c r="C100" s="136" t="s">
        <v>247</v>
      </c>
      <c r="D100" s="135" t="s">
        <v>237</v>
      </c>
      <c r="E100" s="137">
        <f>0.75*2.47</f>
        <v>1.8525</v>
      </c>
      <c r="F100" s="134">
        <v>194.56</v>
      </c>
      <c r="G100" s="134">
        <v>356.23</v>
      </c>
      <c r="H100" s="134">
        <v>244.59</v>
      </c>
      <c r="I100" s="131">
        <f t="shared" si="44"/>
        <v>71.5842</v>
      </c>
      <c r="J100" s="131">
        <f t="shared" si="45"/>
        <v>78.026778</v>
      </c>
      <c r="K100" s="131">
        <f t="shared" si="46"/>
        <v>944.990978</v>
      </c>
      <c r="L100" s="131">
        <f t="shared" si="47"/>
        <v>1750.595786745</v>
      </c>
      <c r="M100" s="34"/>
    </row>
    <row r="101" spans="1:13">
      <c r="A101" s="142" t="s">
        <v>264</v>
      </c>
      <c r="B101" s="142" t="s">
        <v>265</v>
      </c>
      <c r="C101" s="129"/>
      <c r="D101" s="34"/>
      <c r="E101" s="137"/>
      <c r="F101" s="137"/>
      <c r="G101" s="137"/>
      <c r="H101" s="137"/>
      <c r="I101" s="137"/>
      <c r="J101" s="137"/>
      <c r="K101" s="137"/>
      <c r="L101" s="137">
        <f>SUM(L102:L108)</f>
        <v>13230.9176463615</v>
      </c>
      <c r="M101" s="34"/>
    </row>
    <row r="102" ht="45" outlineLevel="1" spans="1:13">
      <c r="A102" s="142">
        <v>1</v>
      </c>
      <c r="B102" s="142" t="s">
        <v>233</v>
      </c>
      <c r="C102" s="133" t="s">
        <v>234</v>
      </c>
      <c r="D102" s="129" t="s">
        <v>64</v>
      </c>
      <c r="E102" s="130">
        <v>5.94</v>
      </c>
      <c r="F102" s="134">
        <v>109.6</v>
      </c>
      <c r="G102" s="134">
        <v>142.849</v>
      </c>
      <c r="H102" s="134">
        <v>36.5</v>
      </c>
      <c r="I102" s="131">
        <f>(F102+G102+H102)*0.09</f>
        <v>26.00541</v>
      </c>
      <c r="J102" s="131">
        <f>(F102+G102+H102+I102)*0.09</f>
        <v>28.3458969</v>
      </c>
      <c r="K102" s="131">
        <f>F102+G102+H102+I102+J102</f>
        <v>343.3003069</v>
      </c>
      <c r="L102" s="131">
        <f>E102*K102</f>
        <v>2039.203822986</v>
      </c>
      <c r="M102" s="34"/>
    </row>
    <row r="103" ht="67.5" outlineLevel="1" spans="1:13">
      <c r="A103" s="35">
        <v>2</v>
      </c>
      <c r="B103" s="135" t="s">
        <v>235</v>
      </c>
      <c r="C103" s="136" t="s">
        <v>236</v>
      </c>
      <c r="D103" s="135" t="s">
        <v>237</v>
      </c>
      <c r="E103" s="140">
        <v>15.93</v>
      </c>
      <c r="F103" s="134">
        <f>31.43+40</f>
        <v>71.43</v>
      </c>
      <c r="G103" s="134">
        <v>112</v>
      </c>
      <c r="H103" s="134">
        <v>63.268</v>
      </c>
      <c r="I103" s="131">
        <f>(F103+G103+H103)*0.09</f>
        <v>22.20282</v>
      </c>
      <c r="J103" s="131">
        <f>(F103+G103+H103+I103)*0.09</f>
        <v>24.2010738</v>
      </c>
      <c r="K103" s="131">
        <f>F103+G103+H103+I103+J103</f>
        <v>293.1018938</v>
      </c>
      <c r="L103" s="131">
        <f>E103*K103</f>
        <v>4669.113168234</v>
      </c>
      <c r="M103" s="34"/>
    </row>
    <row r="104" ht="45" outlineLevel="1" spans="1:13">
      <c r="A104" s="35">
        <v>3</v>
      </c>
      <c r="B104" s="138" t="s">
        <v>238</v>
      </c>
      <c r="C104" s="139" t="s">
        <v>249</v>
      </c>
      <c r="D104" s="138" t="s">
        <v>64</v>
      </c>
      <c r="E104" s="137">
        <f>2.1*2.3</f>
        <v>4.83</v>
      </c>
      <c r="F104" s="134">
        <v>26.89</v>
      </c>
      <c r="G104" s="134">
        <v>388.913</v>
      </c>
      <c r="H104" s="134">
        <v>166.677</v>
      </c>
      <c r="I104" s="131">
        <f t="shared" ref="I102:I108" si="48">(F104+G104+H104)*0.09</f>
        <v>52.4232</v>
      </c>
      <c r="J104" s="131">
        <f t="shared" ref="J102:J108" si="49">(F104+G104+H104+I104)*0.09</f>
        <v>57.141288</v>
      </c>
      <c r="K104" s="131">
        <f t="shared" ref="K102:K108" si="50">F104+G104+H104+I104+J104</f>
        <v>692.044488</v>
      </c>
      <c r="L104" s="131">
        <f t="shared" ref="L102:L108" si="51">E104*K104</f>
        <v>3342.57487704</v>
      </c>
      <c r="M104" s="34"/>
    </row>
    <row r="105" ht="54" outlineLevel="1" spans="1:13">
      <c r="A105" s="35">
        <v>4</v>
      </c>
      <c r="B105" s="138" t="s">
        <v>240</v>
      </c>
      <c r="C105" s="136" t="s">
        <v>241</v>
      </c>
      <c r="D105" s="135" t="s">
        <v>237</v>
      </c>
      <c r="E105" s="140">
        <f>0.2*2.1</f>
        <v>0.42</v>
      </c>
      <c r="F105" s="134">
        <v>180.69</v>
      </c>
      <c r="G105" s="134">
        <v>380.25</v>
      </c>
      <c r="H105" s="134">
        <f>G105*0.3</f>
        <v>114.075</v>
      </c>
      <c r="I105" s="131">
        <f t="shared" si="48"/>
        <v>60.75135</v>
      </c>
      <c r="J105" s="131">
        <f t="shared" si="49"/>
        <v>66.2189715</v>
      </c>
      <c r="K105" s="131">
        <f t="shared" si="50"/>
        <v>801.9853215</v>
      </c>
      <c r="L105" s="131">
        <f t="shared" si="51"/>
        <v>336.83383503</v>
      </c>
      <c r="M105" s="34"/>
    </row>
    <row r="106" ht="67.5" outlineLevel="1" spans="1:13">
      <c r="A106" s="35">
        <v>5</v>
      </c>
      <c r="B106" s="141" t="s">
        <v>242</v>
      </c>
      <c r="C106" s="136" t="s">
        <v>243</v>
      </c>
      <c r="D106" s="135" t="s">
        <v>64</v>
      </c>
      <c r="E106" s="137">
        <f>(3.7-2.1-0.775)*2.47</f>
        <v>2.03775</v>
      </c>
      <c r="F106" s="134">
        <v>130</v>
      </c>
      <c r="G106" s="134">
        <v>240</v>
      </c>
      <c r="H106" s="134">
        <v>37.142</v>
      </c>
      <c r="I106" s="131">
        <f t="shared" si="48"/>
        <v>36.64278</v>
      </c>
      <c r="J106" s="131">
        <f t="shared" si="49"/>
        <v>39.9406302</v>
      </c>
      <c r="K106" s="131">
        <f t="shared" si="50"/>
        <v>483.7254102</v>
      </c>
      <c r="L106" s="131">
        <f t="shared" si="51"/>
        <v>985.71145463505</v>
      </c>
      <c r="M106" s="77" t="s">
        <v>218</v>
      </c>
    </row>
    <row r="107" ht="40.5" outlineLevel="1" spans="1:13">
      <c r="A107" s="35">
        <v>6</v>
      </c>
      <c r="B107" s="141" t="s">
        <v>244</v>
      </c>
      <c r="C107" s="136" t="s">
        <v>245</v>
      </c>
      <c r="D107" s="135" t="s">
        <v>78</v>
      </c>
      <c r="E107" s="137">
        <f>(3.7-2.1)</f>
        <v>1.6</v>
      </c>
      <c r="F107" s="134">
        <v>6.74</v>
      </c>
      <c r="G107" s="134">
        <v>14.018</v>
      </c>
      <c r="H107" s="134">
        <v>4.772</v>
      </c>
      <c r="I107" s="131">
        <f t="shared" si="48"/>
        <v>2.2977</v>
      </c>
      <c r="J107" s="131">
        <f t="shared" si="49"/>
        <v>2.504493</v>
      </c>
      <c r="K107" s="131">
        <f t="shared" si="50"/>
        <v>30.332193</v>
      </c>
      <c r="L107" s="131">
        <f t="shared" si="51"/>
        <v>48.5315088</v>
      </c>
      <c r="M107" s="34"/>
    </row>
    <row r="108" ht="67.5" outlineLevel="1" spans="1:13">
      <c r="A108" s="35">
        <v>7</v>
      </c>
      <c r="B108" s="141" t="s">
        <v>246</v>
      </c>
      <c r="C108" s="136" t="s">
        <v>247</v>
      </c>
      <c r="D108" s="135" t="s">
        <v>237</v>
      </c>
      <c r="E108" s="137">
        <f>0.775*2.47</f>
        <v>1.91425</v>
      </c>
      <c r="F108" s="134">
        <v>194.56</v>
      </c>
      <c r="G108" s="134">
        <v>356.23</v>
      </c>
      <c r="H108" s="134">
        <v>244.59</v>
      </c>
      <c r="I108" s="131">
        <f t="shared" si="48"/>
        <v>71.5842</v>
      </c>
      <c r="J108" s="131">
        <f t="shared" si="49"/>
        <v>78.026778</v>
      </c>
      <c r="K108" s="131">
        <f t="shared" si="50"/>
        <v>944.990978</v>
      </c>
      <c r="L108" s="131">
        <f t="shared" si="51"/>
        <v>1808.9489796365</v>
      </c>
      <c r="M108" s="34"/>
    </row>
    <row r="109" ht="28" customHeight="1" spans="1:13">
      <c r="A109" s="142" t="s">
        <v>266</v>
      </c>
      <c r="B109" s="142" t="s">
        <v>267</v>
      </c>
      <c r="C109" s="129"/>
      <c r="D109" s="34"/>
      <c r="E109" s="137"/>
      <c r="F109" s="137"/>
      <c r="G109" s="137"/>
      <c r="H109" s="137"/>
      <c r="I109" s="137"/>
      <c r="J109" s="137"/>
      <c r="K109" s="137"/>
      <c r="L109" s="137">
        <f>SUM(L110:L116)</f>
        <v>12155.7271520648</v>
      </c>
      <c r="M109" s="34"/>
    </row>
    <row r="110" ht="57" customHeight="1" outlineLevel="1" spans="1:13">
      <c r="A110" s="142">
        <v>1</v>
      </c>
      <c r="B110" s="142" t="s">
        <v>233</v>
      </c>
      <c r="C110" s="133" t="s">
        <v>234</v>
      </c>
      <c r="D110" s="129" t="s">
        <v>64</v>
      </c>
      <c r="E110" s="130">
        <v>5.79</v>
      </c>
      <c r="F110" s="134">
        <v>109.6</v>
      </c>
      <c r="G110" s="134">
        <v>142.849</v>
      </c>
      <c r="H110" s="134">
        <v>36.5</v>
      </c>
      <c r="I110" s="131">
        <f>(F110+G110+H110)*0.09</f>
        <v>26.00541</v>
      </c>
      <c r="J110" s="131">
        <f>(F110+G110+H110+I110)*0.09</f>
        <v>28.3458969</v>
      </c>
      <c r="K110" s="131">
        <f>F110+G110+H110+I110+J110</f>
        <v>343.3003069</v>
      </c>
      <c r="L110" s="131">
        <f>E110*K110</f>
        <v>1987.708776951</v>
      </c>
      <c r="M110" s="34"/>
    </row>
    <row r="111" ht="72" customHeight="1" outlineLevel="1" spans="1:13">
      <c r="A111" s="35">
        <v>2</v>
      </c>
      <c r="B111" s="135" t="s">
        <v>235</v>
      </c>
      <c r="C111" s="136" t="s">
        <v>236</v>
      </c>
      <c r="D111" s="135" t="s">
        <v>237</v>
      </c>
      <c r="E111" s="140">
        <v>14.52</v>
      </c>
      <c r="F111" s="134">
        <f>31.43+40</f>
        <v>71.43</v>
      </c>
      <c r="G111" s="134">
        <v>112</v>
      </c>
      <c r="H111" s="134">
        <v>63.268</v>
      </c>
      <c r="I111" s="131">
        <f>(F111+G111+H111)*0.09</f>
        <v>22.20282</v>
      </c>
      <c r="J111" s="131">
        <f>(F111+G111+H111+I111)*0.09</f>
        <v>24.2010738</v>
      </c>
      <c r="K111" s="131">
        <f>F111+G111+H111+I111+J111</f>
        <v>293.1018938</v>
      </c>
      <c r="L111" s="131">
        <f>E111*K111</f>
        <v>4255.839497976</v>
      </c>
      <c r="M111" s="34"/>
    </row>
    <row r="112" ht="45" outlineLevel="1" spans="1:13">
      <c r="A112" s="35">
        <v>3</v>
      </c>
      <c r="B112" s="138" t="s">
        <v>238</v>
      </c>
      <c r="C112" s="139" t="s">
        <v>249</v>
      </c>
      <c r="D112" s="138" t="s">
        <v>64</v>
      </c>
      <c r="E112" s="137">
        <f>2.1*2.3</f>
        <v>4.83</v>
      </c>
      <c r="F112" s="134">
        <v>26.89</v>
      </c>
      <c r="G112" s="134">
        <v>388.913</v>
      </c>
      <c r="H112" s="134">
        <v>166.677</v>
      </c>
      <c r="I112" s="131">
        <f t="shared" ref="I110:I116" si="52">(F112+G112+H112)*0.09</f>
        <v>52.4232</v>
      </c>
      <c r="J112" s="131">
        <f t="shared" ref="J110:J116" si="53">(F112+G112+H112+I112)*0.09</f>
        <v>57.141288</v>
      </c>
      <c r="K112" s="131">
        <f t="shared" ref="K110:K116" si="54">F112+G112+H112+I112+J112</f>
        <v>692.044488</v>
      </c>
      <c r="L112" s="131">
        <f t="shared" ref="L110:L116" si="55">E112*K112</f>
        <v>3342.57487704</v>
      </c>
      <c r="M112" s="34"/>
    </row>
    <row r="113" ht="54" outlineLevel="1" spans="1:13">
      <c r="A113" s="35">
        <v>4</v>
      </c>
      <c r="B113" s="138" t="s">
        <v>240</v>
      </c>
      <c r="C113" s="136" t="s">
        <v>241</v>
      </c>
      <c r="D113" s="135" t="s">
        <v>237</v>
      </c>
      <c r="E113" s="140">
        <f>0.2*2.1</f>
        <v>0.42</v>
      </c>
      <c r="F113" s="134">
        <v>180.69</v>
      </c>
      <c r="G113" s="134">
        <v>380.25</v>
      </c>
      <c r="H113" s="134">
        <f>G113*0.3</f>
        <v>114.075</v>
      </c>
      <c r="I113" s="131">
        <f t="shared" si="52"/>
        <v>60.75135</v>
      </c>
      <c r="J113" s="131">
        <f t="shared" si="53"/>
        <v>66.2189715</v>
      </c>
      <c r="K113" s="131">
        <f t="shared" si="54"/>
        <v>801.9853215</v>
      </c>
      <c r="L113" s="131">
        <f t="shared" si="55"/>
        <v>336.83383503</v>
      </c>
      <c r="M113" s="34"/>
    </row>
    <row r="114" ht="67.5" outlineLevel="1" spans="1:13">
      <c r="A114" s="35">
        <v>5</v>
      </c>
      <c r="B114" s="141" t="s">
        <v>242</v>
      </c>
      <c r="C114" s="136" t="s">
        <v>243</v>
      </c>
      <c r="D114" s="135" t="s">
        <v>64</v>
      </c>
      <c r="E114" s="137">
        <f>(3.225-2.1-0.75)*2.47</f>
        <v>0.92625</v>
      </c>
      <c r="F114" s="134">
        <v>130</v>
      </c>
      <c r="G114" s="134">
        <v>240</v>
      </c>
      <c r="H114" s="134">
        <v>37.142</v>
      </c>
      <c r="I114" s="131">
        <f t="shared" si="52"/>
        <v>36.64278</v>
      </c>
      <c r="J114" s="131">
        <f t="shared" si="53"/>
        <v>39.9406302</v>
      </c>
      <c r="K114" s="131">
        <f t="shared" si="54"/>
        <v>483.7254102</v>
      </c>
      <c r="L114" s="131">
        <f t="shared" si="55"/>
        <v>448.05066119775</v>
      </c>
      <c r="M114" s="77" t="s">
        <v>218</v>
      </c>
    </row>
    <row r="115" ht="40.5" outlineLevel="1" spans="1:13">
      <c r="A115" s="35">
        <v>6</v>
      </c>
      <c r="B115" s="141" t="s">
        <v>244</v>
      </c>
      <c r="C115" s="136" t="s">
        <v>245</v>
      </c>
      <c r="D115" s="135" t="s">
        <v>78</v>
      </c>
      <c r="E115" s="137">
        <f>(3.225-2.1)</f>
        <v>1.125</v>
      </c>
      <c r="F115" s="134">
        <v>6.74</v>
      </c>
      <c r="G115" s="134">
        <v>14.018</v>
      </c>
      <c r="H115" s="134">
        <v>4.772</v>
      </c>
      <c r="I115" s="131">
        <f t="shared" si="52"/>
        <v>2.2977</v>
      </c>
      <c r="J115" s="131">
        <f t="shared" si="53"/>
        <v>2.504493</v>
      </c>
      <c r="K115" s="131">
        <f t="shared" si="54"/>
        <v>30.332193</v>
      </c>
      <c r="L115" s="131">
        <f t="shared" si="55"/>
        <v>34.123717125</v>
      </c>
      <c r="M115" s="34"/>
    </row>
    <row r="116" ht="67.5" outlineLevel="1" spans="1:13">
      <c r="A116" s="35">
        <v>7</v>
      </c>
      <c r="B116" s="141" t="s">
        <v>246</v>
      </c>
      <c r="C116" s="136" t="s">
        <v>247</v>
      </c>
      <c r="D116" s="135" t="s">
        <v>237</v>
      </c>
      <c r="E116" s="137">
        <f>0.75*2.47</f>
        <v>1.8525</v>
      </c>
      <c r="F116" s="134">
        <v>194.56</v>
      </c>
      <c r="G116" s="134">
        <v>356.23</v>
      </c>
      <c r="H116" s="134">
        <v>244.59</v>
      </c>
      <c r="I116" s="131">
        <f t="shared" si="52"/>
        <v>71.5842</v>
      </c>
      <c r="J116" s="131">
        <f t="shared" si="53"/>
        <v>78.026778</v>
      </c>
      <c r="K116" s="131">
        <f t="shared" si="54"/>
        <v>944.990978</v>
      </c>
      <c r="L116" s="131">
        <f t="shared" si="55"/>
        <v>1750.595786745</v>
      </c>
      <c r="M116" s="34"/>
    </row>
    <row r="117" spans="1:13">
      <c r="A117" s="142" t="s">
        <v>268</v>
      </c>
      <c r="B117" s="142" t="s">
        <v>269</v>
      </c>
      <c r="C117" s="129"/>
      <c r="D117" s="34"/>
      <c r="E117" s="137"/>
      <c r="F117" s="137"/>
      <c r="G117" s="137"/>
      <c r="H117" s="137"/>
      <c r="I117" s="137"/>
      <c r="J117" s="137"/>
      <c r="K117" s="137"/>
      <c r="L117" s="137">
        <f>SUM(L118:L124)</f>
        <v>12036.3096955444</v>
      </c>
      <c r="M117" s="34"/>
    </row>
    <row r="118" ht="59" customHeight="1" outlineLevel="1" spans="1:13">
      <c r="A118" s="142">
        <v>1</v>
      </c>
      <c r="B118" s="142" t="s">
        <v>233</v>
      </c>
      <c r="C118" s="133" t="s">
        <v>234</v>
      </c>
      <c r="D118" s="129" t="s">
        <v>64</v>
      </c>
      <c r="E118" s="130">
        <v>3.75</v>
      </c>
      <c r="F118" s="134">
        <v>109.6</v>
      </c>
      <c r="G118" s="134">
        <v>142.849</v>
      </c>
      <c r="H118" s="134">
        <v>36.5</v>
      </c>
      <c r="I118" s="131">
        <f>(F118+G118+H118)*0.09</f>
        <v>26.00541</v>
      </c>
      <c r="J118" s="131">
        <f>(F118+G118+H118+I118)*0.09</f>
        <v>28.3458969</v>
      </c>
      <c r="K118" s="131">
        <f>F118+G118+H118+I118+J118</f>
        <v>343.3003069</v>
      </c>
      <c r="L118" s="131">
        <f>E118*K118</f>
        <v>1287.376150875</v>
      </c>
      <c r="M118" s="34"/>
    </row>
    <row r="119" ht="80" customHeight="1" outlineLevel="1" spans="1:13">
      <c r="A119" s="35">
        <v>2</v>
      </c>
      <c r="B119" s="135" t="s">
        <v>235</v>
      </c>
      <c r="C119" s="136" t="s">
        <v>236</v>
      </c>
      <c r="D119" s="135" t="s">
        <v>237</v>
      </c>
      <c r="E119" s="140">
        <f>15.73-0.9</f>
        <v>14.83</v>
      </c>
      <c r="F119" s="134">
        <f>31.43+40</f>
        <v>71.43</v>
      </c>
      <c r="G119" s="134">
        <v>112</v>
      </c>
      <c r="H119" s="134">
        <v>63.268</v>
      </c>
      <c r="I119" s="131">
        <f>(F119+G119+H119)*0.09</f>
        <v>22.20282</v>
      </c>
      <c r="J119" s="131">
        <f>(F119+G119+H119+I119)*0.09</f>
        <v>24.2010738</v>
      </c>
      <c r="K119" s="131">
        <f>F119+G119+H119+I119+J119</f>
        <v>293.1018938</v>
      </c>
      <c r="L119" s="131">
        <f>E119*K119</f>
        <v>4346.701085054</v>
      </c>
      <c r="M119" s="34"/>
    </row>
    <row r="120" ht="45" outlineLevel="1" spans="1:13">
      <c r="A120" s="35">
        <v>3</v>
      </c>
      <c r="B120" s="138" t="s">
        <v>238</v>
      </c>
      <c r="C120" s="139" t="s">
        <v>249</v>
      </c>
      <c r="D120" s="138" t="s">
        <v>64</v>
      </c>
      <c r="E120" s="137">
        <f>2.1*2.3</f>
        <v>4.83</v>
      </c>
      <c r="F120" s="134">
        <v>26.89</v>
      </c>
      <c r="G120" s="134">
        <v>388.913</v>
      </c>
      <c r="H120" s="134">
        <v>166.677</v>
      </c>
      <c r="I120" s="131">
        <f t="shared" ref="I118:I124" si="56">(F120+G120+H120)*0.09</f>
        <v>52.4232</v>
      </c>
      <c r="J120" s="131">
        <f t="shared" ref="J118:J124" si="57">(F120+G120+H120+I120)*0.09</f>
        <v>57.141288</v>
      </c>
      <c r="K120" s="131">
        <f t="shared" ref="K118:K124" si="58">F120+G120+H120+I120+J120</f>
        <v>692.044488</v>
      </c>
      <c r="L120" s="131">
        <f t="shared" ref="L118:L124" si="59">E120*K120</f>
        <v>3342.57487704</v>
      </c>
      <c r="M120" s="34"/>
    </row>
    <row r="121" ht="54" outlineLevel="1" spans="1:13">
      <c r="A121" s="35">
        <v>4</v>
      </c>
      <c r="B121" s="138" t="s">
        <v>240</v>
      </c>
      <c r="C121" s="136" t="s">
        <v>241</v>
      </c>
      <c r="D121" s="135" t="s">
        <v>237</v>
      </c>
      <c r="E121" s="140">
        <f>0.2*2.1</f>
        <v>0.42</v>
      </c>
      <c r="F121" s="134">
        <v>180.69</v>
      </c>
      <c r="G121" s="134">
        <v>380.25</v>
      </c>
      <c r="H121" s="134">
        <f>G121*0.3</f>
        <v>114.075</v>
      </c>
      <c r="I121" s="131">
        <f t="shared" si="56"/>
        <v>60.75135</v>
      </c>
      <c r="J121" s="131">
        <f t="shared" si="57"/>
        <v>66.2189715</v>
      </c>
      <c r="K121" s="131">
        <f t="shared" si="58"/>
        <v>801.9853215</v>
      </c>
      <c r="L121" s="131">
        <f t="shared" si="59"/>
        <v>336.83383503</v>
      </c>
      <c r="M121" s="34"/>
    </row>
    <row r="122" ht="67.5" outlineLevel="1" spans="1:13">
      <c r="A122" s="35">
        <v>5</v>
      </c>
      <c r="B122" s="141" t="s">
        <v>242</v>
      </c>
      <c r="C122" s="136" t="s">
        <v>243</v>
      </c>
      <c r="D122" s="135" t="s">
        <v>64</v>
      </c>
      <c r="E122" s="137">
        <f>(3.625-2.1-0.75)*2.47</f>
        <v>1.91425</v>
      </c>
      <c r="F122" s="134">
        <v>130</v>
      </c>
      <c r="G122" s="134">
        <v>240</v>
      </c>
      <c r="H122" s="134">
        <v>37.142</v>
      </c>
      <c r="I122" s="131">
        <f t="shared" si="56"/>
        <v>36.64278</v>
      </c>
      <c r="J122" s="131">
        <f t="shared" si="57"/>
        <v>39.9406302</v>
      </c>
      <c r="K122" s="131">
        <f t="shared" si="58"/>
        <v>483.7254102</v>
      </c>
      <c r="L122" s="131">
        <f t="shared" si="59"/>
        <v>925.97136647535</v>
      </c>
      <c r="M122" s="77" t="s">
        <v>218</v>
      </c>
    </row>
    <row r="123" ht="40.5" outlineLevel="1" spans="1:13">
      <c r="A123" s="35">
        <v>6</v>
      </c>
      <c r="B123" s="141" t="s">
        <v>244</v>
      </c>
      <c r="C123" s="136" t="s">
        <v>245</v>
      </c>
      <c r="D123" s="135" t="s">
        <v>78</v>
      </c>
      <c r="E123" s="137">
        <f>(3.625-2.1)</f>
        <v>1.525</v>
      </c>
      <c r="F123" s="134">
        <v>6.74</v>
      </c>
      <c r="G123" s="134">
        <v>14.018</v>
      </c>
      <c r="H123" s="134">
        <v>4.772</v>
      </c>
      <c r="I123" s="131">
        <f t="shared" si="56"/>
        <v>2.2977</v>
      </c>
      <c r="J123" s="131">
        <f t="shared" si="57"/>
        <v>2.504493</v>
      </c>
      <c r="K123" s="131">
        <f t="shared" si="58"/>
        <v>30.332193</v>
      </c>
      <c r="L123" s="131">
        <f t="shared" si="59"/>
        <v>46.256594325</v>
      </c>
      <c r="M123" s="34"/>
    </row>
    <row r="124" ht="67.5" outlineLevel="1" spans="1:13">
      <c r="A124" s="35">
        <v>7</v>
      </c>
      <c r="B124" s="141" t="s">
        <v>246</v>
      </c>
      <c r="C124" s="136" t="s">
        <v>247</v>
      </c>
      <c r="D124" s="135" t="s">
        <v>237</v>
      </c>
      <c r="E124" s="137">
        <f>0.75*2.47</f>
        <v>1.8525</v>
      </c>
      <c r="F124" s="134">
        <v>194.56</v>
      </c>
      <c r="G124" s="134">
        <v>356.23</v>
      </c>
      <c r="H124" s="134">
        <v>244.59</v>
      </c>
      <c r="I124" s="131">
        <f t="shared" si="56"/>
        <v>71.5842</v>
      </c>
      <c r="J124" s="131">
        <f t="shared" si="57"/>
        <v>78.026778</v>
      </c>
      <c r="K124" s="131">
        <f t="shared" si="58"/>
        <v>944.990978</v>
      </c>
      <c r="L124" s="131">
        <f t="shared" si="59"/>
        <v>1750.595786745</v>
      </c>
      <c r="M124" s="34"/>
    </row>
    <row r="125" spans="1:13">
      <c r="A125" s="142" t="s">
        <v>270</v>
      </c>
      <c r="B125" s="142" t="s">
        <v>271</v>
      </c>
      <c r="C125" s="129"/>
      <c r="D125" s="34"/>
      <c r="E125" s="137"/>
      <c r="F125" s="137"/>
      <c r="G125" s="137"/>
      <c r="H125" s="137"/>
      <c r="I125" s="137"/>
      <c r="J125" s="137"/>
      <c r="K125" s="137"/>
      <c r="L125" s="137">
        <f>SUM(L126:L132)</f>
        <v>9262.43046474672</v>
      </c>
      <c r="M125" s="34"/>
    </row>
    <row r="126" ht="58" customHeight="1" outlineLevel="1" spans="1:13">
      <c r="A126" s="142">
        <v>1</v>
      </c>
      <c r="B126" s="142" t="s">
        <v>233</v>
      </c>
      <c r="C126" s="133" t="s">
        <v>234</v>
      </c>
      <c r="D126" s="129" t="s">
        <v>64</v>
      </c>
      <c r="E126" s="130">
        <v>3.5</v>
      </c>
      <c r="F126" s="134">
        <v>109.6</v>
      </c>
      <c r="G126" s="134">
        <v>142.849</v>
      </c>
      <c r="H126" s="134">
        <v>36.5</v>
      </c>
      <c r="I126" s="131">
        <f>(F126+G126+H126)*0.09</f>
        <v>26.00541</v>
      </c>
      <c r="J126" s="131">
        <f>(F126+G126+H126+I126)*0.09</f>
        <v>28.3458969</v>
      </c>
      <c r="K126" s="131">
        <f>F126+G126+H126+I126+J126</f>
        <v>343.3003069</v>
      </c>
      <c r="L126" s="131">
        <f>E126*K126</f>
        <v>1201.55107415</v>
      </c>
      <c r="M126" s="34"/>
    </row>
    <row r="127" ht="67.5" outlineLevel="1" spans="1:13">
      <c r="A127" s="35">
        <v>2</v>
      </c>
      <c r="B127" s="135" t="s">
        <v>235</v>
      </c>
      <c r="C127" s="136" t="s">
        <v>236</v>
      </c>
      <c r="D127" s="135" t="s">
        <v>237</v>
      </c>
      <c r="E127" s="140">
        <v>7.31</v>
      </c>
      <c r="F127" s="134">
        <f>31.43+40</f>
        <v>71.43</v>
      </c>
      <c r="G127" s="134">
        <v>112</v>
      </c>
      <c r="H127" s="134">
        <v>63.268</v>
      </c>
      <c r="I127" s="131">
        <f>(F127+G127+H127)*0.09</f>
        <v>22.20282</v>
      </c>
      <c r="J127" s="131">
        <f>(F127+G127+H127+I127)*0.09</f>
        <v>24.2010738</v>
      </c>
      <c r="K127" s="131">
        <f>F127+G127+H127+I127+J127</f>
        <v>293.1018938</v>
      </c>
      <c r="L127" s="131">
        <f>E127*K127</f>
        <v>2142.574843678</v>
      </c>
      <c r="M127" s="34"/>
    </row>
    <row r="128" ht="45" outlineLevel="1" spans="1:13">
      <c r="A128" s="35">
        <v>3</v>
      </c>
      <c r="B128" s="138" t="s">
        <v>238</v>
      </c>
      <c r="C128" s="139" t="s">
        <v>249</v>
      </c>
      <c r="D128" s="138" t="s">
        <v>64</v>
      </c>
      <c r="E128" s="137">
        <f>2.1*2.3</f>
        <v>4.83</v>
      </c>
      <c r="F128" s="134">
        <v>26.89</v>
      </c>
      <c r="G128" s="134">
        <v>388.913</v>
      </c>
      <c r="H128" s="134">
        <v>166.677</v>
      </c>
      <c r="I128" s="131">
        <f t="shared" ref="I126:I132" si="60">(F128+G128+H128)*0.09</f>
        <v>52.4232</v>
      </c>
      <c r="J128" s="131">
        <f t="shared" ref="J126:J132" si="61">(F128+G128+H128+I128)*0.09</f>
        <v>57.141288</v>
      </c>
      <c r="K128" s="131">
        <f t="shared" ref="K126:K132" si="62">F128+G128+H128+I128+J128</f>
        <v>692.044488</v>
      </c>
      <c r="L128" s="131">
        <f t="shared" ref="L126:L132" si="63">E128*K128</f>
        <v>3342.57487704</v>
      </c>
      <c r="M128" s="34"/>
    </row>
    <row r="129" ht="54" outlineLevel="1" spans="1:13">
      <c r="A129" s="35">
        <v>4</v>
      </c>
      <c r="B129" s="138" t="s">
        <v>240</v>
      </c>
      <c r="C129" s="136" t="s">
        <v>241</v>
      </c>
      <c r="D129" s="135" t="s">
        <v>237</v>
      </c>
      <c r="E129" s="140">
        <f>0.2*2.1</f>
        <v>0.42</v>
      </c>
      <c r="F129" s="134">
        <v>180.69</v>
      </c>
      <c r="G129" s="134">
        <v>380.25</v>
      </c>
      <c r="H129" s="134">
        <f>G129*0.3</f>
        <v>114.075</v>
      </c>
      <c r="I129" s="131">
        <f t="shared" si="60"/>
        <v>60.75135</v>
      </c>
      <c r="J129" s="131">
        <f t="shared" si="61"/>
        <v>66.2189715</v>
      </c>
      <c r="K129" s="131">
        <f t="shared" si="62"/>
        <v>801.9853215</v>
      </c>
      <c r="L129" s="131">
        <f t="shared" si="63"/>
        <v>336.83383503</v>
      </c>
      <c r="M129" s="34"/>
    </row>
    <row r="130" ht="67.5" outlineLevel="1" spans="1:13">
      <c r="A130" s="35">
        <v>5</v>
      </c>
      <c r="B130" s="141" t="s">
        <v>242</v>
      </c>
      <c r="C130" s="136" t="s">
        <v>243</v>
      </c>
      <c r="D130" s="135" t="s">
        <v>64</v>
      </c>
      <c r="E130" s="137">
        <f>(0.225+0.155)*2.47</f>
        <v>0.9386</v>
      </c>
      <c r="F130" s="134">
        <v>130</v>
      </c>
      <c r="G130" s="134">
        <v>240</v>
      </c>
      <c r="H130" s="134">
        <v>37.142</v>
      </c>
      <c r="I130" s="131">
        <f t="shared" si="60"/>
        <v>36.64278</v>
      </c>
      <c r="J130" s="131">
        <f t="shared" si="61"/>
        <v>39.9406302</v>
      </c>
      <c r="K130" s="131">
        <f t="shared" si="62"/>
        <v>483.7254102</v>
      </c>
      <c r="L130" s="131">
        <f t="shared" si="63"/>
        <v>454.02467001372</v>
      </c>
      <c r="M130" s="77" t="s">
        <v>218</v>
      </c>
    </row>
    <row r="131" ht="40.5" outlineLevel="1" spans="1:13">
      <c r="A131" s="35">
        <v>6</v>
      </c>
      <c r="B131" s="141" t="s">
        <v>244</v>
      </c>
      <c r="C131" s="136" t="s">
        <v>245</v>
      </c>
      <c r="D131" s="135" t="s">
        <v>78</v>
      </c>
      <c r="E131" s="137">
        <f>0.225+0.155+0.75</f>
        <v>1.13</v>
      </c>
      <c r="F131" s="134">
        <v>6.74</v>
      </c>
      <c r="G131" s="134">
        <v>14.018</v>
      </c>
      <c r="H131" s="134">
        <v>4.772</v>
      </c>
      <c r="I131" s="131">
        <f t="shared" si="60"/>
        <v>2.2977</v>
      </c>
      <c r="J131" s="131">
        <f t="shared" si="61"/>
        <v>2.504493</v>
      </c>
      <c r="K131" s="131">
        <f t="shared" si="62"/>
        <v>30.332193</v>
      </c>
      <c r="L131" s="131">
        <f t="shared" si="63"/>
        <v>34.27537809</v>
      </c>
      <c r="M131" s="34"/>
    </row>
    <row r="132" ht="67.5" outlineLevel="1" spans="1:13">
      <c r="A132" s="35">
        <v>7</v>
      </c>
      <c r="B132" s="141" t="s">
        <v>246</v>
      </c>
      <c r="C132" s="136" t="s">
        <v>247</v>
      </c>
      <c r="D132" s="135" t="s">
        <v>237</v>
      </c>
      <c r="E132" s="137">
        <f>0.75*2.47</f>
        <v>1.8525</v>
      </c>
      <c r="F132" s="134">
        <v>194.56</v>
      </c>
      <c r="G132" s="134">
        <v>356.23</v>
      </c>
      <c r="H132" s="134">
        <v>244.59</v>
      </c>
      <c r="I132" s="131">
        <f t="shared" si="60"/>
        <v>71.5842</v>
      </c>
      <c r="J132" s="131">
        <f t="shared" si="61"/>
        <v>78.026778</v>
      </c>
      <c r="K132" s="131">
        <f t="shared" si="62"/>
        <v>944.990978</v>
      </c>
      <c r="L132" s="131">
        <f t="shared" si="63"/>
        <v>1750.595786745</v>
      </c>
      <c r="M132" s="34"/>
    </row>
  </sheetData>
  <autoFilter xmlns:etc="http://www.wps.cn/officeDocument/2017/etCustomData" ref="A3:S132" etc:filterBottomFollowUsedRange="0">
    <extLst/>
  </autoFilter>
  <mergeCells count="13">
    <mergeCell ref="A1:M1"/>
    <mergeCell ref="F2:J2"/>
    <mergeCell ref="A2:A4"/>
    <mergeCell ref="B2:B4"/>
    <mergeCell ref="C2:C4"/>
    <mergeCell ref="D2:D4"/>
    <mergeCell ref="E2:E4"/>
    <mergeCell ref="F3:F4"/>
    <mergeCell ref="G3:G4"/>
    <mergeCell ref="H3:H4"/>
    <mergeCell ref="K2:K4"/>
    <mergeCell ref="L2:L4"/>
    <mergeCell ref="M2:M4"/>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6"/>
  <sheetViews>
    <sheetView workbookViewId="0">
      <selection activeCell="P10" sqref="P10"/>
    </sheetView>
  </sheetViews>
  <sheetFormatPr defaultColWidth="9" defaultRowHeight="13.5"/>
  <cols>
    <col min="1" max="1" width="3.63333333333333" style="78" customWidth="1"/>
    <col min="2" max="2" width="13.6333333333333" style="80" customWidth="1"/>
    <col min="3" max="3" width="23.75" style="78" customWidth="1"/>
    <col min="4" max="4" width="5.13333333333333" style="78" customWidth="1"/>
    <col min="5" max="5" width="6.5" style="81" customWidth="1"/>
    <col min="6" max="6" width="7.75" style="82" customWidth="1"/>
    <col min="7" max="7" width="8" style="82" customWidth="1"/>
    <col min="8" max="8" width="7.5" style="82" customWidth="1"/>
    <col min="9" max="9" width="6.88333333333333" style="82" customWidth="1"/>
    <col min="10" max="10" width="6.13333333333333" style="78" customWidth="1"/>
    <col min="11" max="12" width="8" style="78" customWidth="1"/>
    <col min="13" max="13" width="9.5" style="78" customWidth="1"/>
    <col min="14" max="14" width="8.38333333333333" style="78" customWidth="1"/>
    <col min="15" max="15" width="9.38333333333333" style="78" customWidth="1"/>
    <col min="16" max="16" width="10.25" style="78" customWidth="1"/>
    <col min="17" max="16384" width="9" style="78"/>
  </cols>
  <sheetData>
    <row r="1" s="78" customFormat="1" ht="27" customHeight="1" spans="1:15">
      <c r="A1" s="83" t="s">
        <v>272</v>
      </c>
      <c r="B1" s="84"/>
      <c r="C1" s="83"/>
      <c r="D1" s="83"/>
      <c r="E1" s="83"/>
      <c r="F1" s="83"/>
      <c r="G1" s="83"/>
      <c r="H1" s="83"/>
      <c r="I1" s="83"/>
      <c r="J1" s="83"/>
      <c r="K1" s="83"/>
      <c r="L1" s="83"/>
      <c r="M1" s="83"/>
      <c r="N1" s="83"/>
      <c r="O1" s="83"/>
    </row>
    <row r="2" s="79" customFormat="1" ht="33.95" customHeight="1" spans="1:15">
      <c r="A2" s="85" t="s">
        <v>46</v>
      </c>
      <c r="B2" s="86" t="s">
        <v>47</v>
      </c>
      <c r="C2" s="87" t="s">
        <v>48</v>
      </c>
      <c r="D2" s="87" t="s">
        <v>25</v>
      </c>
      <c r="E2" s="88" t="s">
        <v>49</v>
      </c>
      <c r="F2" s="89" t="s">
        <v>50</v>
      </c>
      <c r="G2" s="90"/>
      <c r="H2" s="90"/>
      <c r="I2" s="90"/>
      <c r="J2" s="90"/>
      <c r="K2" s="90"/>
      <c r="L2" s="116"/>
      <c r="M2" s="117" t="s">
        <v>122</v>
      </c>
      <c r="N2" s="117" t="s">
        <v>52</v>
      </c>
      <c r="O2" s="95" t="s">
        <v>123</v>
      </c>
    </row>
    <row r="3" s="79" customFormat="1" ht="51" customHeight="1" spans="1:15">
      <c r="A3" s="91"/>
      <c r="B3" s="92"/>
      <c r="C3" s="93"/>
      <c r="D3" s="93"/>
      <c r="E3" s="94"/>
      <c r="F3" s="95" t="s">
        <v>53</v>
      </c>
      <c r="G3" s="95" t="s">
        <v>124</v>
      </c>
      <c r="H3" s="95" t="s">
        <v>125</v>
      </c>
      <c r="I3" s="95" t="s">
        <v>126</v>
      </c>
      <c r="J3" s="95" t="s">
        <v>55</v>
      </c>
      <c r="K3" s="95" t="s">
        <v>56</v>
      </c>
      <c r="L3" s="95" t="s">
        <v>57</v>
      </c>
      <c r="M3" s="118"/>
      <c r="N3" s="118"/>
      <c r="O3" s="95"/>
    </row>
    <row r="4" s="79" customFormat="1" ht="31" customHeight="1" spans="1:15">
      <c r="A4" s="96"/>
      <c r="B4" s="97"/>
      <c r="C4" s="98"/>
      <c r="D4" s="98"/>
      <c r="E4" s="99"/>
      <c r="F4" s="95"/>
      <c r="G4" s="100" t="s">
        <v>127</v>
      </c>
      <c r="H4" s="95" t="s">
        <v>128</v>
      </c>
      <c r="I4" s="95" t="s">
        <v>129</v>
      </c>
      <c r="J4" s="95"/>
      <c r="K4" s="95" t="s">
        <v>130</v>
      </c>
      <c r="L4" s="95" t="s">
        <v>130</v>
      </c>
      <c r="M4" s="119"/>
      <c r="N4" s="119"/>
      <c r="O4" s="95"/>
    </row>
    <row r="5" s="79" customFormat="1" ht="24.95" customHeight="1" spans="1:15">
      <c r="A5" s="101" t="s">
        <v>30</v>
      </c>
      <c r="B5" s="102" t="s">
        <v>273</v>
      </c>
      <c r="C5" s="101" t="s">
        <v>99</v>
      </c>
      <c r="D5" s="101" t="s">
        <v>39</v>
      </c>
      <c r="E5" s="103"/>
      <c r="F5" s="104"/>
      <c r="G5" s="104"/>
      <c r="H5" s="104"/>
      <c r="I5" s="104"/>
      <c r="J5" s="104"/>
      <c r="K5" s="104"/>
      <c r="L5" s="104"/>
      <c r="M5" s="104"/>
      <c r="N5" s="104"/>
      <c r="O5" s="104"/>
    </row>
    <row r="6" s="78" customFormat="1" ht="69.95" customHeight="1" outlineLevel="1" spans="1:15">
      <c r="A6" s="105">
        <v>1</v>
      </c>
      <c r="B6" s="106" t="s">
        <v>274</v>
      </c>
      <c r="C6" s="107" t="s">
        <v>275</v>
      </c>
      <c r="D6" s="108" t="s">
        <v>276</v>
      </c>
      <c r="E6" s="109">
        <v>20</v>
      </c>
      <c r="F6" s="95">
        <v>14.63</v>
      </c>
      <c r="G6" s="95">
        <f t="shared" ref="G6:G11" si="0">H6*(1+I6)</f>
        <v>15.15</v>
      </c>
      <c r="H6" s="95">
        <v>15</v>
      </c>
      <c r="I6" s="120">
        <v>0.01</v>
      </c>
      <c r="J6" s="95">
        <v>8.2</v>
      </c>
      <c r="K6" s="95">
        <f t="shared" ref="K6:K11" si="1">(F6+G6+J6)*9%</f>
        <v>3.4182</v>
      </c>
      <c r="L6" s="95">
        <f t="shared" ref="L6:L11" si="2">(F6+G6+J6+K6)*9%</f>
        <v>3.725838</v>
      </c>
      <c r="M6" s="95">
        <f t="shared" ref="M6:M11" si="3">F6+G6+J6+K6+L6</f>
        <v>45.124038</v>
      </c>
      <c r="N6" s="95">
        <f t="shared" ref="N6:N11" si="4">M6*E6</f>
        <v>902.48076</v>
      </c>
      <c r="O6" s="109"/>
    </row>
    <row r="7" s="78" customFormat="1" ht="89" customHeight="1" outlineLevel="1" spans="1:15">
      <c r="A7" s="105">
        <v>2</v>
      </c>
      <c r="B7" s="110" t="s">
        <v>277</v>
      </c>
      <c r="C7" s="107" t="s">
        <v>278</v>
      </c>
      <c r="D7" s="108" t="s">
        <v>32</v>
      </c>
      <c r="E7" s="109">
        <v>3</v>
      </c>
      <c r="F7" s="95">
        <v>17.78</v>
      </c>
      <c r="G7" s="95">
        <f t="shared" si="0"/>
        <v>29.29</v>
      </c>
      <c r="H7" s="95">
        <v>29</v>
      </c>
      <c r="I7" s="120">
        <v>0.01</v>
      </c>
      <c r="J7" s="95">
        <v>7.39</v>
      </c>
      <c r="K7" s="95">
        <f t="shared" si="1"/>
        <v>4.9014</v>
      </c>
      <c r="L7" s="95">
        <f t="shared" si="2"/>
        <v>5.342526</v>
      </c>
      <c r="M7" s="95">
        <f t="shared" si="3"/>
        <v>64.703926</v>
      </c>
      <c r="N7" s="95">
        <f t="shared" si="4"/>
        <v>194.111778</v>
      </c>
      <c r="O7" s="109" t="s">
        <v>140</v>
      </c>
    </row>
    <row r="8" s="78" customFormat="1" ht="69.95" customHeight="1" outlineLevel="1" spans="1:15">
      <c r="A8" s="105">
        <v>3</v>
      </c>
      <c r="B8" s="110" t="s">
        <v>279</v>
      </c>
      <c r="C8" s="107" t="s">
        <v>280</v>
      </c>
      <c r="D8" s="108" t="s">
        <v>276</v>
      </c>
      <c r="E8" s="109">
        <f>2.5+3.5*2</f>
        <v>9.5</v>
      </c>
      <c r="F8" s="109">
        <v>17.63</v>
      </c>
      <c r="G8" s="109">
        <f t="shared" si="0"/>
        <v>22.22</v>
      </c>
      <c r="H8" s="109">
        <v>22</v>
      </c>
      <c r="I8" s="109">
        <v>0.01</v>
      </c>
      <c r="J8" s="109">
        <v>11.2</v>
      </c>
      <c r="K8" s="109">
        <f t="shared" si="1"/>
        <v>4.5945</v>
      </c>
      <c r="L8" s="109">
        <f t="shared" si="2"/>
        <v>5.008005</v>
      </c>
      <c r="M8" s="109">
        <f t="shared" si="3"/>
        <v>60.652505</v>
      </c>
      <c r="N8" s="109">
        <f t="shared" si="4"/>
        <v>576.1987975</v>
      </c>
      <c r="O8" s="109"/>
    </row>
    <row r="9" s="78" customFormat="1" ht="48" outlineLevel="1" spans="1:15">
      <c r="A9" s="105">
        <v>4</v>
      </c>
      <c r="B9" s="106" t="s">
        <v>281</v>
      </c>
      <c r="C9" s="107" t="s">
        <v>282</v>
      </c>
      <c r="D9" s="108" t="s">
        <v>283</v>
      </c>
      <c r="E9" s="109">
        <v>1</v>
      </c>
      <c r="F9" s="109">
        <v>150</v>
      </c>
      <c r="G9" s="109">
        <f t="shared" si="0"/>
        <v>323.2</v>
      </c>
      <c r="H9" s="109">
        <v>320</v>
      </c>
      <c r="I9" s="109">
        <v>0.01</v>
      </c>
      <c r="J9" s="109">
        <v>45</v>
      </c>
      <c r="K9" s="109">
        <f t="shared" si="1"/>
        <v>46.638</v>
      </c>
      <c r="L9" s="109">
        <f t="shared" si="2"/>
        <v>50.83542</v>
      </c>
      <c r="M9" s="109">
        <f t="shared" si="3"/>
        <v>615.67342</v>
      </c>
      <c r="N9" s="109">
        <f t="shared" si="4"/>
        <v>615.67342</v>
      </c>
      <c r="O9" s="109"/>
    </row>
    <row r="10" s="78" customFormat="1" ht="60" outlineLevel="1" spans="1:15">
      <c r="A10" s="105">
        <v>5</v>
      </c>
      <c r="B10" s="106" t="s">
        <v>155</v>
      </c>
      <c r="C10" s="107" t="s">
        <v>157</v>
      </c>
      <c r="D10" s="109" t="s">
        <v>78</v>
      </c>
      <c r="E10" s="109">
        <v>64</v>
      </c>
      <c r="F10" s="109">
        <v>6.32</v>
      </c>
      <c r="G10" s="109">
        <f t="shared" si="0"/>
        <v>1.4522</v>
      </c>
      <c r="H10" s="109">
        <v>1.37</v>
      </c>
      <c r="I10" s="109">
        <v>0.06</v>
      </c>
      <c r="J10" s="109">
        <v>0.25</v>
      </c>
      <c r="K10" s="109">
        <f t="shared" si="1"/>
        <v>0.721998</v>
      </c>
      <c r="L10" s="109">
        <f t="shared" si="2"/>
        <v>0.78697782</v>
      </c>
      <c r="M10" s="109">
        <f t="shared" si="3"/>
        <v>9.53117582</v>
      </c>
      <c r="N10" s="109">
        <f t="shared" si="4"/>
        <v>609.99525248</v>
      </c>
      <c r="O10" s="109"/>
    </row>
    <row r="11" s="78" customFormat="1" ht="48" outlineLevel="1" spans="1:15">
      <c r="A11" s="105">
        <v>6</v>
      </c>
      <c r="B11" s="106" t="s">
        <v>160</v>
      </c>
      <c r="C11" s="107" t="s">
        <v>162</v>
      </c>
      <c r="D11" s="109" t="s">
        <v>78</v>
      </c>
      <c r="E11" s="109">
        <v>215.775</v>
      </c>
      <c r="F11" s="109">
        <v>1.05</v>
      </c>
      <c r="G11" s="109">
        <f t="shared" si="0"/>
        <v>2.9232</v>
      </c>
      <c r="H11" s="109">
        <v>2.52</v>
      </c>
      <c r="I11" s="109">
        <v>0.16</v>
      </c>
      <c r="J11" s="109">
        <v>0.18</v>
      </c>
      <c r="K11" s="109">
        <f t="shared" si="1"/>
        <v>0.373788</v>
      </c>
      <c r="L11" s="109">
        <f t="shared" si="2"/>
        <v>0.40742892</v>
      </c>
      <c r="M11" s="109">
        <f t="shared" si="3"/>
        <v>4.93441692</v>
      </c>
      <c r="N11" s="109">
        <f t="shared" si="4"/>
        <v>1064.723810913</v>
      </c>
      <c r="O11" s="109"/>
    </row>
    <row r="12" s="78" customFormat="1" spans="1:15">
      <c r="A12" s="105">
        <v>7</v>
      </c>
      <c r="B12" s="111" t="s">
        <v>96</v>
      </c>
      <c r="C12" s="112"/>
      <c r="D12" s="113" t="s">
        <v>97</v>
      </c>
      <c r="E12" s="114"/>
      <c r="F12" s="115"/>
      <c r="G12" s="115"/>
      <c r="H12" s="115"/>
      <c r="I12" s="115"/>
      <c r="J12" s="112"/>
      <c r="K12" s="112"/>
      <c r="L12" s="112"/>
      <c r="M12" s="112"/>
      <c r="N12" s="121">
        <f>SUM(N6:N11)</f>
        <v>3963.183818893</v>
      </c>
      <c r="O12" s="112"/>
    </row>
    <row r="13" s="79" customFormat="1" ht="24" customHeight="1" spans="1:15">
      <c r="A13" s="105" t="s">
        <v>33</v>
      </c>
      <c r="B13" s="102" t="s">
        <v>284</v>
      </c>
      <c r="C13" s="101" t="s">
        <v>99</v>
      </c>
      <c r="D13" s="101" t="s">
        <v>39</v>
      </c>
      <c r="E13" s="103"/>
      <c r="F13" s="109"/>
      <c r="G13" s="109"/>
      <c r="H13" s="109"/>
      <c r="I13" s="109"/>
      <c r="J13" s="109"/>
      <c r="K13" s="122"/>
      <c r="L13" s="122"/>
      <c r="M13" s="109"/>
      <c r="N13" s="109"/>
      <c r="O13" s="109"/>
    </row>
    <row r="14" s="78" customFormat="1" ht="69.95" customHeight="1" outlineLevel="1" spans="1:15">
      <c r="A14" s="105">
        <v>1</v>
      </c>
      <c r="B14" s="106" t="s">
        <v>274</v>
      </c>
      <c r="C14" s="107" t="s">
        <v>275</v>
      </c>
      <c r="D14" s="108" t="s">
        <v>276</v>
      </c>
      <c r="E14" s="109">
        <v>18.8</v>
      </c>
      <c r="F14" s="95">
        <v>14.63</v>
      </c>
      <c r="G14" s="95">
        <f t="shared" ref="G14:G19" si="5">H14*(1+I14)</f>
        <v>15.15</v>
      </c>
      <c r="H14" s="95">
        <v>15</v>
      </c>
      <c r="I14" s="120">
        <v>0.01</v>
      </c>
      <c r="J14" s="95">
        <v>8.2</v>
      </c>
      <c r="K14" s="95">
        <f t="shared" ref="K14:K19" si="6">(F14+G14+J14)*9%</f>
        <v>3.4182</v>
      </c>
      <c r="L14" s="95">
        <f t="shared" ref="L14:L19" si="7">(F14+G14+J14+K14)*9%</f>
        <v>3.725838</v>
      </c>
      <c r="M14" s="95">
        <f t="shared" ref="M14:M19" si="8">F14+G14+J14+K14+L14</f>
        <v>45.124038</v>
      </c>
      <c r="N14" s="95">
        <f t="shared" ref="N14:N19" si="9">M14*E14</f>
        <v>848.3319144</v>
      </c>
      <c r="O14" s="109"/>
    </row>
    <row r="15" s="78" customFormat="1" ht="89" customHeight="1" outlineLevel="1" spans="1:15">
      <c r="A15" s="105">
        <v>2</v>
      </c>
      <c r="B15" s="110" t="s">
        <v>277</v>
      </c>
      <c r="C15" s="107" t="s">
        <v>278</v>
      </c>
      <c r="D15" s="108" t="s">
        <v>32</v>
      </c>
      <c r="E15" s="109">
        <v>3</v>
      </c>
      <c r="F15" s="95">
        <v>17.78</v>
      </c>
      <c r="G15" s="95">
        <f t="shared" si="5"/>
        <v>29.29</v>
      </c>
      <c r="H15" s="95">
        <v>29</v>
      </c>
      <c r="I15" s="120">
        <v>0.01</v>
      </c>
      <c r="J15" s="95">
        <v>7.39</v>
      </c>
      <c r="K15" s="95">
        <f t="shared" si="6"/>
        <v>4.9014</v>
      </c>
      <c r="L15" s="95">
        <f t="shared" si="7"/>
        <v>5.342526</v>
      </c>
      <c r="M15" s="95">
        <f t="shared" si="8"/>
        <v>64.703926</v>
      </c>
      <c r="N15" s="95">
        <f t="shared" si="9"/>
        <v>194.111778</v>
      </c>
      <c r="O15" s="109"/>
    </row>
    <row r="16" s="78" customFormat="1" ht="69.95" customHeight="1" outlineLevel="1" spans="1:15">
      <c r="A16" s="105">
        <v>3</v>
      </c>
      <c r="B16" s="110" t="s">
        <v>279</v>
      </c>
      <c r="C16" s="107" t="s">
        <v>280</v>
      </c>
      <c r="D16" s="108" t="s">
        <v>276</v>
      </c>
      <c r="E16" s="109">
        <f>5.6*3</f>
        <v>16.8</v>
      </c>
      <c r="F16" s="109">
        <v>17.63</v>
      </c>
      <c r="G16" s="109">
        <f t="shared" si="5"/>
        <v>22.22</v>
      </c>
      <c r="H16" s="109">
        <v>22</v>
      </c>
      <c r="I16" s="109">
        <v>0.01</v>
      </c>
      <c r="J16" s="109">
        <v>11.2</v>
      </c>
      <c r="K16" s="109">
        <f t="shared" si="6"/>
        <v>4.5945</v>
      </c>
      <c r="L16" s="109">
        <f t="shared" si="7"/>
        <v>5.008005</v>
      </c>
      <c r="M16" s="109">
        <f t="shared" si="8"/>
        <v>60.652505</v>
      </c>
      <c r="N16" s="109">
        <f t="shared" si="9"/>
        <v>1018.962084</v>
      </c>
      <c r="O16" s="109"/>
    </row>
    <row r="17" s="78" customFormat="1" ht="48" outlineLevel="1" spans="1:15">
      <c r="A17" s="105">
        <v>4</v>
      </c>
      <c r="B17" s="106" t="s">
        <v>281</v>
      </c>
      <c r="C17" s="107" t="s">
        <v>282</v>
      </c>
      <c r="D17" s="108" t="s">
        <v>283</v>
      </c>
      <c r="E17" s="109">
        <v>1</v>
      </c>
      <c r="F17" s="109">
        <v>150</v>
      </c>
      <c r="G17" s="109">
        <f t="shared" si="5"/>
        <v>323.2</v>
      </c>
      <c r="H17" s="109">
        <v>320</v>
      </c>
      <c r="I17" s="109">
        <v>0.01</v>
      </c>
      <c r="J17" s="109">
        <v>45</v>
      </c>
      <c r="K17" s="109">
        <f t="shared" si="6"/>
        <v>46.638</v>
      </c>
      <c r="L17" s="109">
        <f t="shared" si="7"/>
        <v>50.83542</v>
      </c>
      <c r="M17" s="109">
        <f t="shared" si="8"/>
        <v>615.67342</v>
      </c>
      <c r="N17" s="109">
        <f t="shared" si="9"/>
        <v>615.67342</v>
      </c>
      <c r="O17" s="109"/>
    </row>
    <row r="18" s="78" customFormat="1" ht="60" outlineLevel="1" spans="1:15">
      <c r="A18" s="105">
        <v>5</v>
      </c>
      <c r="B18" s="106" t="s">
        <v>155</v>
      </c>
      <c r="C18" s="107" t="s">
        <v>157</v>
      </c>
      <c r="D18" s="109" t="s">
        <v>78</v>
      </c>
      <c r="E18" s="109">
        <v>62.9</v>
      </c>
      <c r="F18" s="109">
        <v>6.32</v>
      </c>
      <c r="G18" s="109">
        <f t="shared" si="5"/>
        <v>1.4522</v>
      </c>
      <c r="H18" s="109">
        <v>1.37</v>
      </c>
      <c r="I18" s="109">
        <v>0.06</v>
      </c>
      <c r="J18" s="109">
        <v>0.25</v>
      </c>
      <c r="K18" s="109">
        <f t="shared" si="6"/>
        <v>0.721998</v>
      </c>
      <c r="L18" s="109">
        <f t="shared" si="7"/>
        <v>0.78697782</v>
      </c>
      <c r="M18" s="109">
        <f t="shared" si="8"/>
        <v>9.53117582</v>
      </c>
      <c r="N18" s="109">
        <f t="shared" si="9"/>
        <v>599.510959078</v>
      </c>
      <c r="O18" s="123"/>
    </row>
    <row r="19" s="78" customFormat="1" ht="48" outlineLevel="1" spans="1:15">
      <c r="A19" s="105">
        <v>6</v>
      </c>
      <c r="B19" s="106" t="s">
        <v>160</v>
      </c>
      <c r="C19" s="107" t="s">
        <v>162</v>
      </c>
      <c r="D19" s="109" t="s">
        <v>78</v>
      </c>
      <c r="E19" s="109">
        <v>212.31</v>
      </c>
      <c r="F19" s="109">
        <v>1.05</v>
      </c>
      <c r="G19" s="109">
        <f t="shared" si="5"/>
        <v>2.9232</v>
      </c>
      <c r="H19" s="109">
        <v>2.52</v>
      </c>
      <c r="I19" s="109">
        <v>0.16</v>
      </c>
      <c r="J19" s="109">
        <v>0.18</v>
      </c>
      <c r="K19" s="109">
        <f t="shared" si="6"/>
        <v>0.373788</v>
      </c>
      <c r="L19" s="109">
        <f t="shared" si="7"/>
        <v>0.40742892</v>
      </c>
      <c r="M19" s="109">
        <f t="shared" si="8"/>
        <v>4.93441692</v>
      </c>
      <c r="N19" s="109">
        <f t="shared" si="9"/>
        <v>1047.6260562852</v>
      </c>
      <c r="O19" s="109"/>
    </row>
    <row r="20" s="78" customFormat="1" spans="1:15">
      <c r="A20" s="105">
        <v>7</v>
      </c>
      <c r="B20" s="111" t="s">
        <v>96</v>
      </c>
      <c r="C20" s="112"/>
      <c r="D20" s="113" t="s">
        <v>97</v>
      </c>
      <c r="E20" s="114"/>
      <c r="F20" s="115"/>
      <c r="G20" s="115"/>
      <c r="H20" s="115"/>
      <c r="I20" s="115"/>
      <c r="J20" s="112"/>
      <c r="K20" s="112"/>
      <c r="L20" s="112"/>
      <c r="M20" s="112"/>
      <c r="N20" s="121">
        <f>SUM(N14:N19)</f>
        <v>4324.2162117632</v>
      </c>
      <c r="O20" s="112"/>
    </row>
    <row r="21" s="78" customFormat="1" spans="1:15">
      <c r="A21" s="105" t="s">
        <v>35</v>
      </c>
      <c r="B21" s="102" t="s">
        <v>285</v>
      </c>
      <c r="C21" s="101" t="s">
        <v>99</v>
      </c>
      <c r="D21" s="101" t="s">
        <v>39</v>
      </c>
      <c r="E21" s="103"/>
      <c r="F21" s="109"/>
      <c r="G21" s="109"/>
      <c r="H21" s="109"/>
      <c r="I21" s="109"/>
      <c r="J21" s="109"/>
      <c r="K21" s="122"/>
      <c r="L21" s="122"/>
      <c r="M21" s="109"/>
      <c r="N21" s="109"/>
      <c r="O21" s="109"/>
    </row>
    <row r="22" s="78" customFormat="1" ht="60" outlineLevel="1" spans="1:15">
      <c r="A22" s="105">
        <v>1</v>
      </c>
      <c r="B22" s="106" t="s">
        <v>274</v>
      </c>
      <c r="C22" s="107" t="s">
        <v>275</v>
      </c>
      <c r="D22" s="108" t="s">
        <v>276</v>
      </c>
      <c r="E22" s="109">
        <v>17.2</v>
      </c>
      <c r="F22" s="95">
        <v>14.63</v>
      </c>
      <c r="G22" s="95">
        <f t="shared" ref="G22:G27" si="10">H22*(1+I22)</f>
        <v>15.15</v>
      </c>
      <c r="H22" s="95">
        <v>15</v>
      </c>
      <c r="I22" s="120">
        <v>0.01</v>
      </c>
      <c r="J22" s="95">
        <v>8.2</v>
      </c>
      <c r="K22" s="95">
        <f t="shared" ref="K22:K27" si="11">(F22+G22+J22)*9%</f>
        <v>3.4182</v>
      </c>
      <c r="L22" s="95">
        <f t="shared" ref="L22:L27" si="12">(F22+G22+J22+K22)*9%</f>
        <v>3.725838</v>
      </c>
      <c r="M22" s="95">
        <f t="shared" ref="M22:M27" si="13">F22+G22+J22+K22+L22</f>
        <v>45.124038</v>
      </c>
      <c r="N22" s="95">
        <f t="shared" ref="N22:N27" si="14">M22*E22</f>
        <v>776.1334536</v>
      </c>
      <c r="O22" s="109"/>
    </row>
    <row r="23" s="78" customFormat="1" ht="96" outlineLevel="1" spans="1:15">
      <c r="A23" s="105">
        <v>2</v>
      </c>
      <c r="B23" s="110" t="s">
        <v>277</v>
      </c>
      <c r="C23" s="107" t="s">
        <v>278</v>
      </c>
      <c r="D23" s="108" t="s">
        <v>32</v>
      </c>
      <c r="E23" s="109">
        <v>3</v>
      </c>
      <c r="F23" s="95">
        <v>17.78</v>
      </c>
      <c r="G23" s="95">
        <f t="shared" si="10"/>
        <v>29.29</v>
      </c>
      <c r="H23" s="95">
        <v>29</v>
      </c>
      <c r="I23" s="120">
        <v>0.01</v>
      </c>
      <c r="J23" s="95">
        <v>7.39</v>
      </c>
      <c r="K23" s="95">
        <f t="shared" si="11"/>
        <v>4.9014</v>
      </c>
      <c r="L23" s="95">
        <f t="shared" si="12"/>
        <v>5.342526</v>
      </c>
      <c r="M23" s="95">
        <f t="shared" si="13"/>
        <v>64.703926</v>
      </c>
      <c r="N23" s="95">
        <f t="shared" si="14"/>
        <v>194.111778</v>
      </c>
      <c r="O23" s="109"/>
    </row>
    <row r="24" s="78" customFormat="1" ht="60" outlineLevel="1" spans="1:15">
      <c r="A24" s="105">
        <v>3</v>
      </c>
      <c r="B24" s="110" t="s">
        <v>279</v>
      </c>
      <c r="C24" s="107" t="s">
        <v>280</v>
      </c>
      <c r="D24" s="108" t="s">
        <v>276</v>
      </c>
      <c r="E24" s="109">
        <v>12.6</v>
      </c>
      <c r="F24" s="109">
        <v>17.63</v>
      </c>
      <c r="G24" s="109">
        <f t="shared" si="10"/>
        <v>22.22</v>
      </c>
      <c r="H24" s="109">
        <v>22</v>
      </c>
      <c r="I24" s="109">
        <v>0.01</v>
      </c>
      <c r="J24" s="109">
        <v>11.2</v>
      </c>
      <c r="K24" s="109">
        <f t="shared" si="11"/>
        <v>4.5945</v>
      </c>
      <c r="L24" s="109">
        <f t="shared" si="12"/>
        <v>5.008005</v>
      </c>
      <c r="M24" s="109">
        <f t="shared" si="13"/>
        <v>60.652505</v>
      </c>
      <c r="N24" s="109">
        <f t="shared" si="14"/>
        <v>764.221563</v>
      </c>
      <c r="O24" s="109"/>
    </row>
    <row r="25" s="78" customFormat="1" ht="48" outlineLevel="1" spans="1:15">
      <c r="A25" s="105">
        <v>4</v>
      </c>
      <c r="B25" s="106" t="s">
        <v>281</v>
      </c>
      <c r="C25" s="107" t="s">
        <v>282</v>
      </c>
      <c r="D25" s="108" t="s">
        <v>283</v>
      </c>
      <c r="E25" s="109">
        <v>1</v>
      </c>
      <c r="F25" s="109">
        <v>150</v>
      </c>
      <c r="G25" s="109">
        <f t="shared" si="10"/>
        <v>323.2</v>
      </c>
      <c r="H25" s="109">
        <v>320</v>
      </c>
      <c r="I25" s="109">
        <v>0.01</v>
      </c>
      <c r="J25" s="109">
        <v>45</v>
      </c>
      <c r="K25" s="109">
        <f t="shared" si="11"/>
        <v>46.638</v>
      </c>
      <c r="L25" s="109">
        <f t="shared" si="12"/>
        <v>50.83542</v>
      </c>
      <c r="M25" s="109">
        <f t="shared" si="13"/>
        <v>615.67342</v>
      </c>
      <c r="N25" s="109">
        <f t="shared" si="14"/>
        <v>615.67342</v>
      </c>
      <c r="O25" s="109"/>
    </row>
    <row r="26" s="78" customFormat="1" ht="60" outlineLevel="1" spans="1:15">
      <c r="A26" s="105">
        <v>5</v>
      </c>
      <c r="B26" s="106" t="s">
        <v>155</v>
      </c>
      <c r="C26" s="107" t="s">
        <v>157</v>
      </c>
      <c r="D26" s="109" t="s">
        <v>78</v>
      </c>
      <c r="E26" s="109">
        <v>64.2</v>
      </c>
      <c r="F26" s="109">
        <v>6.32</v>
      </c>
      <c r="G26" s="109">
        <f t="shared" si="10"/>
        <v>1.4522</v>
      </c>
      <c r="H26" s="109">
        <v>1.37</v>
      </c>
      <c r="I26" s="109">
        <v>0.06</v>
      </c>
      <c r="J26" s="109">
        <v>0.25</v>
      </c>
      <c r="K26" s="109">
        <f t="shared" si="11"/>
        <v>0.721998</v>
      </c>
      <c r="L26" s="109">
        <f t="shared" si="12"/>
        <v>0.78697782</v>
      </c>
      <c r="M26" s="109">
        <f t="shared" si="13"/>
        <v>9.53117582</v>
      </c>
      <c r="N26" s="109">
        <f t="shared" si="14"/>
        <v>611.901487644</v>
      </c>
      <c r="O26" s="109"/>
    </row>
    <row r="27" s="78" customFormat="1" ht="48" outlineLevel="1" spans="1:15">
      <c r="A27" s="105">
        <v>6</v>
      </c>
      <c r="B27" s="106" t="s">
        <v>160</v>
      </c>
      <c r="C27" s="107" t="s">
        <v>162</v>
      </c>
      <c r="D27" s="109" t="s">
        <v>78</v>
      </c>
      <c r="E27" s="109">
        <v>216.405</v>
      </c>
      <c r="F27" s="109">
        <v>1.05</v>
      </c>
      <c r="G27" s="109">
        <f t="shared" si="10"/>
        <v>2.9232</v>
      </c>
      <c r="H27" s="109">
        <v>2.52</v>
      </c>
      <c r="I27" s="109">
        <v>0.16</v>
      </c>
      <c r="J27" s="109">
        <v>0.18</v>
      </c>
      <c r="K27" s="109">
        <f t="shared" si="11"/>
        <v>0.373788</v>
      </c>
      <c r="L27" s="109">
        <f t="shared" si="12"/>
        <v>0.40742892</v>
      </c>
      <c r="M27" s="109">
        <f t="shared" si="13"/>
        <v>4.93441692</v>
      </c>
      <c r="N27" s="109">
        <f t="shared" si="14"/>
        <v>1067.8324935726</v>
      </c>
      <c r="O27" s="25"/>
    </row>
    <row r="28" s="78" customFormat="1" spans="1:15">
      <c r="A28" s="105">
        <v>7</v>
      </c>
      <c r="B28" s="111" t="s">
        <v>96</v>
      </c>
      <c r="C28" s="112"/>
      <c r="D28" s="113" t="s">
        <v>97</v>
      </c>
      <c r="E28" s="114"/>
      <c r="F28" s="115"/>
      <c r="G28" s="115"/>
      <c r="H28" s="115"/>
      <c r="I28" s="115"/>
      <c r="J28" s="112"/>
      <c r="K28" s="112"/>
      <c r="L28" s="112"/>
      <c r="M28" s="112"/>
      <c r="N28" s="121">
        <f>SUM(N22:N27)</f>
        <v>4029.8741958166</v>
      </c>
      <c r="O28" s="112"/>
    </row>
    <row r="29" s="78" customFormat="1" spans="1:15">
      <c r="A29" s="105" t="s">
        <v>37</v>
      </c>
      <c r="B29" s="102" t="s">
        <v>286</v>
      </c>
      <c r="C29" s="101" t="s">
        <v>99</v>
      </c>
      <c r="D29" s="101" t="s">
        <v>39</v>
      </c>
      <c r="E29" s="103"/>
      <c r="F29" s="109"/>
      <c r="G29" s="109"/>
      <c r="H29" s="109"/>
      <c r="I29" s="109"/>
      <c r="J29" s="109"/>
      <c r="K29" s="122"/>
      <c r="L29" s="122"/>
      <c r="M29" s="109"/>
      <c r="N29" s="109"/>
      <c r="O29" s="109"/>
    </row>
    <row r="30" s="78" customFormat="1" ht="60" outlineLevel="1" spans="1:15">
      <c r="A30" s="105">
        <v>1</v>
      </c>
      <c r="B30" s="106" t="s">
        <v>274</v>
      </c>
      <c r="C30" s="107" t="s">
        <v>275</v>
      </c>
      <c r="D30" s="108" t="s">
        <v>276</v>
      </c>
      <c r="E30" s="109">
        <v>17.7</v>
      </c>
      <c r="F30" s="95">
        <v>14.63</v>
      </c>
      <c r="G30" s="95">
        <f t="shared" ref="G30:G35" si="15">H30*(1+I30)</f>
        <v>15.15</v>
      </c>
      <c r="H30" s="95">
        <v>15</v>
      </c>
      <c r="I30" s="120">
        <v>0.01</v>
      </c>
      <c r="J30" s="95">
        <v>8.2</v>
      </c>
      <c r="K30" s="95">
        <f t="shared" ref="K30:K35" si="16">(F30+G30+J30)*9%</f>
        <v>3.4182</v>
      </c>
      <c r="L30" s="95">
        <f t="shared" ref="L30:L35" si="17">(F30+G30+J30+K30)*9%</f>
        <v>3.725838</v>
      </c>
      <c r="M30" s="95">
        <f t="shared" ref="M30:M35" si="18">F30+G30+J30+K30+L30</f>
        <v>45.124038</v>
      </c>
      <c r="N30" s="95">
        <f t="shared" ref="N30:N35" si="19">M30*E30</f>
        <v>798.6954726</v>
      </c>
      <c r="O30" s="109"/>
    </row>
    <row r="31" s="78" customFormat="1" ht="96" outlineLevel="1" spans="1:15">
      <c r="A31" s="105">
        <v>2</v>
      </c>
      <c r="B31" s="110" t="s">
        <v>277</v>
      </c>
      <c r="C31" s="107" t="s">
        <v>278</v>
      </c>
      <c r="D31" s="108" t="s">
        <v>32</v>
      </c>
      <c r="E31" s="109">
        <v>3</v>
      </c>
      <c r="F31" s="95">
        <v>17.78</v>
      </c>
      <c r="G31" s="95">
        <f t="shared" si="15"/>
        <v>29.29</v>
      </c>
      <c r="H31" s="95">
        <v>29</v>
      </c>
      <c r="I31" s="120">
        <v>0.01</v>
      </c>
      <c r="J31" s="95">
        <v>7.39</v>
      </c>
      <c r="K31" s="95">
        <f t="shared" si="16"/>
        <v>4.9014</v>
      </c>
      <c r="L31" s="95">
        <f t="shared" si="17"/>
        <v>5.342526</v>
      </c>
      <c r="M31" s="95">
        <f t="shared" si="18"/>
        <v>64.703926</v>
      </c>
      <c r="N31" s="95">
        <f t="shared" si="19"/>
        <v>194.111778</v>
      </c>
      <c r="O31" s="109"/>
    </row>
    <row r="32" s="78" customFormat="1" ht="60" outlineLevel="1" spans="1:15">
      <c r="A32" s="105">
        <v>3</v>
      </c>
      <c r="B32" s="110" t="s">
        <v>279</v>
      </c>
      <c r="C32" s="107" t="s">
        <v>280</v>
      </c>
      <c r="D32" s="108" t="s">
        <v>276</v>
      </c>
      <c r="E32" s="109">
        <v>12.6</v>
      </c>
      <c r="F32" s="109">
        <v>17.63</v>
      </c>
      <c r="G32" s="109">
        <f t="shared" si="15"/>
        <v>22.22</v>
      </c>
      <c r="H32" s="109">
        <v>22</v>
      </c>
      <c r="I32" s="109">
        <v>0.01</v>
      </c>
      <c r="J32" s="109">
        <v>11.2</v>
      </c>
      <c r="K32" s="109">
        <f t="shared" si="16"/>
        <v>4.5945</v>
      </c>
      <c r="L32" s="109">
        <f t="shared" si="17"/>
        <v>5.008005</v>
      </c>
      <c r="M32" s="109">
        <f t="shared" si="18"/>
        <v>60.652505</v>
      </c>
      <c r="N32" s="109">
        <f t="shared" si="19"/>
        <v>764.221563</v>
      </c>
      <c r="O32" s="109"/>
    </row>
    <row r="33" s="78" customFormat="1" ht="48" outlineLevel="1" spans="1:15">
      <c r="A33" s="105">
        <v>4</v>
      </c>
      <c r="B33" s="106" t="s">
        <v>281</v>
      </c>
      <c r="C33" s="107" t="s">
        <v>282</v>
      </c>
      <c r="D33" s="108" t="s">
        <v>283</v>
      </c>
      <c r="E33" s="109">
        <v>1</v>
      </c>
      <c r="F33" s="109">
        <v>150</v>
      </c>
      <c r="G33" s="109">
        <f t="shared" si="15"/>
        <v>323.2</v>
      </c>
      <c r="H33" s="109">
        <v>320</v>
      </c>
      <c r="I33" s="109">
        <v>0.01</v>
      </c>
      <c r="J33" s="109">
        <v>45</v>
      </c>
      <c r="K33" s="109">
        <f t="shared" si="16"/>
        <v>46.638</v>
      </c>
      <c r="L33" s="109">
        <f t="shared" si="17"/>
        <v>50.83542</v>
      </c>
      <c r="M33" s="109">
        <f t="shared" si="18"/>
        <v>615.67342</v>
      </c>
      <c r="N33" s="109">
        <f t="shared" si="19"/>
        <v>615.67342</v>
      </c>
      <c r="O33" s="109"/>
    </row>
    <row r="34" s="78" customFormat="1" ht="60" outlineLevel="1" spans="1:15">
      <c r="A34" s="105">
        <v>5</v>
      </c>
      <c r="B34" s="106" t="s">
        <v>155</v>
      </c>
      <c r="C34" s="107" t="s">
        <v>157</v>
      </c>
      <c r="D34" s="109" t="s">
        <v>78</v>
      </c>
      <c r="E34" s="109">
        <v>64.6</v>
      </c>
      <c r="F34" s="109">
        <v>6.32</v>
      </c>
      <c r="G34" s="109">
        <f t="shared" si="15"/>
        <v>1.4522</v>
      </c>
      <c r="H34" s="109">
        <v>1.37</v>
      </c>
      <c r="I34" s="109">
        <v>0.06</v>
      </c>
      <c r="J34" s="109">
        <v>0.25</v>
      </c>
      <c r="K34" s="109">
        <f t="shared" si="16"/>
        <v>0.721998</v>
      </c>
      <c r="L34" s="109">
        <f t="shared" si="17"/>
        <v>0.78697782</v>
      </c>
      <c r="M34" s="109">
        <f t="shared" si="18"/>
        <v>9.53117582</v>
      </c>
      <c r="N34" s="109">
        <f t="shared" si="19"/>
        <v>615.713957972</v>
      </c>
      <c r="O34" s="109"/>
    </row>
    <row r="35" s="78" customFormat="1" ht="48" outlineLevel="1" spans="1:15">
      <c r="A35" s="105">
        <v>6</v>
      </c>
      <c r="B35" s="106" t="s">
        <v>160</v>
      </c>
      <c r="C35" s="107" t="s">
        <v>162</v>
      </c>
      <c r="D35" s="109" t="s">
        <v>78</v>
      </c>
      <c r="E35" s="109">
        <v>217.665</v>
      </c>
      <c r="F35" s="109">
        <v>1.05</v>
      </c>
      <c r="G35" s="109">
        <f t="shared" si="15"/>
        <v>2.9232</v>
      </c>
      <c r="H35" s="109">
        <v>2.52</v>
      </c>
      <c r="I35" s="109">
        <v>0.16</v>
      </c>
      <c r="J35" s="109">
        <v>0.18</v>
      </c>
      <c r="K35" s="109">
        <f t="shared" si="16"/>
        <v>0.373788</v>
      </c>
      <c r="L35" s="109">
        <f t="shared" si="17"/>
        <v>0.40742892</v>
      </c>
      <c r="M35" s="109">
        <f t="shared" si="18"/>
        <v>4.93441692</v>
      </c>
      <c r="N35" s="109">
        <f t="shared" si="19"/>
        <v>1074.0498588918</v>
      </c>
      <c r="O35" s="109"/>
    </row>
    <row r="36" s="78" customFormat="1" ht="19" customHeight="1" spans="1:15">
      <c r="A36" s="105">
        <v>7</v>
      </c>
      <c r="B36" s="111" t="s">
        <v>96</v>
      </c>
      <c r="C36" s="112"/>
      <c r="D36" s="113" t="s">
        <v>97</v>
      </c>
      <c r="E36" s="114"/>
      <c r="F36" s="115"/>
      <c r="G36" s="115"/>
      <c r="H36" s="115"/>
      <c r="I36" s="115"/>
      <c r="J36" s="112"/>
      <c r="K36" s="112"/>
      <c r="L36" s="112"/>
      <c r="M36" s="112"/>
      <c r="N36" s="121">
        <f>SUM(N30:N35)</f>
        <v>4062.4660504638</v>
      </c>
      <c r="O36" s="112"/>
    </row>
    <row r="37" s="78" customFormat="1" ht="22.5" spans="1:15">
      <c r="A37" s="105" t="s">
        <v>40</v>
      </c>
      <c r="B37" s="102" t="s">
        <v>287</v>
      </c>
      <c r="C37" s="101" t="s">
        <v>169</v>
      </c>
      <c r="D37" s="101" t="s">
        <v>39</v>
      </c>
      <c r="E37" s="103"/>
      <c r="F37" s="109"/>
      <c r="G37" s="109"/>
      <c r="H37" s="109"/>
      <c r="I37" s="109"/>
      <c r="J37" s="109"/>
      <c r="K37" s="122"/>
      <c r="L37" s="122"/>
      <c r="M37" s="109"/>
      <c r="N37" s="109"/>
      <c r="O37" s="109"/>
    </row>
    <row r="38" s="78" customFormat="1" ht="60" outlineLevel="1" spans="1:15">
      <c r="A38" s="105">
        <v>1</v>
      </c>
      <c r="B38" s="106" t="s">
        <v>274</v>
      </c>
      <c r="C38" s="107" t="s">
        <v>275</v>
      </c>
      <c r="D38" s="108" t="s">
        <v>276</v>
      </c>
      <c r="E38" s="109">
        <v>12</v>
      </c>
      <c r="F38" s="95">
        <v>14.63</v>
      </c>
      <c r="G38" s="95">
        <f t="shared" ref="G38:G43" si="20">H38*(1+I38)</f>
        <v>15.15</v>
      </c>
      <c r="H38" s="95">
        <v>15</v>
      </c>
      <c r="I38" s="120">
        <v>0.01</v>
      </c>
      <c r="J38" s="95">
        <v>8.2</v>
      </c>
      <c r="K38" s="95">
        <f t="shared" ref="K38:K43" si="21">(F38+G38+J38)*9%</f>
        <v>3.4182</v>
      </c>
      <c r="L38" s="95">
        <f t="shared" ref="L38:L43" si="22">(F38+G38+J38+K38)*9%</f>
        <v>3.725838</v>
      </c>
      <c r="M38" s="95">
        <f t="shared" ref="M38:M43" si="23">F38+G38+J38+K38+L38</f>
        <v>45.124038</v>
      </c>
      <c r="N38" s="95">
        <f t="shared" ref="N38:N43" si="24">M38*E38</f>
        <v>541.488456</v>
      </c>
      <c r="O38" s="109"/>
    </row>
    <row r="39" s="78" customFormat="1" ht="96" outlineLevel="1" spans="1:15">
      <c r="A39" s="105">
        <v>2</v>
      </c>
      <c r="B39" s="110" t="s">
        <v>277</v>
      </c>
      <c r="C39" s="107" t="s">
        <v>278</v>
      </c>
      <c r="D39" s="108" t="s">
        <v>32</v>
      </c>
      <c r="E39" s="109">
        <v>2</v>
      </c>
      <c r="F39" s="95">
        <v>17.78</v>
      </c>
      <c r="G39" s="95">
        <f t="shared" si="20"/>
        <v>29.29</v>
      </c>
      <c r="H39" s="95">
        <v>29</v>
      </c>
      <c r="I39" s="120">
        <v>0.01</v>
      </c>
      <c r="J39" s="95">
        <v>7.39</v>
      </c>
      <c r="K39" s="95">
        <f t="shared" si="21"/>
        <v>4.9014</v>
      </c>
      <c r="L39" s="95">
        <f t="shared" si="22"/>
        <v>5.342526</v>
      </c>
      <c r="M39" s="95">
        <f t="shared" si="23"/>
        <v>64.703926</v>
      </c>
      <c r="N39" s="95">
        <f t="shared" si="24"/>
        <v>129.407852</v>
      </c>
      <c r="O39" s="109"/>
    </row>
    <row r="40" s="78" customFormat="1" ht="60" outlineLevel="1" spans="1:15">
      <c r="A40" s="105">
        <v>3</v>
      </c>
      <c r="B40" s="110" t="s">
        <v>279</v>
      </c>
      <c r="C40" s="107" t="s">
        <v>280</v>
      </c>
      <c r="D40" s="108" t="s">
        <v>276</v>
      </c>
      <c r="E40" s="109">
        <v>5.4</v>
      </c>
      <c r="F40" s="109">
        <v>17.63</v>
      </c>
      <c r="G40" s="109">
        <f t="shared" si="20"/>
        <v>22.22</v>
      </c>
      <c r="H40" s="109">
        <v>22</v>
      </c>
      <c r="I40" s="109">
        <v>0.01</v>
      </c>
      <c r="J40" s="109">
        <v>11.2</v>
      </c>
      <c r="K40" s="109">
        <f t="shared" si="21"/>
        <v>4.5945</v>
      </c>
      <c r="L40" s="109">
        <f t="shared" si="22"/>
        <v>5.008005</v>
      </c>
      <c r="M40" s="109">
        <f t="shared" si="23"/>
        <v>60.652505</v>
      </c>
      <c r="N40" s="109">
        <f t="shared" si="24"/>
        <v>327.523527</v>
      </c>
      <c r="O40" s="109"/>
    </row>
    <row r="41" s="78" customFormat="1" ht="48" outlineLevel="1" spans="1:15">
      <c r="A41" s="105">
        <v>4</v>
      </c>
      <c r="B41" s="106" t="s">
        <v>281</v>
      </c>
      <c r="C41" s="107" t="s">
        <v>282</v>
      </c>
      <c r="D41" s="108" t="s">
        <v>283</v>
      </c>
      <c r="E41" s="109">
        <v>1</v>
      </c>
      <c r="F41" s="109">
        <v>150</v>
      </c>
      <c r="G41" s="109">
        <f t="shared" si="20"/>
        <v>323.2</v>
      </c>
      <c r="H41" s="109">
        <v>320</v>
      </c>
      <c r="I41" s="109">
        <v>0.01</v>
      </c>
      <c r="J41" s="109">
        <v>45</v>
      </c>
      <c r="K41" s="109">
        <f t="shared" si="21"/>
        <v>46.638</v>
      </c>
      <c r="L41" s="109">
        <f t="shared" si="22"/>
        <v>50.83542</v>
      </c>
      <c r="M41" s="109">
        <f t="shared" si="23"/>
        <v>615.67342</v>
      </c>
      <c r="N41" s="109">
        <f t="shared" si="24"/>
        <v>615.67342</v>
      </c>
      <c r="O41" s="109"/>
    </row>
    <row r="42" s="78" customFormat="1" ht="60" outlineLevel="1" spans="1:15">
      <c r="A42" s="105">
        <v>5</v>
      </c>
      <c r="B42" s="106" t="s">
        <v>155</v>
      </c>
      <c r="C42" s="107" t="s">
        <v>157</v>
      </c>
      <c r="D42" s="109" t="s">
        <v>78</v>
      </c>
      <c r="E42" s="109">
        <v>49.1</v>
      </c>
      <c r="F42" s="109">
        <v>6.32</v>
      </c>
      <c r="G42" s="109">
        <f t="shared" si="20"/>
        <v>1.4522</v>
      </c>
      <c r="H42" s="109">
        <v>1.37</v>
      </c>
      <c r="I42" s="109">
        <v>0.06</v>
      </c>
      <c r="J42" s="109">
        <v>0.25</v>
      </c>
      <c r="K42" s="109">
        <f t="shared" si="21"/>
        <v>0.721998</v>
      </c>
      <c r="L42" s="109">
        <f t="shared" si="22"/>
        <v>0.78697782</v>
      </c>
      <c r="M42" s="109">
        <f t="shared" si="23"/>
        <v>9.53117582</v>
      </c>
      <c r="N42" s="109">
        <f t="shared" si="24"/>
        <v>467.980732762</v>
      </c>
      <c r="O42" s="109"/>
    </row>
    <row r="43" s="78" customFormat="1" ht="48" outlineLevel="1" spans="1:15">
      <c r="A43" s="105">
        <v>6</v>
      </c>
      <c r="B43" s="106" t="s">
        <v>160</v>
      </c>
      <c r="C43" s="107" t="s">
        <v>162</v>
      </c>
      <c r="D43" s="109" t="s">
        <v>78</v>
      </c>
      <c r="E43" s="109">
        <v>168.84</v>
      </c>
      <c r="F43" s="109">
        <v>1.05</v>
      </c>
      <c r="G43" s="109">
        <f t="shared" si="20"/>
        <v>2.9232</v>
      </c>
      <c r="H43" s="109">
        <v>2.52</v>
      </c>
      <c r="I43" s="109">
        <v>0.16</v>
      </c>
      <c r="J43" s="109">
        <v>0.18</v>
      </c>
      <c r="K43" s="109">
        <f t="shared" si="21"/>
        <v>0.373788</v>
      </c>
      <c r="L43" s="109">
        <f t="shared" si="22"/>
        <v>0.40742892</v>
      </c>
      <c r="M43" s="109">
        <f t="shared" si="23"/>
        <v>4.93441692</v>
      </c>
      <c r="N43" s="109">
        <f t="shared" si="24"/>
        <v>833.1269527728</v>
      </c>
      <c r="O43" s="109"/>
    </row>
    <row r="44" s="78" customFormat="1" ht="19" customHeight="1" spans="1:15">
      <c r="A44" s="105">
        <v>7</v>
      </c>
      <c r="B44" s="111" t="s">
        <v>96</v>
      </c>
      <c r="C44" s="112"/>
      <c r="D44" s="113" t="s">
        <v>97</v>
      </c>
      <c r="E44" s="114"/>
      <c r="F44" s="115"/>
      <c r="G44" s="115"/>
      <c r="H44" s="115"/>
      <c r="I44" s="115"/>
      <c r="J44" s="112"/>
      <c r="K44" s="112"/>
      <c r="L44" s="112"/>
      <c r="M44" s="112"/>
      <c r="N44" s="121">
        <f>SUM(N38:N43)</f>
        <v>2915.2009405348</v>
      </c>
      <c r="O44" s="112"/>
    </row>
    <row r="45" s="78" customFormat="1" ht="22.5" spans="1:15">
      <c r="A45" s="105" t="s">
        <v>42</v>
      </c>
      <c r="B45" s="102" t="s">
        <v>288</v>
      </c>
      <c r="C45" s="101" t="s">
        <v>171</v>
      </c>
      <c r="D45" s="101" t="s">
        <v>39</v>
      </c>
      <c r="E45" s="103"/>
      <c r="F45" s="109"/>
      <c r="G45" s="109"/>
      <c r="H45" s="109"/>
      <c r="I45" s="109"/>
      <c r="J45" s="109"/>
      <c r="K45" s="122"/>
      <c r="L45" s="122"/>
      <c r="M45" s="109"/>
      <c r="N45" s="109"/>
      <c r="O45" s="109"/>
    </row>
    <row r="46" s="78" customFormat="1" ht="60" outlineLevel="1" spans="1:15">
      <c r="A46" s="105">
        <v>1</v>
      </c>
      <c r="B46" s="106" t="s">
        <v>274</v>
      </c>
      <c r="C46" s="107" t="s">
        <v>275</v>
      </c>
      <c r="D46" s="108" t="s">
        <v>276</v>
      </c>
      <c r="E46" s="109">
        <v>15.7</v>
      </c>
      <c r="F46" s="95">
        <v>14.63</v>
      </c>
      <c r="G46" s="95">
        <f t="shared" ref="G46:G51" si="25">H46*(1+I46)</f>
        <v>15.15</v>
      </c>
      <c r="H46" s="95">
        <v>15</v>
      </c>
      <c r="I46" s="120">
        <v>0.01</v>
      </c>
      <c r="J46" s="95">
        <v>8.2</v>
      </c>
      <c r="K46" s="95">
        <f t="shared" ref="K46:K51" si="26">(F46+G46+J46)*9%</f>
        <v>3.4182</v>
      </c>
      <c r="L46" s="95">
        <f t="shared" ref="L46:L51" si="27">(F46+G46+J46+K46)*9%</f>
        <v>3.725838</v>
      </c>
      <c r="M46" s="95">
        <f t="shared" ref="M46:M51" si="28">F46+G46+J46+K46+L46</f>
        <v>45.124038</v>
      </c>
      <c r="N46" s="95">
        <f t="shared" ref="N46:N51" si="29">M46*E46</f>
        <v>708.4473966</v>
      </c>
      <c r="O46" s="109"/>
    </row>
    <row r="47" s="78" customFormat="1" ht="96" outlineLevel="1" spans="1:15">
      <c r="A47" s="105">
        <v>2</v>
      </c>
      <c r="B47" s="110" t="s">
        <v>277</v>
      </c>
      <c r="C47" s="107" t="s">
        <v>278</v>
      </c>
      <c r="D47" s="108" t="s">
        <v>32</v>
      </c>
      <c r="E47" s="109">
        <v>2</v>
      </c>
      <c r="F47" s="95">
        <v>17.78</v>
      </c>
      <c r="G47" s="95">
        <f t="shared" si="25"/>
        <v>29.29</v>
      </c>
      <c r="H47" s="95">
        <v>29</v>
      </c>
      <c r="I47" s="120">
        <v>0.01</v>
      </c>
      <c r="J47" s="95">
        <v>7.39</v>
      </c>
      <c r="K47" s="95">
        <f t="shared" si="26"/>
        <v>4.9014</v>
      </c>
      <c r="L47" s="95">
        <f t="shared" si="27"/>
        <v>5.342526</v>
      </c>
      <c r="M47" s="95">
        <f t="shared" si="28"/>
        <v>64.703926</v>
      </c>
      <c r="N47" s="95">
        <f t="shared" si="29"/>
        <v>129.407852</v>
      </c>
      <c r="O47" s="109"/>
    </row>
    <row r="48" s="78" customFormat="1" ht="60" outlineLevel="1" spans="1:15">
      <c r="A48" s="105">
        <v>3</v>
      </c>
      <c r="B48" s="110" t="s">
        <v>279</v>
      </c>
      <c r="C48" s="107" t="s">
        <v>280</v>
      </c>
      <c r="D48" s="108" t="s">
        <v>276</v>
      </c>
      <c r="E48" s="109">
        <v>9.84</v>
      </c>
      <c r="F48" s="109">
        <v>17.63</v>
      </c>
      <c r="G48" s="109">
        <f t="shared" si="25"/>
        <v>22.22</v>
      </c>
      <c r="H48" s="109">
        <v>22</v>
      </c>
      <c r="I48" s="109">
        <v>0.01</v>
      </c>
      <c r="J48" s="109">
        <v>11.2</v>
      </c>
      <c r="K48" s="109">
        <f t="shared" si="26"/>
        <v>4.5945</v>
      </c>
      <c r="L48" s="109">
        <f t="shared" si="27"/>
        <v>5.008005</v>
      </c>
      <c r="M48" s="109">
        <f t="shared" si="28"/>
        <v>60.652505</v>
      </c>
      <c r="N48" s="109">
        <f t="shared" si="29"/>
        <v>596.8206492</v>
      </c>
      <c r="O48" s="109"/>
    </row>
    <row r="49" s="78" customFormat="1" ht="48" outlineLevel="1" spans="1:15">
      <c r="A49" s="105">
        <v>4</v>
      </c>
      <c r="B49" s="106" t="s">
        <v>281</v>
      </c>
      <c r="C49" s="107" t="s">
        <v>282</v>
      </c>
      <c r="D49" s="108" t="s">
        <v>283</v>
      </c>
      <c r="E49" s="109">
        <v>1</v>
      </c>
      <c r="F49" s="109">
        <v>150</v>
      </c>
      <c r="G49" s="109">
        <f t="shared" si="25"/>
        <v>323.2</v>
      </c>
      <c r="H49" s="109">
        <v>320</v>
      </c>
      <c r="I49" s="109">
        <v>0.01</v>
      </c>
      <c r="J49" s="109">
        <v>45</v>
      </c>
      <c r="K49" s="109">
        <f t="shared" si="26"/>
        <v>46.638</v>
      </c>
      <c r="L49" s="109">
        <f t="shared" si="27"/>
        <v>50.83542</v>
      </c>
      <c r="M49" s="109">
        <f t="shared" si="28"/>
        <v>615.67342</v>
      </c>
      <c r="N49" s="109">
        <f t="shared" si="29"/>
        <v>615.67342</v>
      </c>
      <c r="O49" s="109"/>
    </row>
    <row r="50" s="78" customFormat="1" ht="60" outlineLevel="1" spans="1:15">
      <c r="A50" s="105">
        <v>5</v>
      </c>
      <c r="B50" s="106" t="s">
        <v>155</v>
      </c>
      <c r="C50" s="107" t="s">
        <v>157</v>
      </c>
      <c r="D50" s="109" t="s">
        <v>78</v>
      </c>
      <c r="E50" s="109">
        <v>47.1</v>
      </c>
      <c r="F50" s="109">
        <v>6.32</v>
      </c>
      <c r="G50" s="109">
        <f t="shared" si="25"/>
        <v>1.4522</v>
      </c>
      <c r="H50" s="109">
        <v>1.37</v>
      </c>
      <c r="I50" s="109">
        <v>0.06</v>
      </c>
      <c r="J50" s="109">
        <v>0.25</v>
      </c>
      <c r="K50" s="109">
        <f t="shared" si="26"/>
        <v>0.721998</v>
      </c>
      <c r="L50" s="109">
        <f t="shared" si="27"/>
        <v>0.78697782</v>
      </c>
      <c r="M50" s="109">
        <f t="shared" si="28"/>
        <v>9.53117582</v>
      </c>
      <c r="N50" s="109">
        <f t="shared" si="29"/>
        <v>448.918381122</v>
      </c>
      <c r="O50" s="109"/>
    </row>
    <row r="51" s="78" customFormat="1" ht="48" outlineLevel="1" spans="1:15">
      <c r="A51" s="105">
        <v>6</v>
      </c>
      <c r="B51" s="106" t="s">
        <v>160</v>
      </c>
      <c r="C51" s="107" t="s">
        <v>162</v>
      </c>
      <c r="D51" s="109" t="s">
        <v>78</v>
      </c>
      <c r="E51" s="109">
        <v>162.54</v>
      </c>
      <c r="F51" s="109">
        <v>1.05</v>
      </c>
      <c r="G51" s="109">
        <f t="shared" si="25"/>
        <v>2.9232</v>
      </c>
      <c r="H51" s="109">
        <v>2.52</v>
      </c>
      <c r="I51" s="109">
        <v>0.16</v>
      </c>
      <c r="J51" s="109">
        <v>0.18</v>
      </c>
      <c r="K51" s="109">
        <f t="shared" si="26"/>
        <v>0.373788</v>
      </c>
      <c r="L51" s="109">
        <f t="shared" si="27"/>
        <v>0.40742892</v>
      </c>
      <c r="M51" s="109">
        <f t="shared" si="28"/>
        <v>4.93441692</v>
      </c>
      <c r="N51" s="109">
        <f t="shared" si="29"/>
        <v>802.0401261768</v>
      </c>
      <c r="O51" s="109"/>
    </row>
    <row r="52" s="78" customFormat="1" ht="19" customHeight="1" spans="1:15">
      <c r="A52" s="105">
        <v>7</v>
      </c>
      <c r="B52" s="111" t="s">
        <v>96</v>
      </c>
      <c r="C52" s="112"/>
      <c r="D52" s="113" t="s">
        <v>97</v>
      </c>
      <c r="E52" s="114"/>
      <c r="F52" s="115"/>
      <c r="G52" s="115"/>
      <c r="H52" s="115"/>
      <c r="I52" s="115"/>
      <c r="J52" s="112"/>
      <c r="K52" s="112"/>
      <c r="L52" s="112"/>
      <c r="M52" s="112"/>
      <c r="N52" s="121">
        <f>SUM(N46:N51)</f>
        <v>3301.3078250988</v>
      </c>
      <c r="O52" s="112"/>
    </row>
    <row r="53" s="78" customFormat="1" ht="22.5" spans="1:15">
      <c r="A53" s="105" t="s">
        <v>42</v>
      </c>
      <c r="B53" s="102" t="s">
        <v>289</v>
      </c>
      <c r="C53" s="101" t="s">
        <v>171</v>
      </c>
      <c r="D53" s="101" t="s">
        <v>39</v>
      </c>
      <c r="E53" s="103"/>
      <c r="F53" s="109"/>
      <c r="G53" s="109"/>
      <c r="H53" s="109"/>
      <c r="I53" s="109"/>
      <c r="J53" s="109"/>
      <c r="K53" s="122"/>
      <c r="L53" s="122"/>
      <c r="M53" s="109"/>
      <c r="N53" s="109"/>
      <c r="O53" s="109"/>
    </row>
    <row r="54" s="78" customFormat="1" ht="60" outlineLevel="1" spans="1:15">
      <c r="A54" s="105">
        <v>1</v>
      </c>
      <c r="B54" s="106" t="s">
        <v>274</v>
      </c>
      <c r="C54" s="107" t="s">
        <v>275</v>
      </c>
      <c r="D54" s="108" t="s">
        <v>276</v>
      </c>
      <c r="E54" s="109">
        <v>14</v>
      </c>
      <c r="F54" s="95">
        <v>14.63</v>
      </c>
      <c r="G54" s="95">
        <f t="shared" ref="G54:G59" si="30">H54*(1+I54)</f>
        <v>15.15</v>
      </c>
      <c r="H54" s="95">
        <v>15</v>
      </c>
      <c r="I54" s="120">
        <v>0.01</v>
      </c>
      <c r="J54" s="95">
        <v>8.2</v>
      </c>
      <c r="K54" s="95">
        <f t="shared" ref="K54:K59" si="31">(F54+G54+J54)*9%</f>
        <v>3.4182</v>
      </c>
      <c r="L54" s="95">
        <f t="shared" ref="L54:L59" si="32">(F54+G54+J54+K54)*9%</f>
        <v>3.725838</v>
      </c>
      <c r="M54" s="95">
        <f t="shared" ref="M54:M59" si="33">F54+G54+J54+K54+L54</f>
        <v>45.124038</v>
      </c>
      <c r="N54" s="95">
        <f t="shared" ref="N54:N59" si="34">M54*E54</f>
        <v>631.736532</v>
      </c>
      <c r="O54" s="109"/>
    </row>
    <row r="55" s="78" customFormat="1" ht="96" outlineLevel="1" spans="1:15">
      <c r="A55" s="105">
        <v>2</v>
      </c>
      <c r="B55" s="110" t="s">
        <v>277</v>
      </c>
      <c r="C55" s="107" t="s">
        <v>278</v>
      </c>
      <c r="D55" s="108" t="s">
        <v>32</v>
      </c>
      <c r="E55" s="109">
        <v>2</v>
      </c>
      <c r="F55" s="95">
        <v>17.78</v>
      </c>
      <c r="G55" s="95">
        <f t="shared" si="30"/>
        <v>29.29</v>
      </c>
      <c r="H55" s="95">
        <v>29</v>
      </c>
      <c r="I55" s="120">
        <v>0.01</v>
      </c>
      <c r="J55" s="95">
        <v>7.39</v>
      </c>
      <c r="K55" s="95">
        <f t="shared" si="31"/>
        <v>4.9014</v>
      </c>
      <c r="L55" s="95">
        <f t="shared" si="32"/>
        <v>5.342526</v>
      </c>
      <c r="M55" s="95">
        <f t="shared" si="33"/>
        <v>64.703926</v>
      </c>
      <c r="N55" s="95">
        <f t="shared" si="34"/>
        <v>129.407852</v>
      </c>
      <c r="O55" s="109"/>
    </row>
    <row r="56" s="78" customFormat="1" ht="60" outlineLevel="1" spans="1:15">
      <c r="A56" s="105">
        <v>3</v>
      </c>
      <c r="B56" s="110" t="s">
        <v>279</v>
      </c>
      <c r="C56" s="107" t="s">
        <v>280</v>
      </c>
      <c r="D56" s="108" t="s">
        <v>276</v>
      </c>
      <c r="E56" s="109">
        <v>8</v>
      </c>
      <c r="F56" s="109">
        <v>17.63</v>
      </c>
      <c r="G56" s="109">
        <f t="shared" si="30"/>
        <v>22.22</v>
      </c>
      <c r="H56" s="109">
        <v>22</v>
      </c>
      <c r="I56" s="109">
        <v>0.01</v>
      </c>
      <c r="J56" s="109">
        <v>11.2</v>
      </c>
      <c r="K56" s="109">
        <f t="shared" si="31"/>
        <v>4.5945</v>
      </c>
      <c r="L56" s="109">
        <f t="shared" si="32"/>
        <v>5.008005</v>
      </c>
      <c r="M56" s="109">
        <f t="shared" si="33"/>
        <v>60.652505</v>
      </c>
      <c r="N56" s="109">
        <f t="shared" si="34"/>
        <v>485.22004</v>
      </c>
      <c r="O56" s="109"/>
    </row>
    <row r="57" s="78" customFormat="1" ht="48" outlineLevel="1" spans="1:15">
      <c r="A57" s="105">
        <v>4</v>
      </c>
      <c r="B57" s="106" t="s">
        <v>281</v>
      </c>
      <c r="C57" s="107" t="s">
        <v>282</v>
      </c>
      <c r="D57" s="108" t="s">
        <v>283</v>
      </c>
      <c r="E57" s="109">
        <v>1</v>
      </c>
      <c r="F57" s="109">
        <v>150</v>
      </c>
      <c r="G57" s="109">
        <f t="shared" si="30"/>
        <v>323.2</v>
      </c>
      <c r="H57" s="109">
        <v>320</v>
      </c>
      <c r="I57" s="109">
        <v>0.01</v>
      </c>
      <c r="J57" s="109">
        <v>45</v>
      </c>
      <c r="K57" s="109">
        <f t="shared" si="31"/>
        <v>46.638</v>
      </c>
      <c r="L57" s="109">
        <f t="shared" si="32"/>
        <v>50.83542</v>
      </c>
      <c r="M57" s="109">
        <f t="shared" si="33"/>
        <v>615.67342</v>
      </c>
      <c r="N57" s="109">
        <f t="shared" si="34"/>
        <v>615.67342</v>
      </c>
      <c r="O57" s="109"/>
    </row>
    <row r="58" s="78" customFormat="1" ht="60" outlineLevel="1" spans="1:15">
      <c r="A58" s="105">
        <v>5</v>
      </c>
      <c r="B58" s="106" t="s">
        <v>155</v>
      </c>
      <c r="C58" s="107" t="s">
        <v>157</v>
      </c>
      <c r="D58" s="109" t="s">
        <v>78</v>
      </c>
      <c r="E58" s="109">
        <v>47.1</v>
      </c>
      <c r="F58" s="109">
        <v>6.32</v>
      </c>
      <c r="G58" s="109">
        <f t="shared" si="30"/>
        <v>1.4522</v>
      </c>
      <c r="H58" s="109">
        <v>1.37</v>
      </c>
      <c r="I58" s="109">
        <v>0.06</v>
      </c>
      <c r="J58" s="109">
        <v>0.25</v>
      </c>
      <c r="K58" s="109">
        <f t="shared" si="31"/>
        <v>0.721998</v>
      </c>
      <c r="L58" s="109">
        <f t="shared" si="32"/>
        <v>0.78697782</v>
      </c>
      <c r="M58" s="109">
        <f t="shared" si="33"/>
        <v>9.53117582</v>
      </c>
      <c r="N58" s="109">
        <f t="shared" si="34"/>
        <v>448.918381122</v>
      </c>
      <c r="O58" s="109"/>
    </row>
    <row r="59" s="78" customFormat="1" ht="48" outlineLevel="1" spans="1:15">
      <c r="A59" s="105">
        <v>6</v>
      </c>
      <c r="B59" s="106" t="s">
        <v>160</v>
      </c>
      <c r="C59" s="107" t="s">
        <v>162</v>
      </c>
      <c r="D59" s="109" t="s">
        <v>78</v>
      </c>
      <c r="E59" s="109">
        <v>162.54</v>
      </c>
      <c r="F59" s="109">
        <v>1.05</v>
      </c>
      <c r="G59" s="109">
        <f t="shared" si="30"/>
        <v>2.9232</v>
      </c>
      <c r="H59" s="109">
        <v>2.52</v>
      </c>
      <c r="I59" s="109">
        <v>0.16</v>
      </c>
      <c r="J59" s="109">
        <v>0.18</v>
      </c>
      <c r="K59" s="109">
        <f t="shared" si="31"/>
        <v>0.373788</v>
      </c>
      <c r="L59" s="109">
        <f t="shared" si="32"/>
        <v>0.40742892</v>
      </c>
      <c r="M59" s="109">
        <f t="shared" si="33"/>
        <v>4.93441692</v>
      </c>
      <c r="N59" s="109">
        <f t="shared" si="34"/>
        <v>802.0401261768</v>
      </c>
      <c r="O59" s="109"/>
    </row>
    <row r="60" s="78" customFormat="1" ht="19" customHeight="1" spans="1:15">
      <c r="A60" s="105">
        <v>7</v>
      </c>
      <c r="B60" s="111" t="s">
        <v>96</v>
      </c>
      <c r="C60" s="112"/>
      <c r="D60" s="113" t="s">
        <v>97</v>
      </c>
      <c r="E60" s="114"/>
      <c r="F60" s="115"/>
      <c r="G60" s="115"/>
      <c r="H60" s="115"/>
      <c r="I60" s="115"/>
      <c r="J60" s="112"/>
      <c r="K60" s="112"/>
      <c r="L60" s="112"/>
      <c r="M60" s="112"/>
      <c r="N60" s="121">
        <f>SUM(N54:N59)</f>
        <v>3112.9963512988</v>
      </c>
      <c r="O60" s="112"/>
    </row>
    <row r="61" s="78" customFormat="1" ht="22.5" spans="1:15">
      <c r="A61" s="105" t="s">
        <v>115</v>
      </c>
      <c r="B61" s="102" t="s">
        <v>290</v>
      </c>
      <c r="C61" s="101" t="s">
        <v>169</v>
      </c>
      <c r="D61" s="101" t="s">
        <v>39</v>
      </c>
      <c r="E61" s="103"/>
      <c r="F61" s="109"/>
      <c r="G61" s="109"/>
      <c r="H61" s="109"/>
      <c r="I61" s="109"/>
      <c r="J61" s="109"/>
      <c r="K61" s="122"/>
      <c r="L61" s="122"/>
      <c r="M61" s="109"/>
      <c r="N61" s="109"/>
      <c r="O61" s="109"/>
    </row>
    <row r="62" s="78" customFormat="1" ht="60" outlineLevel="1" spans="1:15">
      <c r="A62" s="105">
        <v>1</v>
      </c>
      <c r="B62" s="106" t="s">
        <v>274</v>
      </c>
      <c r="C62" s="107" t="s">
        <v>275</v>
      </c>
      <c r="D62" s="108" t="s">
        <v>276</v>
      </c>
      <c r="E62" s="109">
        <v>11.92</v>
      </c>
      <c r="F62" s="95">
        <v>14.63</v>
      </c>
      <c r="G62" s="95">
        <f t="shared" ref="G62:G67" si="35">H62*(1+I62)</f>
        <v>15.15</v>
      </c>
      <c r="H62" s="95">
        <v>15</v>
      </c>
      <c r="I62" s="120">
        <v>0.01</v>
      </c>
      <c r="J62" s="95">
        <v>8.2</v>
      </c>
      <c r="K62" s="95">
        <f t="shared" ref="K62:K67" si="36">(F62+G62+J62)*9%</f>
        <v>3.4182</v>
      </c>
      <c r="L62" s="95">
        <f t="shared" ref="L62:L67" si="37">(F62+G62+J62+K62)*9%</f>
        <v>3.725838</v>
      </c>
      <c r="M62" s="95">
        <f t="shared" ref="M62:M67" si="38">F62+G62+J62+K62+L62</f>
        <v>45.124038</v>
      </c>
      <c r="N62" s="95">
        <f t="shared" ref="N62:N67" si="39">M62*E62</f>
        <v>537.87853296</v>
      </c>
      <c r="O62" s="109"/>
    </row>
    <row r="63" s="78" customFormat="1" ht="96" outlineLevel="1" spans="1:15">
      <c r="A63" s="105">
        <v>2</v>
      </c>
      <c r="B63" s="110" t="s">
        <v>277</v>
      </c>
      <c r="C63" s="107" t="s">
        <v>278</v>
      </c>
      <c r="D63" s="108" t="s">
        <v>32</v>
      </c>
      <c r="E63" s="109">
        <v>2</v>
      </c>
      <c r="F63" s="95">
        <v>17.78</v>
      </c>
      <c r="G63" s="95">
        <f t="shared" si="35"/>
        <v>29.29</v>
      </c>
      <c r="H63" s="95">
        <v>29</v>
      </c>
      <c r="I63" s="120">
        <v>0.01</v>
      </c>
      <c r="J63" s="95">
        <v>7.39</v>
      </c>
      <c r="K63" s="95">
        <f t="shared" si="36"/>
        <v>4.9014</v>
      </c>
      <c r="L63" s="95">
        <f t="shared" si="37"/>
        <v>5.342526</v>
      </c>
      <c r="M63" s="95">
        <f t="shared" si="38"/>
        <v>64.703926</v>
      </c>
      <c r="N63" s="95">
        <f t="shared" si="39"/>
        <v>129.407852</v>
      </c>
      <c r="O63" s="109"/>
    </row>
    <row r="64" s="78" customFormat="1" ht="60" outlineLevel="1" spans="1:15">
      <c r="A64" s="105">
        <v>3</v>
      </c>
      <c r="B64" s="110" t="s">
        <v>279</v>
      </c>
      <c r="C64" s="107" t="s">
        <v>280</v>
      </c>
      <c r="D64" s="108" t="s">
        <v>276</v>
      </c>
      <c r="E64" s="109">
        <v>5.4</v>
      </c>
      <c r="F64" s="109">
        <v>17.63</v>
      </c>
      <c r="G64" s="109">
        <f t="shared" si="35"/>
        <v>22.22</v>
      </c>
      <c r="H64" s="109">
        <v>22</v>
      </c>
      <c r="I64" s="109">
        <v>0.01</v>
      </c>
      <c r="J64" s="109">
        <v>11.2</v>
      </c>
      <c r="K64" s="109">
        <f t="shared" si="36"/>
        <v>4.5945</v>
      </c>
      <c r="L64" s="109">
        <f t="shared" si="37"/>
        <v>5.008005</v>
      </c>
      <c r="M64" s="109">
        <f t="shared" si="38"/>
        <v>60.652505</v>
      </c>
      <c r="N64" s="109">
        <f t="shared" si="39"/>
        <v>327.523527</v>
      </c>
      <c r="O64" s="109"/>
    </row>
    <row r="65" s="78" customFormat="1" ht="48" outlineLevel="1" spans="1:15">
      <c r="A65" s="105">
        <v>4</v>
      </c>
      <c r="B65" s="106" t="s">
        <v>281</v>
      </c>
      <c r="C65" s="107" t="s">
        <v>282</v>
      </c>
      <c r="D65" s="108" t="s">
        <v>283</v>
      </c>
      <c r="E65" s="109">
        <v>1</v>
      </c>
      <c r="F65" s="109">
        <v>150</v>
      </c>
      <c r="G65" s="109">
        <f t="shared" si="35"/>
        <v>323.2</v>
      </c>
      <c r="H65" s="109">
        <v>320</v>
      </c>
      <c r="I65" s="109">
        <v>0.01</v>
      </c>
      <c r="J65" s="109">
        <v>45</v>
      </c>
      <c r="K65" s="109">
        <f t="shared" si="36"/>
        <v>46.638</v>
      </c>
      <c r="L65" s="109">
        <f t="shared" si="37"/>
        <v>50.83542</v>
      </c>
      <c r="M65" s="109">
        <f t="shared" si="38"/>
        <v>615.67342</v>
      </c>
      <c r="N65" s="109">
        <f t="shared" si="39"/>
        <v>615.67342</v>
      </c>
      <c r="O65" s="109"/>
    </row>
    <row r="66" s="78" customFormat="1" ht="60" outlineLevel="1" spans="1:15">
      <c r="A66" s="105">
        <v>5</v>
      </c>
      <c r="B66" s="106" t="s">
        <v>155</v>
      </c>
      <c r="C66" s="107" t="s">
        <v>157</v>
      </c>
      <c r="D66" s="109" t="s">
        <v>78</v>
      </c>
      <c r="E66" s="109">
        <v>47.1</v>
      </c>
      <c r="F66" s="109">
        <v>6.32</v>
      </c>
      <c r="G66" s="109">
        <f t="shared" si="35"/>
        <v>1.4522</v>
      </c>
      <c r="H66" s="109">
        <v>1.37</v>
      </c>
      <c r="I66" s="109">
        <v>0.06</v>
      </c>
      <c r="J66" s="109">
        <v>0.25</v>
      </c>
      <c r="K66" s="109">
        <f t="shared" si="36"/>
        <v>0.721998</v>
      </c>
      <c r="L66" s="109">
        <f t="shared" si="37"/>
        <v>0.78697782</v>
      </c>
      <c r="M66" s="109">
        <f t="shared" si="38"/>
        <v>9.53117582</v>
      </c>
      <c r="N66" s="109">
        <f t="shared" si="39"/>
        <v>448.918381122</v>
      </c>
      <c r="O66" s="109"/>
    </row>
    <row r="67" s="78" customFormat="1" ht="48" outlineLevel="1" spans="1:15">
      <c r="A67" s="105">
        <v>6</v>
      </c>
      <c r="B67" s="106" t="s">
        <v>160</v>
      </c>
      <c r="C67" s="107" t="s">
        <v>162</v>
      </c>
      <c r="D67" s="109" t="s">
        <v>78</v>
      </c>
      <c r="E67" s="109">
        <v>162.54</v>
      </c>
      <c r="F67" s="109">
        <v>1.05</v>
      </c>
      <c r="G67" s="109">
        <f t="shared" si="35"/>
        <v>2.9232</v>
      </c>
      <c r="H67" s="109">
        <v>2.52</v>
      </c>
      <c r="I67" s="109">
        <v>0.16</v>
      </c>
      <c r="J67" s="109">
        <v>0.18</v>
      </c>
      <c r="K67" s="109">
        <f t="shared" si="36"/>
        <v>0.373788</v>
      </c>
      <c r="L67" s="109">
        <f t="shared" si="37"/>
        <v>0.40742892</v>
      </c>
      <c r="M67" s="109">
        <f t="shared" si="38"/>
        <v>4.93441692</v>
      </c>
      <c r="N67" s="109">
        <f t="shared" si="39"/>
        <v>802.0401261768</v>
      </c>
      <c r="O67" s="109"/>
    </row>
    <row r="68" s="78" customFormat="1" ht="19" customHeight="1" spans="1:15">
      <c r="A68" s="105">
        <v>7</v>
      </c>
      <c r="B68" s="111" t="s">
        <v>96</v>
      </c>
      <c r="C68" s="112"/>
      <c r="D68" s="113" t="s">
        <v>97</v>
      </c>
      <c r="E68" s="114"/>
      <c r="F68" s="115"/>
      <c r="G68" s="115"/>
      <c r="H68" s="115"/>
      <c r="I68" s="115"/>
      <c r="J68" s="112"/>
      <c r="K68" s="112"/>
      <c r="L68" s="112"/>
      <c r="M68" s="112"/>
      <c r="N68" s="121">
        <f>SUM(N62:N67)</f>
        <v>2861.4418392588</v>
      </c>
      <c r="O68" s="112"/>
    </row>
    <row r="69" s="78" customFormat="1" ht="22.5" spans="1:15">
      <c r="A69" s="105" t="s">
        <v>118</v>
      </c>
      <c r="B69" s="102" t="s">
        <v>291</v>
      </c>
      <c r="C69" s="101" t="s">
        <v>171</v>
      </c>
      <c r="D69" s="101" t="s">
        <v>39</v>
      </c>
      <c r="E69" s="103"/>
      <c r="F69" s="109"/>
      <c r="G69" s="109"/>
      <c r="H69" s="109"/>
      <c r="I69" s="109"/>
      <c r="J69" s="109"/>
      <c r="K69" s="122"/>
      <c r="L69" s="122"/>
      <c r="M69" s="109"/>
      <c r="N69" s="109"/>
      <c r="O69" s="109"/>
    </row>
    <row r="70" s="78" customFormat="1" ht="60" outlineLevel="1" spans="1:15">
      <c r="A70" s="105">
        <v>1</v>
      </c>
      <c r="B70" s="106" t="s">
        <v>274</v>
      </c>
      <c r="C70" s="107" t="s">
        <v>275</v>
      </c>
      <c r="D70" s="108" t="s">
        <v>276</v>
      </c>
      <c r="E70" s="109">
        <v>18.8</v>
      </c>
      <c r="F70" s="95">
        <v>14.63</v>
      </c>
      <c r="G70" s="95">
        <f t="shared" ref="G70:G75" si="40">H70*(1+I70)</f>
        <v>15.15</v>
      </c>
      <c r="H70" s="95">
        <v>15</v>
      </c>
      <c r="I70" s="120">
        <v>0.01</v>
      </c>
      <c r="J70" s="95">
        <v>8.2</v>
      </c>
      <c r="K70" s="95">
        <f t="shared" ref="K70:K75" si="41">(F70+G70+J70)*9%</f>
        <v>3.4182</v>
      </c>
      <c r="L70" s="95">
        <f t="shared" ref="L70:L75" si="42">(F70+G70+J70+K70)*9%</f>
        <v>3.725838</v>
      </c>
      <c r="M70" s="95">
        <f t="shared" ref="M70:M75" si="43">F70+G70+J70+K70+L70</f>
        <v>45.124038</v>
      </c>
      <c r="N70" s="95">
        <f t="shared" ref="N70:N75" si="44">M70*E70</f>
        <v>848.3319144</v>
      </c>
      <c r="O70" s="109"/>
    </row>
    <row r="71" s="78" customFormat="1" ht="96" outlineLevel="1" spans="1:15">
      <c r="A71" s="105">
        <v>2</v>
      </c>
      <c r="B71" s="110" t="s">
        <v>277</v>
      </c>
      <c r="C71" s="107" t="s">
        <v>278</v>
      </c>
      <c r="D71" s="108" t="s">
        <v>32</v>
      </c>
      <c r="E71" s="109">
        <v>2</v>
      </c>
      <c r="F71" s="95">
        <v>17.78</v>
      </c>
      <c r="G71" s="95">
        <f t="shared" si="40"/>
        <v>29.29</v>
      </c>
      <c r="H71" s="95">
        <v>29</v>
      </c>
      <c r="I71" s="120">
        <v>0.01</v>
      </c>
      <c r="J71" s="95">
        <v>7.39</v>
      </c>
      <c r="K71" s="95">
        <f t="shared" si="41"/>
        <v>4.9014</v>
      </c>
      <c r="L71" s="95">
        <f t="shared" si="42"/>
        <v>5.342526</v>
      </c>
      <c r="M71" s="95">
        <f t="shared" si="43"/>
        <v>64.703926</v>
      </c>
      <c r="N71" s="95">
        <f t="shared" si="44"/>
        <v>129.407852</v>
      </c>
      <c r="O71" s="109"/>
    </row>
    <row r="72" s="78" customFormat="1" ht="60" outlineLevel="1" spans="1:15">
      <c r="A72" s="105">
        <v>3</v>
      </c>
      <c r="B72" s="110" t="s">
        <v>279</v>
      </c>
      <c r="C72" s="107" t="s">
        <v>280</v>
      </c>
      <c r="D72" s="108" t="s">
        <v>276</v>
      </c>
      <c r="E72" s="109">
        <v>10</v>
      </c>
      <c r="F72" s="109">
        <v>17.63</v>
      </c>
      <c r="G72" s="109">
        <f t="shared" si="40"/>
        <v>22.22</v>
      </c>
      <c r="H72" s="109">
        <v>22</v>
      </c>
      <c r="I72" s="109">
        <v>0.01</v>
      </c>
      <c r="J72" s="109">
        <v>11.2</v>
      </c>
      <c r="K72" s="109">
        <f t="shared" si="41"/>
        <v>4.5945</v>
      </c>
      <c r="L72" s="109">
        <f t="shared" si="42"/>
        <v>5.008005</v>
      </c>
      <c r="M72" s="109">
        <f t="shared" si="43"/>
        <v>60.652505</v>
      </c>
      <c r="N72" s="109">
        <f t="shared" si="44"/>
        <v>606.52505</v>
      </c>
      <c r="O72" s="109"/>
    </row>
    <row r="73" s="78" customFormat="1" ht="48" outlineLevel="1" spans="1:15">
      <c r="A73" s="105">
        <v>4</v>
      </c>
      <c r="B73" s="106" t="s">
        <v>281</v>
      </c>
      <c r="C73" s="107" t="s">
        <v>282</v>
      </c>
      <c r="D73" s="108" t="s">
        <v>283</v>
      </c>
      <c r="E73" s="109">
        <v>1</v>
      </c>
      <c r="F73" s="109">
        <v>150</v>
      </c>
      <c r="G73" s="109">
        <f t="shared" si="40"/>
        <v>323.2</v>
      </c>
      <c r="H73" s="109">
        <v>320</v>
      </c>
      <c r="I73" s="109">
        <v>0.01</v>
      </c>
      <c r="J73" s="109">
        <v>45</v>
      </c>
      <c r="K73" s="109">
        <f t="shared" si="41"/>
        <v>46.638</v>
      </c>
      <c r="L73" s="109">
        <f t="shared" si="42"/>
        <v>50.83542</v>
      </c>
      <c r="M73" s="109">
        <f t="shared" si="43"/>
        <v>615.67342</v>
      </c>
      <c r="N73" s="109">
        <f t="shared" si="44"/>
        <v>615.67342</v>
      </c>
      <c r="O73" s="109"/>
    </row>
    <row r="74" s="78" customFormat="1" ht="60" outlineLevel="1" spans="1:15">
      <c r="A74" s="105">
        <v>5</v>
      </c>
      <c r="B74" s="106" t="s">
        <v>155</v>
      </c>
      <c r="C74" s="107" t="s">
        <v>157</v>
      </c>
      <c r="D74" s="109" t="s">
        <v>78</v>
      </c>
      <c r="E74" s="109">
        <v>52.1</v>
      </c>
      <c r="F74" s="109">
        <v>6.32</v>
      </c>
      <c r="G74" s="109">
        <f t="shared" si="40"/>
        <v>1.4522</v>
      </c>
      <c r="H74" s="109">
        <v>1.37</v>
      </c>
      <c r="I74" s="109">
        <v>0.06</v>
      </c>
      <c r="J74" s="109">
        <v>0.25</v>
      </c>
      <c r="K74" s="109">
        <f t="shared" si="41"/>
        <v>0.721998</v>
      </c>
      <c r="L74" s="109">
        <f t="shared" si="42"/>
        <v>0.78697782</v>
      </c>
      <c r="M74" s="109">
        <f t="shared" si="43"/>
        <v>9.53117582</v>
      </c>
      <c r="N74" s="109">
        <f t="shared" si="44"/>
        <v>496.574260222</v>
      </c>
      <c r="O74" s="109"/>
    </row>
    <row r="75" s="78" customFormat="1" ht="48" outlineLevel="1" spans="1:15">
      <c r="A75" s="105">
        <v>6</v>
      </c>
      <c r="B75" s="106" t="s">
        <v>160</v>
      </c>
      <c r="C75" s="107" t="s">
        <v>162</v>
      </c>
      <c r="D75" s="109" t="s">
        <v>78</v>
      </c>
      <c r="E75" s="109">
        <v>178.29</v>
      </c>
      <c r="F75" s="109">
        <v>1.05</v>
      </c>
      <c r="G75" s="109">
        <f t="shared" si="40"/>
        <v>2.9232</v>
      </c>
      <c r="H75" s="109">
        <v>2.52</v>
      </c>
      <c r="I75" s="109">
        <v>0.16</v>
      </c>
      <c r="J75" s="109">
        <v>0.18</v>
      </c>
      <c r="K75" s="109">
        <f t="shared" si="41"/>
        <v>0.373788</v>
      </c>
      <c r="L75" s="109">
        <f t="shared" si="42"/>
        <v>0.40742892</v>
      </c>
      <c r="M75" s="109">
        <f t="shared" si="43"/>
        <v>4.93441692</v>
      </c>
      <c r="N75" s="109">
        <f t="shared" si="44"/>
        <v>879.7571926668</v>
      </c>
      <c r="O75" s="109"/>
    </row>
    <row r="76" s="78" customFormat="1" ht="19" customHeight="1" spans="1:15">
      <c r="A76" s="105">
        <v>7</v>
      </c>
      <c r="B76" s="111" t="s">
        <v>96</v>
      </c>
      <c r="C76" s="112"/>
      <c r="D76" s="113" t="s">
        <v>97</v>
      </c>
      <c r="E76" s="114"/>
      <c r="F76" s="115"/>
      <c r="G76" s="115"/>
      <c r="H76" s="115"/>
      <c r="I76" s="115"/>
      <c r="J76" s="112"/>
      <c r="K76" s="112"/>
      <c r="L76" s="112"/>
      <c r="M76" s="112"/>
      <c r="N76" s="121">
        <f>SUM(N70:N75)</f>
        <v>3576.2696892888</v>
      </c>
      <c r="O76" s="112"/>
    </row>
    <row r="77" s="78" customFormat="1" ht="22.5" spans="1:15">
      <c r="A77" s="105" t="s">
        <v>177</v>
      </c>
      <c r="B77" s="102" t="s">
        <v>292</v>
      </c>
      <c r="C77" s="101" t="s">
        <v>169</v>
      </c>
      <c r="D77" s="101" t="s">
        <v>39</v>
      </c>
      <c r="E77" s="103"/>
      <c r="F77" s="109"/>
      <c r="G77" s="109"/>
      <c r="H77" s="109"/>
      <c r="I77" s="109"/>
      <c r="J77" s="109"/>
      <c r="K77" s="122"/>
      <c r="L77" s="122"/>
      <c r="M77" s="109"/>
      <c r="N77" s="109"/>
      <c r="O77" s="109"/>
    </row>
    <row r="78" s="78" customFormat="1" ht="60" outlineLevel="1" spans="1:15">
      <c r="A78" s="105">
        <v>1</v>
      </c>
      <c r="B78" s="106" t="s">
        <v>274</v>
      </c>
      <c r="C78" s="107" t="s">
        <v>275</v>
      </c>
      <c r="D78" s="108" t="s">
        <v>276</v>
      </c>
      <c r="E78" s="109">
        <v>15.8</v>
      </c>
      <c r="F78" s="95">
        <v>14.63</v>
      </c>
      <c r="G78" s="95">
        <f t="shared" ref="G78:G83" si="45">H78*(1+I78)</f>
        <v>15.15</v>
      </c>
      <c r="H78" s="95">
        <v>15</v>
      </c>
      <c r="I78" s="120">
        <v>0.01</v>
      </c>
      <c r="J78" s="95">
        <v>8.2</v>
      </c>
      <c r="K78" s="95">
        <f t="shared" ref="K78:K83" si="46">(F78+G78+J78)*9%</f>
        <v>3.4182</v>
      </c>
      <c r="L78" s="95">
        <f t="shared" ref="L78:L83" si="47">(F78+G78+J78+K78)*9%</f>
        <v>3.725838</v>
      </c>
      <c r="M78" s="95">
        <f t="shared" ref="M78:M83" si="48">F78+G78+J78+K78+L78</f>
        <v>45.124038</v>
      </c>
      <c r="N78" s="95">
        <f t="shared" ref="N78:N83" si="49">M78*E78</f>
        <v>712.9598004</v>
      </c>
      <c r="O78" s="109"/>
    </row>
    <row r="79" s="78" customFormat="1" ht="96" outlineLevel="1" spans="1:15">
      <c r="A79" s="105">
        <v>2</v>
      </c>
      <c r="B79" s="110" t="s">
        <v>277</v>
      </c>
      <c r="C79" s="107" t="s">
        <v>278</v>
      </c>
      <c r="D79" s="108" t="s">
        <v>32</v>
      </c>
      <c r="E79" s="109">
        <v>2</v>
      </c>
      <c r="F79" s="95">
        <v>17.78</v>
      </c>
      <c r="G79" s="95">
        <f t="shared" si="45"/>
        <v>29.29</v>
      </c>
      <c r="H79" s="95">
        <v>29</v>
      </c>
      <c r="I79" s="120">
        <v>0.01</v>
      </c>
      <c r="J79" s="95">
        <v>7.39</v>
      </c>
      <c r="K79" s="95">
        <f t="shared" si="46"/>
        <v>4.9014</v>
      </c>
      <c r="L79" s="95">
        <f t="shared" si="47"/>
        <v>5.342526</v>
      </c>
      <c r="M79" s="95">
        <f t="shared" si="48"/>
        <v>64.703926</v>
      </c>
      <c r="N79" s="95">
        <f t="shared" si="49"/>
        <v>129.407852</v>
      </c>
      <c r="O79" s="109"/>
    </row>
    <row r="80" s="78" customFormat="1" ht="60" outlineLevel="1" spans="1:15">
      <c r="A80" s="105">
        <v>3</v>
      </c>
      <c r="B80" s="110" t="s">
        <v>279</v>
      </c>
      <c r="C80" s="107" t="s">
        <v>280</v>
      </c>
      <c r="D80" s="108" t="s">
        <v>276</v>
      </c>
      <c r="E80" s="109">
        <v>3.8</v>
      </c>
      <c r="F80" s="109">
        <v>17.63</v>
      </c>
      <c r="G80" s="109">
        <f t="shared" si="45"/>
        <v>22.22</v>
      </c>
      <c r="H80" s="109">
        <v>22</v>
      </c>
      <c r="I80" s="109">
        <v>0.01</v>
      </c>
      <c r="J80" s="109">
        <v>11.2</v>
      </c>
      <c r="K80" s="109">
        <f t="shared" si="46"/>
        <v>4.5945</v>
      </c>
      <c r="L80" s="109">
        <f t="shared" si="47"/>
        <v>5.008005</v>
      </c>
      <c r="M80" s="109">
        <f t="shared" si="48"/>
        <v>60.652505</v>
      </c>
      <c r="N80" s="109">
        <f t="shared" si="49"/>
        <v>230.479519</v>
      </c>
      <c r="O80" s="109"/>
    </row>
    <row r="81" s="78" customFormat="1" ht="48" outlineLevel="1" spans="1:15">
      <c r="A81" s="105">
        <v>4</v>
      </c>
      <c r="B81" s="106" t="s">
        <v>281</v>
      </c>
      <c r="C81" s="107" t="s">
        <v>282</v>
      </c>
      <c r="D81" s="108" t="s">
        <v>283</v>
      </c>
      <c r="E81" s="109">
        <v>1</v>
      </c>
      <c r="F81" s="109">
        <v>150</v>
      </c>
      <c r="G81" s="109">
        <f t="shared" si="45"/>
        <v>323.2</v>
      </c>
      <c r="H81" s="109">
        <v>320</v>
      </c>
      <c r="I81" s="109">
        <v>0.01</v>
      </c>
      <c r="J81" s="109">
        <v>45</v>
      </c>
      <c r="K81" s="109">
        <f t="shared" si="46"/>
        <v>46.638</v>
      </c>
      <c r="L81" s="109">
        <f t="shared" si="47"/>
        <v>50.83542</v>
      </c>
      <c r="M81" s="109">
        <f t="shared" si="48"/>
        <v>615.67342</v>
      </c>
      <c r="N81" s="109">
        <f t="shared" si="49"/>
        <v>615.67342</v>
      </c>
      <c r="O81" s="109"/>
    </row>
    <row r="82" s="78" customFormat="1" ht="60" outlineLevel="1" spans="1:15">
      <c r="A82" s="105">
        <v>5</v>
      </c>
      <c r="B82" s="106" t="s">
        <v>155</v>
      </c>
      <c r="C82" s="107" t="s">
        <v>157</v>
      </c>
      <c r="D82" s="109" t="s">
        <v>78</v>
      </c>
      <c r="E82" s="109">
        <v>47.1</v>
      </c>
      <c r="F82" s="109">
        <v>6.32</v>
      </c>
      <c r="G82" s="109">
        <f t="shared" si="45"/>
        <v>1.4522</v>
      </c>
      <c r="H82" s="109">
        <v>1.37</v>
      </c>
      <c r="I82" s="109">
        <v>0.06</v>
      </c>
      <c r="J82" s="109">
        <v>0.25</v>
      </c>
      <c r="K82" s="109">
        <f t="shared" si="46"/>
        <v>0.721998</v>
      </c>
      <c r="L82" s="109">
        <f t="shared" si="47"/>
        <v>0.78697782</v>
      </c>
      <c r="M82" s="109">
        <f t="shared" si="48"/>
        <v>9.53117582</v>
      </c>
      <c r="N82" s="109">
        <f t="shared" si="49"/>
        <v>448.918381122</v>
      </c>
      <c r="O82" s="109"/>
    </row>
    <row r="83" s="78" customFormat="1" ht="48" outlineLevel="1" spans="1:15">
      <c r="A83" s="105">
        <v>6</v>
      </c>
      <c r="B83" s="106" t="s">
        <v>160</v>
      </c>
      <c r="C83" s="107" t="s">
        <v>162</v>
      </c>
      <c r="D83" s="109" t="s">
        <v>78</v>
      </c>
      <c r="E83" s="109">
        <v>162.54</v>
      </c>
      <c r="F83" s="109">
        <v>1.05</v>
      </c>
      <c r="G83" s="109">
        <f t="shared" si="45"/>
        <v>2.9232</v>
      </c>
      <c r="H83" s="109">
        <v>2.52</v>
      </c>
      <c r="I83" s="109">
        <v>0.16</v>
      </c>
      <c r="J83" s="109">
        <v>0.18</v>
      </c>
      <c r="K83" s="109">
        <f t="shared" si="46"/>
        <v>0.373788</v>
      </c>
      <c r="L83" s="109">
        <f t="shared" si="47"/>
        <v>0.40742892</v>
      </c>
      <c r="M83" s="109">
        <f t="shared" si="48"/>
        <v>4.93441692</v>
      </c>
      <c r="N83" s="109">
        <f t="shared" si="49"/>
        <v>802.0401261768</v>
      </c>
      <c r="O83" s="109"/>
    </row>
    <row r="84" s="78" customFormat="1" ht="19" customHeight="1" spans="1:15">
      <c r="A84" s="105">
        <v>7</v>
      </c>
      <c r="B84" s="111" t="s">
        <v>96</v>
      </c>
      <c r="C84" s="112"/>
      <c r="D84" s="113" t="s">
        <v>97</v>
      </c>
      <c r="E84" s="114"/>
      <c r="F84" s="115"/>
      <c r="G84" s="115"/>
      <c r="H84" s="115"/>
      <c r="I84" s="115"/>
      <c r="J84" s="112"/>
      <c r="K84" s="112"/>
      <c r="L84" s="112"/>
      <c r="M84" s="112"/>
      <c r="N84" s="121">
        <f>SUM(N78:N83)</f>
        <v>2939.4790986988</v>
      </c>
      <c r="O84" s="112"/>
    </row>
    <row r="85" s="78" customFormat="1" ht="22.5" spans="1:15">
      <c r="A85" s="105" t="s">
        <v>257</v>
      </c>
      <c r="B85" s="102" t="s">
        <v>293</v>
      </c>
      <c r="C85" s="101" t="s">
        <v>171</v>
      </c>
      <c r="D85" s="101" t="s">
        <v>39</v>
      </c>
      <c r="E85" s="103"/>
      <c r="F85" s="109"/>
      <c r="G85" s="109"/>
      <c r="H85" s="109"/>
      <c r="I85" s="109"/>
      <c r="J85" s="109"/>
      <c r="K85" s="122"/>
      <c r="L85" s="122"/>
      <c r="M85" s="109"/>
      <c r="N85" s="109"/>
      <c r="O85" s="109"/>
    </row>
    <row r="86" s="78" customFormat="1" ht="60" outlineLevel="1" spans="1:15">
      <c r="A86" s="105">
        <v>1</v>
      </c>
      <c r="B86" s="106" t="s">
        <v>274</v>
      </c>
      <c r="C86" s="107" t="s">
        <v>275</v>
      </c>
      <c r="D86" s="108" t="s">
        <v>276</v>
      </c>
      <c r="E86" s="109">
        <v>15.8</v>
      </c>
      <c r="F86" s="95">
        <v>14.63</v>
      </c>
      <c r="G86" s="95">
        <f t="shared" ref="G86:G91" si="50">H86*(1+I86)</f>
        <v>15.15</v>
      </c>
      <c r="H86" s="95">
        <v>15</v>
      </c>
      <c r="I86" s="120">
        <v>0.01</v>
      </c>
      <c r="J86" s="95">
        <v>8.2</v>
      </c>
      <c r="K86" s="95">
        <f t="shared" ref="K86:K91" si="51">(F86+G86+J86)*9%</f>
        <v>3.4182</v>
      </c>
      <c r="L86" s="95">
        <f t="shared" ref="L86:L91" si="52">(F86+G86+J86+K86)*9%</f>
        <v>3.725838</v>
      </c>
      <c r="M86" s="95">
        <f t="shared" ref="M86:M91" si="53">F86+G86+J86+K86+L86</f>
        <v>45.124038</v>
      </c>
      <c r="N86" s="95">
        <f t="shared" ref="N86:N91" si="54">M86*E86</f>
        <v>712.9598004</v>
      </c>
      <c r="O86" s="109"/>
    </row>
    <row r="87" s="78" customFormat="1" ht="96" outlineLevel="1" spans="1:15">
      <c r="A87" s="105">
        <v>2</v>
      </c>
      <c r="B87" s="110" t="s">
        <v>277</v>
      </c>
      <c r="C87" s="107" t="s">
        <v>278</v>
      </c>
      <c r="D87" s="108" t="s">
        <v>32</v>
      </c>
      <c r="E87" s="109">
        <v>2</v>
      </c>
      <c r="F87" s="95">
        <v>17.78</v>
      </c>
      <c r="G87" s="95">
        <f t="shared" si="50"/>
        <v>29.29</v>
      </c>
      <c r="H87" s="95">
        <v>29</v>
      </c>
      <c r="I87" s="120">
        <v>0.01</v>
      </c>
      <c r="J87" s="95">
        <v>7.39</v>
      </c>
      <c r="K87" s="95">
        <f t="shared" si="51"/>
        <v>4.9014</v>
      </c>
      <c r="L87" s="95">
        <f t="shared" si="52"/>
        <v>5.342526</v>
      </c>
      <c r="M87" s="95">
        <f t="shared" si="53"/>
        <v>64.703926</v>
      </c>
      <c r="N87" s="95">
        <f t="shared" si="54"/>
        <v>129.407852</v>
      </c>
      <c r="O87" s="109"/>
    </row>
    <row r="88" s="78" customFormat="1" ht="60" outlineLevel="1" spans="1:15">
      <c r="A88" s="105">
        <v>3</v>
      </c>
      <c r="B88" s="110" t="s">
        <v>279</v>
      </c>
      <c r="C88" s="107" t="s">
        <v>280</v>
      </c>
      <c r="D88" s="108" t="s">
        <v>276</v>
      </c>
      <c r="E88" s="109">
        <v>10.5</v>
      </c>
      <c r="F88" s="109">
        <v>17.63</v>
      </c>
      <c r="G88" s="109">
        <f t="shared" si="50"/>
        <v>22.22</v>
      </c>
      <c r="H88" s="109">
        <v>22</v>
      </c>
      <c r="I88" s="109">
        <v>0.01</v>
      </c>
      <c r="J88" s="109">
        <v>11.2</v>
      </c>
      <c r="K88" s="109">
        <f t="shared" si="51"/>
        <v>4.5945</v>
      </c>
      <c r="L88" s="109">
        <f t="shared" si="52"/>
        <v>5.008005</v>
      </c>
      <c r="M88" s="109">
        <f t="shared" si="53"/>
        <v>60.652505</v>
      </c>
      <c r="N88" s="109">
        <f t="shared" si="54"/>
        <v>636.8513025</v>
      </c>
      <c r="O88" s="109"/>
    </row>
    <row r="89" s="78" customFormat="1" ht="48" outlineLevel="1" spans="1:15">
      <c r="A89" s="105">
        <v>4</v>
      </c>
      <c r="B89" s="106" t="s">
        <v>281</v>
      </c>
      <c r="C89" s="107" t="s">
        <v>282</v>
      </c>
      <c r="D89" s="108" t="s">
        <v>283</v>
      </c>
      <c r="E89" s="109">
        <v>1</v>
      </c>
      <c r="F89" s="109">
        <v>150</v>
      </c>
      <c r="G89" s="109">
        <f t="shared" si="50"/>
        <v>323.2</v>
      </c>
      <c r="H89" s="109">
        <v>320</v>
      </c>
      <c r="I89" s="109">
        <v>0.01</v>
      </c>
      <c r="J89" s="109">
        <v>45</v>
      </c>
      <c r="K89" s="109">
        <f t="shared" si="51"/>
        <v>46.638</v>
      </c>
      <c r="L89" s="109">
        <f t="shared" si="52"/>
        <v>50.83542</v>
      </c>
      <c r="M89" s="109">
        <f t="shared" si="53"/>
        <v>615.67342</v>
      </c>
      <c r="N89" s="109">
        <f t="shared" si="54"/>
        <v>615.67342</v>
      </c>
      <c r="O89" s="109"/>
    </row>
    <row r="90" s="78" customFormat="1" ht="60" outlineLevel="1" spans="1:15">
      <c r="A90" s="105">
        <v>5</v>
      </c>
      <c r="B90" s="106" t="s">
        <v>155</v>
      </c>
      <c r="C90" s="107" t="s">
        <v>157</v>
      </c>
      <c r="D90" s="109" t="s">
        <v>78</v>
      </c>
      <c r="E90" s="109">
        <v>52.1</v>
      </c>
      <c r="F90" s="109">
        <v>6.32</v>
      </c>
      <c r="G90" s="109">
        <f t="shared" si="50"/>
        <v>1.4522</v>
      </c>
      <c r="H90" s="109">
        <v>1.37</v>
      </c>
      <c r="I90" s="109">
        <v>0.06</v>
      </c>
      <c r="J90" s="109">
        <v>0.25</v>
      </c>
      <c r="K90" s="109">
        <f t="shared" si="51"/>
        <v>0.721998</v>
      </c>
      <c r="L90" s="109">
        <f t="shared" si="52"/>
        <v>0.78697782</v>
      </c>
      <c r="M90" s="109">
        <f t="shared" si="53"/>
        <v>9.53117582</v>
      </c>
      <c r="N90" s="109">
        <f t="shared" si="54"/>
        <v>496.574260222</v>
      </c>
      <c r="O90" s="109"/>
    </row>
    <row r="91" s="78" customFormat="1" ht="48" outlineLevel="1" spans="1:15">
      <c r="A91" s="105">
        <v>6</v>
      </c>
      <c r="B91" s="106" t="s">
        <v>160</v>
      </c>
      <c r="C91" s="107" t="s">
        <v>162</v>
      </c>
      <c r="D91" s="109" t="s">
        <v>78</v>
      </c>
      <c r="E91" s="109">
        <v>178.29</v>
      </c>
      <c r="F91" s="109">
        <v>1.05</v>
      </c>
      <c r="G91" s="109">
        <f t="shared" si="50"/>
        <v>2.9232</v>
      </c>
      <c r="H91" s="109">
        <v>2.52</v>
      </c>
      <c r="I91" s="109">
        <v>0.16</v>
      </c>
      <c r="J91" s="109">
        <v>0.18</v>
      </c>
      <c r="K91" s="109">
        <f t="shared" si="51"/>
        <v>0.373788</v>
      </c>
      <c r="L91" s="109">
        <f t="shared" si="52"/>
        <v>0.40742892</v>
      </c>
      <c r="M91" s="109">
        <f t="shared" si="53"/>
        <v>4.93441692</v>
      </c>
      <c r="N91" s="109">
        <f t="shared" si="54"/>
        <v>879.7571926668</v>
      </c>
      <c r="O91" s="109"/>
    </row>
    <row r="92" s="78" customFormat="1" ht="19" customHeight="1" spans="1:15">
      <c r="A92" s="105">
        <v>7</v>
      </c>
      <c r="B92" s="111" t="s">
        <v>96</v>
      </c>
      <c r="C92" s="112"/>
      <c r="D92" s="113" t="s">
        <v>97</v>
      </c>
      <c r="E92" s="114"/>
      <c r="F92" s="115"/>
      <c r="G92" s="115"/>
      <c r="H92" s="115"/>
      <c r="I92" s="115"/>
      <c r="J92" s="112"/>
      <c r="K92" s="112"/>
      <c r="L92" s="112"/>
      <c r="M92" s="112"/>
      <c r="N92" s="121">
        <f>SUM(N86:N91)</f>
        <v>3471.2238277888</v>
      </c>
      <c r="O92" s="112"/>
    </row>
    <row r="93" s="78" customFormat="1" ht="22.5" spans="1:15">
      <c r="A93" s="105" t="s">
        <v>260</v>
      </c>
      <c r="B93" s="102" t="s">
        <v>294</v>
      </c>
      <c r="C93" s="101" t="s">
        <v>169</v>
      </c>
      <c r="D93" s="101" t="s">
        <v>39</v>
      </c>
      <c r="E93" s="103"/>
      <c r="F93" s="109"/>
      <c r="G93" s="109"/>
      <c r="H93" s="109"/>
      <c r="I93" s="109"/>
      <c r="J93" s="109"/>
      <c r="K93" s="122"/>
      <c r="L93" s="122"/>
      <c r="M93" s="109"/>
      <c r="N93" s="109"/>
      <c r="O93" s="109"/>
    </row>
    <row r="94" s="78" customFormat="1" ht="60" outlineLevel="1" spans="1:15">
      <c r="A94" s="105">
        <v>1</v>
      </c>
      <c r="B94" s="106" t="s">
        <v>274</v>
      </c>
      <c r="C94" s="107" t="s">
        <v>275</v>
      </c>
      <c r="D94" s="108" t="s">
        <v>276</v>
      </c>
      <c r="E94" s="109">
        <v>15.3</v>
      </c>
      <c r="F94" s="95">
        <v>14.63</v>
      </c>
      <c r="G94" s="95">
        <f t="shared" ref="G94:G99" si="55">H94*(1+I94)</f>
        <v>15.15</v>
      </c>
      <c r="H94" s="95">
        <v>15</v>
      </c>
      <c r="I94" s="120">
        <v>0.01</v>
      </c>
      <c r="J94" s="95">
        <v>8.2</v>
      </c>
      <c r="K94" s="95">
        <f t="shared" ref="K94:K99" si="56">(F94+G94+J94)*9%</f>
        <v>3.4182</v>
      </c>
      <c r="L94" s="95">
        <f t="shared" ref="L94:L99" si="57">(F94+G94+J94+K94)*9%</f>
        <v>3.725838</v>
      </c>
      <c r="M94" s="95">
        <f t="shared" ref="M94:M99" si="58">F94+G94+J94+K94+L94</f>
        <v>45.124038</v>
      </c>
      <c r="N94" s="95">
        <f t="shared" ref="N94:N99" si="59">M94*E94</f>
        <v>690.3977814</v>
      </c>
      <c r="O94" s="109"/>
    </row>
    <row r="95" s="78" customFormat="1" ht="96" outlineLevel="1" spans="1:15">
      <c r="A95" s="105">
        <v>2</v>
      </c>
      <c r="B95" s="110" t="s">
        <v>277</v>
      </c>
      <c r="C95" s="107" t="s">
        <v>278</v>
      </c>
      <c r="D95" s="108" t="s">
        <v>32</v>
      </c>
      <c r="E95" s="109">
        <v>2</v>
      </c>
      <c r="F95" s="95">
        <v>17.78</v>
      </c>
      <c r="G95" s="95">
        <f t="shared" si="55"/>
        <v>29.29</v>
      </c>
      <c r="H95" s="95">
        <v>29</v>
      </c>
      <c r="I95" s="120">
        <v>0.01</v>
      </c>
      <c r="J95" s="95">
        <v>7.39</v>
      </c>
      <c r="K95" s="95">
        <f t="shared" si="56"/>
        <v>4.9014</v>
      </c>
      <c r="L95" s="95">
        <f t="shared" si="57"/>
        <v>5.342526</v>
      </c>
      <c r="M95" s="95">
        <f t="shared" si="58"/>
        <v>64.703926</v>
      </c>
      <c r="N95" s="95">
        <f t="shared" si="59"/>
        <v>129.407852</v>
      </c>
      <c r="O95" s="109"/>
    </row>
    <row r="96" s="78" customFormat="1" ht="60" outlineLevel="1" spans="1:15">
      <c r="A96" s="105">
        <v>3</v>
      </c>
      <c r="B96" s="110" t="s">
        <v>279</v>
      </c>
      <c r="C96" s="107" t="s">
        <v>280</v>
      </c>
      <c r="D96" s="108" t="s">
        <v>276</v>
      </c>
      <c r="E96" s="109">
        <v>9</v>
      </c>
      <c r="F96" s="109">
        <v>17.63</v>
      </c>
      <c r="G96" s="109">
        <f t="shared" si="55"/>
        <v>22.22</v>
      </c>
      <c r="H96" s="109">
        <v>22</v>
      </c>
      <c r="I96" s="109">
        <v>0.01</v>
      </c>
      <c r="J96" s="109">
        <v>11.2</v>
      </c>
      <c r="K96" s="109">
        <f t="shared" si="56"/>
        <v>4.5945</v>
      </c>
      <c r="L96" s="109">
        <f t="shared" si="57"/>
        <v>5.008005</v>
      </c>
      <c r="M96" s="109">
        <f t="shared" si="58"/>
        <v>60.652505</v>
      </c>
      <c r="N96" s="109">
        <f t="shared" si="59"/>
        <v>545.872545</v>
      </c>
      <c r="O96" s="109"/>
    </row>
    <row r="97" s="78" customFormat="1" ht="48" outlineLevel="1" spans="1:15">
      <c r="A97" s="105">
        <v>4</v>
      </c>
      <c r="B97" s="106" t="s">
        <v>281</v>
      </c>
      <c r="C97" s="107" t="s">
        <v>282</v>
      </c>
      <c r="D97" s="108" t="s">
        <v>283</v>
      </c>
      <c r="E97" s="109">
        <v>1</v>
      </c>
      <c r="F97" s="109">
        <v>150</v>
      </c>
      <c r="G97" s="109">
        <f t="shared" si="55"/>
        <v>323.2</v>
      </c>
      <c r="H97" s="109">
        <v>320</v>
      </c>
      <c r="I97" s="109">
        <v>0.01</v>
      </c>
      <c r="J97" s="109">
        <v>45</v>
      </c>
      <c r="K97" s="109">
        <f t="shared" si="56"/>
        <v>46.638</v>
      </c>
      <c r="L97" s="109">
        <f t="shared" si="57"/>
        <v>50.83542</v>
      </c>
      <c r="M97" s="109">
        <f t="shared" si="58"/>
        <v>615.67342</v>
      </c>
      <c r="N97" s="109">
        <f t="shared" si="59"/>
        <v>615.67342</v>
      </c>
      <c r="O97" s="109"/>
    </row>
    <row r="98" s="78" customFormat="1" ht="60" outlineLevel="1" spans="1:15">
      <c r="A98" s="105">
        <v>5</v>
      </c>
      <c r="B98" s="106" t="s">
        <v>155</v>
      </c>
      <c r="C98" s="107" t="s">
        <v>157</v>
      </c>
      <c r="D98" s="109" t="s">
        <v>78</v>
      </c>
      <c r="E98" s="109">
        <v>47.1</v>
      </c>
      <c r="F98" s="109">
        <v>6.32</v>
      </c>
      <c r="G98" s="109">
        <f t="shared" si="55"/>
        <v>1.4522</v>
      </c>
      <c r="H98" s="109">
        <v>1.37</v>
      </c>
      <c r="I98" s="109">
        <v>0.06</v>
      </c>
      <c r="J98" s="109">
        <v>0.25</v>
      </c>
      <c r="K98" s="109">
        <f t="shared" si="56"/>
        <v>0.721998</v>
      </c>
      <c r="L98" s="109">
        <f t="shared" si="57"/>
        <v>0.78697782</v>
      </c>
      <c r="M98" s="109">
        <f t="shared" si="58"/>
        <v>9.53117582</v>
      </c>
      <c r="N98" s="109">
        <f t="shared" si="59"/>
        <v>448.918381122</v>
      </c>
      <c r="O98" s="109"/>
    </row>
    <row r="99" s="78" customFormat="1" ht="48" outlineLevel="1" spans="1:15">
      <c r="A99" s="105">
        <v>6</v>
      </c>
      <c r="B99" s="106" t="s">
        <v>160</v>
      </c>
      <c r="C99" s="107" t="s">
        <v>162</v>
      </c>
      <c r="D99" s="109" t="s">
        <v>78</v>
      </c>
      <c r="E99" s="109">
        <v>162.54</v>
      </c>
      <c r="F99" s="109">
        <v>1.05</v>
      </c>
      <c r="G99" s="109">
        <f t="shared" si="55"/>
        <v>2.9232</v>
      </c>
      <c r="H99" s="109">
        <v>2.52</v>
      </c>
      <c r="I99" s="109">
        <v>0.16</v>
      </c>
      <c r="J99" s="109">
        <v>0.18</v>
      </c>
      <c r="K99" s="109">
        <f t="shared" si="56"/>
        <v>0.373788</v>
      </c>
      <c r="L99" s="109">
        <f t="shared" si="57"/>
        <v>0.40742892</v>
      </c>
      <c r="M99" s="109">
        <f t="shared" si="58"/>
        <v>4.93441692</v>
      </c>
      <c r="N99" s="109">
        <f t="shared" si="59"/>
        <v>802.0401261768</v>
      </c>
      <c r="O99" s="109"/>
    </row>
    <row r="100" s="78" customFormat="1" ht="19" customHeight="1" spans="1:15">
      <c r="A100" s="105">
        <v>7</v>
      </c>
      <c r="B100" s="111" t="s">
        <v>96</v>
      </c>
      <c r="C100" s="112"/>
      <c r="D100" s="113" t="s">
        <v>97</v>
      </c>
      <c r="E100" s="114"/>
      <c r="F100" s="115"/>
      <c r="G100" s="115"/>
      <c r="H100" s="115"/>
      <c r="I100" s="115"/>
      <c r="J100" s="112"/>
      <c r="K100" s="112"/>
      <c r="L100" s="112"/>
      <c r="M100" s="112"/>
      <c r="N100" s="121">
        <f>SUM(N94:N99)</f>
        <v>3232.3101056988</v>
      </c>
      <c r="O100" s="112"/>
    </row>
    <row r="101" s="78" customFormat="1" ht="22.5" spans="1:15">
      <c r="A101" s="105" t="s">
        <v>262</v>
      </c>
      <c r="B101" s="102" t="s">
        <v>295</v>
      </c>
      <c r="C101" s="101" t="s">
        <v>171</v>
      </c>
      <c r="D101" s="101" t="s">
        <v>39</v>
      </c>
      <c r="E101" s="103"/>
      <c r="F101" s="109"/>
      <c r="G101" s="109"/>
      <c r="H101" s="109"/>
      <c r="I101" s="109"/>
      <c r="J101" s="109"/>
      <c r="K101" s="122"/>
      <c r="L101" s="122"/>
      <c r="M101" s="109"/>
      <c r="N101" s="109"/>
      <c r="O101" s="109"/>
    </row>
    <row r="102" s="78" customFormat="1" ht="60" outlineLevel="1" spans="1:15">
      <c r="A102" s="105">
        <v>1</v>
      </c>
      <c r="B102" s="106" t="s">
        <v>274</v>
      </c>
      <c r="C102" s="107" t="s">
        <v>275</v>
      </c>
      <c r="D102" s="108" t="s">
        <v>276</v>
      </c>
      <c r="E102" s="109">
        <v>15.6</v>
      </c>
      <c r="F102" s="95">
        <v>14.63</v>
      </c>
      <c r="G102" s="95">
        <f t="shared" ref="G102:G107" si="60">H102*(1+I102)</f>
        <v>15.15</v>
      </c>
      <c r="H102" s="95">
        <v>15</v>
      </c>
      <c r="I102" s="120">
        <v>0.01</v>
      </c>
      <c r="J102" s="95">
        <v>8.2</v>
      </c>
      <c r="K102" s="95">
        <f t="shared" ref="K102:K107" si="61">(F102+G102+J102)*9%</f>
        <v>3.4182</v>
      </c>
      <c r="L102" s="95">
        <f t="shared" ref="L102:L107" si="62">(F102+G102+J102+K102)*9%</f>
        <v>3.725838</v>
      </c>
      <c r="M102" s="95">
        <f t="shared" ref="M102:M107" si="63">F102+G102+J102+K102+L102</f>
        <v>45.124038</v>
      </c>
      <c r="N102" s="95">
        <f t="shared" ref="N102:N107" si="64">M102*E102</f>
        <v>703.9349928</v>
      </c>
      <c r="O102" s="109"/>
    </row>
    <row r="103" s="78" customFormat="1" ht="96" outlineLevel="1" spans="1:15">
      <c r="A103" s="105">
        <v>2</v>
      </c>
      <c r="B103" s="110" t="s">
        <v>277</v>
      </c>
      <c r="C103" s="107" t="s">
        <v>278</v>
      </c>
      <c r="D103" s="108" t="s">
        <v>32</v>
      </c>
      <c r="E103" s="109">
        <v>2</v>
      </c>
      <c r="F103" s="95">
        <v>17.78</v>
      </c>
      <c r="G103" s="95">
        <f t="shared" si="60"/>
        <v>29.29</v>
      </c>
      <c r="H103" s="95">
        <v>29</v>
      </c>
      <c r="I103" s="120">
        <v>0.01</v>
      </c>
      <c r="J103" s="95">
        <v>7.39</v>
      </c>
      <c r="K103" s="95">
        <f t="shared" si="61"/>
        <v>4.9014</v>
      </c>
      <c r="L103" s="95">
        <f t="shared" si="62"/>
        <v>5.342526</v>
      </c>
      <c r="M103" s="95">
        <f t="shared" si="63"/>
        <v>64.703926</v>
      </c>
      <c r="N103" s="95">
        <f t="shared" si="64"/>
        <v>129.407852</v>
      </c>
      <c r="O103" s="109"/>
    </row>
    <row r="104" s="78" customFormat="1" ht="60" outlineLevel="1" spans="1:15">
      <c r="A104" s="105">
        <v>3</v>
      </c>
      <c r="B104" s="110" t="s">
        <v>279</v>
      </c>
      <c r="C104" s="107" t="s">
        <v>280</v>
      </c>
      <c r="D104" s="108" t="s">
        <v>276</v>
      </c>
      <c r="E104" s="109">
        <v>9.4</v>
      </c>
      <c r="F104" s="109">
        <v>17.63</v>
      </c>
      <c r="G104" s="109">
        <f t="shared" si="60"/>
        <v>22.22</v>
      </c>
      <c r="H104" s="109">
        <v>22</v>
      </c>
      <c r="I104" s="109">
        <v>0.01</v>
      </c>
      <c r="J104" s="109">
        <v>11.2</v>
      </c>
      <c r="K104" s="109">
        <f t="shared" si="61"/>
        <v>4.5945</v>
      </c>
      <c r="L104" s="109">
        <f t="shared" si="62"/>
        <v>5.008005</v>
      </c>
      <c r="M104" s="109">
        <f t="shared" si="63"/>
        <v>60.652505</v>
      </c>
      <c r="N104" s="109">
        <f t="shared" si="64"/>
        <v>570.133547</v>
      </c>
      <c r="O104" s="109"/>
    </row>
    <row r="105" s="78" customFormat="1" ht="48" outlineLevel="1" spans="1:15">
      <c r="A105" s="105">
        <v>4</v>
      </c>
      <c r="B105" s="106" t="s">
        <v>281</v>
      </c>
      <c r="C105" s="107" t="s">
        <v>282</v>
      </c>
      <c r="D105" s="108" t="s">
        <v>283</v>
      </c>
      <c r="E105" s="109">
        <v>1</v>
      </c>
      <c r="F105" s="109">
        <v>150</v>
      </c>
      <c r="G105" s="109">
        <f t="shared" si="60"/>
        <v>323.2</v>
      </c>
      <c r="H105" s="109">
        <v>320</v>
      </c>
      <c r="I105" s="109">
        <v>0.01</v>
      </c>
      <c r="J105" s="109">
        <v>45</v>
      </c>
      <c r="K105" s="109">
        <f t="shared" si="61"/>
        <v>46.638</v>
      </c>
      <c r="L105" s="109">
        <f t="shared" si="62"/>
        <v>50.83542</v>
      </c>
      <c r="M105" s="109">
        <f t="shared" si="63"/>
        <v>615.67342</v>
      </c>
      <c r="N105" s="109">
        <f t="shared" si="64"/>
        <v>615.67342</v>
      </c>
      <c r="O105" s="109"/>
    </row>
    <row r="106" s="78" customFormat="1" ht="60" outlineLevel="1" spans="1:15">
      <c r="A106" s="105">
        <v>5</v>
      </c>
      <c r="B106" s="106" t="s">
        <v>155</v>
      </c>
      <c r="C106" s="107" t="s">
        <v>157</v>
      </c>
      <c r="D106" s="109" t="s">
        <v>78</v>
      </c>
      <c r="E106" s="109">
        <v>54.1</v>
      </c>
      <c r="F106" s="109">
        <v>6.32</v>
      </c>
      <c r="G106" s="109">
        <f t="shared" si="60"/>
        <v>1.4522</v>
      </c>
      <c r="H106" s="109">
        <v>1.37</v>
      </c>
      <c r="I106" s="109">
        <v>0.06</v>
      </c>
      <c r="J106" s="109">
        <v>0.25</v>
      </c>
      <c r="K106" s="109">
        <f t="shared" si="61"/>
        <v>0.721998</v>
      </c>
      <c r="L106" s="109">
        <f t="shared" si="62"/>
        <v>0.78697782</v>
      </c>
      <c r="M106" s="109">
        <f t="shared" si="63"/>
        <v>9.53117582</v>
      </c>
      <c r="N106" s="109">
        <f t="shared" si="64"/>
        <v>515.636611862</v>
      </c>
      <c r="O106" s="109"/>
    </row>
    <row r="107" s="78" customFormat="1" ht="48" outlineLevel="1" spans="1:15">
      <c r="A107" s="105">
        <v>6</v>
      </c>
      <c r="B107" s="106" t="s">
        <v>160</v>
      </c>
      <c r="C107" s="107" t="s">
        <v>162</v>
      </c>
      <c r="D107" s="109" t="s">
        <v>78</v>
      </c>
      <c r="E107" s="109">
        <v>184.59</v>
      </c>
      <c r="F107" s="109">
        <v>1.05</v>
      </c>
      <c r="G107" s="109">
        <f t="shared" si="60"/>
        <v>2.9232</v>
      </c>
      <c r="H107" s="109">
        <v>2.52</v>
      </c>
      <c r="I107" s="109">
        <v>0.16</v>
      </c>
      <c r="J107" s="109">
        <v>0.18</v>
      </c>
      <c r="K107" s="109">
        <f t="shared" si="61"/>
        <v>0.373788</v>
      </c>
      <c r="L107" s="109">
        <f t="shared" si="62"/>
        <v>0.40742892</v>
      </c>
      <c r="M107" s="109">
        <f t="shared" si="63"/>
        <v>4.93441692</v>
      </c>
      <c r="N107" s="109">
        <f t="shared" si="64"/>
        <v>910.8440192628</v>
      </c>
      <c r="O107" s="109"/>
    </row>
    <row r="108" s="78" customFormat="1" ht="19" customHeight="1" spans="1:15">
      <c r="A108" s="105">
        <v>7</v>
      </c>
      <c r="B108" s="111" t="s">
        <v>96</v>
      </c>
      <c r="C108" s="112"/>
      <c r="D108" s="113" t="s">
        <v>97</v>
      </c>
      <c r="E108" s="114"/>
      <c r="F108" s="115"/>
      <c r="G108" s="115"/>
      <c r="H108" s="115"/>
      <c r="I108" s="115"/>
      <c r="J108" s="112"/>
      <c r="K108" s="112"/>
      <c r="L108" s="112"/>
      <c r="M108" s="112"/>
      <c r="N108" s="121">
        <f>SUM(N102:N107)</f>
        <v>3445.6304429248</v>
      </c>
      <c r="O108" s="112"/>
    </row>
    <row r="109" s="78" customFormat="1" ht="22.5" spans="1:15">
      <c r="A109" s="105" t="s">
        <v>264</v>
      </c>
      <c r="B109" s="102" t="s">
        <v>296</v>
      </c>
      <c r="C109" s="101" t="s">
        <v>169</v>
      </c>
      <c r="D109" s="101" t="s">
        <v>39</v>
      </c>
      <c r="E109" s="103"/>
      <c r="F109" s="109"/>
      <c r="G109" s="109"/>
      <c r="H109" s="109"/>
      <c r="I109" s="109"/>
      <c r="J109" s="109"/>
      <c r="K109" s="122"/>
      <c r="L109" s="122"/>
      <c r="M109" s="109"/>
      <c r="N109" s="109"/>
      <c r="O109" s="109"/>
    </row>
    <row r="110" s="78" customFormat="1" ht="60" outlineLevel="1" spans="1:15">
      <c r="A110" s="105">
        <v>1</v>
      </c>
      <c r="B110" s="106" t="s">
        <v>274</v>
      </c>
      <c r="C110" s="107" t="s">
        <v>275</v>
      </c>
      <c r="D110" s="108" t="s">
        <v>276</v>
      </c>
      <c r="E110" s="109">
        <v>10.5</v>
      </c>
      <c r="F110" s="95">
        <v>14.63</v>
      </c>
      <c r="G110" s="95">
        <f t="shared" ref="G110:G115" si="65">H110*(1+I110)</f>
        <v>15.15</v>
      </c>
      <c r="H110" s="95">
        <v>15</v>
      </c>
      <c r="I110" s="120">
        <v>0.01</v>
      </c>
      <c r="J110" s="95">
        <v>8.2</v>
      </c>
      <c r="K110" s="95">
        <f t="shared" ref="K110:K115" si="66">(F110+G110+J110)*9%</f>
        <v>3.4182</v>
      </c>
      <c r="L110" s="95">
        <f t="shared" ref="L110:L115" si="67">(F110+G110+J110+K110)*9%</f>
        <v>3.725838</v>
      </c>
      <c r="M110" s="95">
        <f t="shared" ref="M110:M115" si="68">F110+G110+J110+K110+L110</f>
        <v>45.124038</v>
      </c>
      <c r="N110" s="95">
        <f t="shared" ref="N110:N115" si="69">M110*E110</f>
        <v>473.802399</v>
      </c>
      <c r="O110" s="109"/>
    </row>
    <row r="111" s="78" customFormat="1" ht="96" outlineLevel="1" spans="1:15">
      <c r="A111" s="105">
        <v>2</v>
      </c>
      <c r="B111" s="110" t="s">
        <v>277</v>
      </c>
      <c r="C111" s="107" t="s">
        <v>278</v>
      </c>
      <c r="D111" s="108" t="s">
        <v>32</v>
      </c>
      <c r="E111" s="109">
        <v>2</v>
      </c>
      <c r="F111" s="95">
        <v>17.78</v>
      </c>
      <c r="G111" s="95">
        <f t="shared" si="65"/>
        <v>29.29</v>
      </c>
      <c r="H111" s="95">
        <v>29</v>
      </c>
      <c r="I111" s="120">
        <v>0.01</v>
      </c>
      <c r="J111" s="95">
        <v>7.39</v>
      </c>
      <c r="K111" s="95">
        <f t="shared" si="66"/>
        <v>4.9014</v>
      </c>
      <c r="L111" s="95">
        <f t="shared" si="67"/>
        <v>5.342526</v>
      </c>
      <c r="M111" s="95">
        <f t="shared" si="68"/>
        <v>64.703926</v>
      </c>
      <c r="N111" s="95">
        <f t="shared" si="69"/>
        <v>129.407852</v>
      </c>
      <c r="O111" s="109"/>
    </row>
    <row r="112" s="78" customFormat="1" ht="60" outlineLevel="1" spans="1:15">
      <c r="A112" s="105">
        <v>3</v>
      </c>
      <c r="B112" s="110" t="s">
        <v>279</v>
      </c>
      <c r="C112" s="107" t="s">
        <v>280</v>
      </c>
      <c r="D112" s="108" t="s">
        <v>276</v>
      </c>
      <c r="E112" s="109">
        <v>5</v>
      </c>
      <c r="F112" s="109">
        <v>17.63</v>
      </c>
      <c r="G112" s="109">
        <f t="shared" si="65"/>
        <v>22.22</v>
      </c>
      <c r="H112" s="109">
        <v>22</v>
      </c>
      <c r="I112" s="109">
        <v>0.01</v>
      </c>
      <c r="J112" s="109">
        <v>11.2</v>
      </c>
      <c r="K112" s="109">
        <f t="shared" si="66"/>
        <v>4.5945</v>
      </c>
      <c r="L112" s="109">
        <f t="shared" si="67"/>
        <v>5.008005</v>
      </c>
      <c r="M112" s="109">
        <f t="shared" si="68"/>
        <v>60.652505</v>
      </c>
      <c r="N112" s="109">
        <f t="shared" si="69"/>
        <v>303.262525</v>
      </c>
      <c r="O112" s="109"/>
    </row>
    <row r="113" s="78" customFormat="1" ht="48" outlineLevel="1" spans="1:15">
      <c r="A113" s="105">
        <v>4</v>
      </c>
      <c r="B113" s="106" t="s">
        <v>281</v>
      </c>
      <c r="C113" s="107" t="s">
        <v>282</v>
      </c>
      <c r="D113" s="108" t="s">
        <v>283</v>
      </c>
      <c r="E113" s="109">
        <v>1</v>
      </c>
      <c r="F113" s="109">
        <v>150</v>
      </c>
      <c r="G113" s="109">
        <f t="shared" si="65"/>
        <v>323.2</v>
      </c>
      <c r="H113" s="109">
        <v>320</v>
      </c>
      <c r="I113" s="109">
        <v>0.01</v>
      </c>
      <c r="J113" s="109">
        <v>45</v>
      </c>
      <c r="K113" s="109">
        <f t="shared" si="66"/>
        <v>46.638</v>
      </c>
      <c r="L113" s="109">
        <f t="shared" si="67"/>
        <v>50.83542</v>
      </c>
      <c r="M113" s="109">
        <f t="shared" si="68"/>
        <v>615.67342</v>
      </c>
      <c r="N113" s="109">
        <f t="shared" si="69"/>
        <v>615.67342</v>
      </c>
      <c r="O113" s="109"/>
    </row>
    <row r="114" s="78" customFormat="1" ht="60" outlineLevel="1" spans="1:15">
      <c r="A114" s="105">
        <v>5</v>
      </c>
      <c r="B114" s="106" t="s">
        <v>155</v>
      </c>
      <c r="C114" s="107" t="s">
        <v>157</v>
      </c>
      <c r="D114" s="109" t="s">
        <v>78</v>
      </c>
      <c r="E114" s="109">
        <v>49.1</v>
      </c>
      <c r="F114" s="109">
        <v>6.32</v>
      </c>
      <c r="G114" s="109">
        <f t="shared" si="65"/>
        <v>1.4522</v>
      </c>
      <c r="H114" s="109">
        <v>1.37</v>
      </c>
      <c r="I114" s="109">
        <v>0.06</v>
      </c>
      <c r="J114" s="109">
        <v>0.25</v>
      </c>
      <c r="K114" s="109">
        <f t="shared" si="66"/>
        <v>0.721998</v>
      </c>
      <c r="L114" s="109">
        <f t="shared" si="67"/>
        <v>0.78697782</v>
      </c>
      <c r="M114" s="109">
        <f t="shared" si="68"/>
        <v>9.53117582</v>
      </c>
      <c r="N114" s="109">
        <f t="shared" si="69"/>
        <v>467.980732762</v>
      </c>
      <c r="O114" s="109"/>
    </row>
    <row r="115" s="78" customFormat="1" ht="48" outlineLevel="1" spans="1:15">
      <c r="A115" s="105">
        <v>6</v>
      </c>
      <c r="B115" s="106" t="s">
        <v>160</v>
      </c>
      <c r="C115" s="107" t="s">
        <v>162</v>
      </c>
      <c r="D115" s="109" t="s">
        <v>78</v>
      </c>
      <c r="E115" s="109">
        <v>168.84</v>
      </c>
      <c r="F115" s="109">
        <v>1.05</v>
      </c>
      <c r="G115" s="109">
        <f t="shared" si="65"/>
        <v>2.9232</v>
      </c>
      <c r="H115" s="109">
        <v>2.52</v>
      </c>
      <c r="I115" s="109">
        <v>0.16</v>
      </c>
      <c r="J115" s="109">
        <v>0.18</v>
      </c>
      <c r="K115" s="109">
        <f t="shared" si="66"/>
        <v>0.373788</v>
      </c>
      <c r="L115" s="109">
        <f t="shared" si="67"/>
        <v>0.40742892</v>
      </c>
      <c r="M115" s="109">
        <f t="shared" si="68"/>
        <v>4.93441692</v>
      </c>
      <c r="N115" s="109">
        <f t="shared" si="69"/>
        <v>833.1269527728</v>
      </c>
      <c r="O115" s="109"/>
    </row>
    <row r="116" s="78" customFormat="1" ht="19" customHeight="1" spans="1:15">
      <c r="A116" s="105">
        <v>7</v>
      </c>
      <c r="B116" s="111" t="s">
        <v>96</v>
      </c>
      <c r="C116" s="112"/>
      <c r="D116" s="113" t="s">
        <v>97</v>
      </c>
      <c r="E116" s="114"/>
      <c r="F116" s="115"/>
      <c r="G116" s="115"/>
      <c r="H116" s="115"/>
      <c r="I116" s="115"/>
      <c r="J116" s="112"/>
      <c r="K116" s="112"/>
      <c r="L116" s="112"/>
      <c r="M116" s="112"/>
      <c r="N116" s="121">
        <f>SUM(N110:N115)</f>
        <v>2823.2538815348</v>
      </c>
      <c r="O116" s="112"/>
    </row>
  </sheetData>
  <autoFilter xmlns:etc="http://www.wps.cn/officeDocument/2017/etCustomData" ref="A5:R116" etc:filterBottomFollowUsedRange="0">
    <extLst/>
  </autoFilter>
  <mergeCells count="12">
    <mergeCell ref="A1:O1"/>
    <mergeCell ref="F2:L2"/>
    <mergeCell ref="A2:A4"/>
    <mergeCell ref="B2:B4"/>
    <mergeCell ref="C2:C4"/>
    <mergeCell ref="D2:D4"/>
    <mergeCell ref="E2:E4"/>
    <mergeCell ref="F3:F4"/>
    <mergeCell ref="J3:J4"/>
    <mergeCell ref="M2:M4"/>
    <mergeCell ref="N2:N4"/>
    <mergeCell ref="O2:O4"/>
  </mergeCells>
  <conditionalFormatting sqref="D6">
    <cfRule type="cellIs" dxfId="0" priority="57" operator="equal">
      <formula>0</formula>
    </cfRule>
  </conditionalFormatting>
  <conditionalFormatting sqref="D7">
    <cfRule type="cellIs" dxfId="0" priority="55" operator="equal">
      <formula>0</formula>
    </cfRule>
  </conditionalFormatting>
  <conditionalFormatting sqref="D8">
    <cfRule type="cellIs" dxfId="0" priority="54" operator="equal">
      <formula>0</formula>
    </cfRule>
  </conditionalFormatting>
  <conditionalFormatting sqref="D9">
    <cfRule type="cellIs" dxfId="0" priority="56" operator="equal">
      <formula>0</formula>
    </cfRule>
  </conditionalFormatting>
  <conditionalFormatting sqref="D14">
    <cfRule type="cellIs" dxfId="0" priority="53" operator="equal">
      <formula>0</formula>
    </cfRule>
  </conditionalFormatting>
  <conditionalFormatting sqref="D15">
    <cfRule type="cellIs" dxfId="0" priority="51" operator="equal">
      <formula>0</formula>
    </cfRule>
  </conditionalFormatting>
  <conditionalFormatting sqref="D16">
    <cfRule type="cellIs" dxfId="0" priority="50" operator="equal">
      <formula>0</formula>
    </cfRule>
  </conditionalFormatting>
  <conditionalFormatting sqref="D17">
    <cfRule type="cellIs" dxfId="0" priority="52" operator="equal">
      <formula>0</formula>
    </cfRule>
  </conditionalFormatting>
  <conditionalFormatting sqref="D22">
    <cfRule type="cellIs" dxfId="0" priority="49" operator="equal">
      <formula>0</formula>
    </cfRule>
  </conditionalFormatting>
  <conditionalFormatting sqref="D23">
    <cfRule type="cellIs" dxfId="0" priority="47" operator="equal">
      <formula>0</formula>
    </cfRule>
  </conditionalFormatting>
  <conditionalFormatting sqref="D24">
    <cfRule type="cellIs" dxfId="0" priority="46" operator="equal">
      <formula>0</formula>
    </cfRule>
  </conditionalFormatting>
  <conditionalFormatting sqref="D25">
    <cfRule type="cellIs" dxfId="0" priority="48" operator="equal">
      <formula>0</formula>
    </cfRule>
  </conditionalFormatting>
  <conditionalFormatting sqref="D30">
    <cfRule type="cellIs" dxfId="0" priority="45" operator="equal">
      <formula>0</formula>
    </cfRule>
  </conditionalFormatting>
  <conditionalFormatting sqref="D31">
    <cfRule type="cellIs" dxfId="0" priority="43" operator="equal">
      <formula>0</formula>
    </cfRule>
  </conditionalFormatting>
  <conditionalFormatting sqref="D32">
    <cfRule type="cellIs" dxfId="0" priority="42" operator="equal">
      <formula>0</formula>
    </cfRule>
  </conditionalFormatting>
  <conditionalFormatting sqref="D33">
    <cfRule type="cellIs" dxfId="0" priority="44" operator="equal">
      <formula>0</formula>
    </cfRule>
  </conditionalFormatting>
  <conditionalFormatting sqref="D38">
    <cfRule type="cellIs" dxfId="0" priority="41" operator="equal">
      <formula>0</formula>
    </cfRule>
  </conditionalFormatting>
  <conditionalFormatting sqref="D39">
    <cfRule type="cellIs" dxfId="0" priority="39" operator="equal">
      <formula>0</formula>
    </cfRule>
  </conditionalFormatting>
  <conditionalFormatting sqref="D40">
    <cfRule type="cellIs" dxfId="0" priority="38" operator="equal">
      <formula>0</formula>
    </cfRule>
  </conditionalFormatting>
  <conditionalFormatting sqref="D41">
    <cfRule type="cellIs" dxfId="0" priority="40" operator="equal">
      <formula>0</formula>
    </cfRule>
  </conditionalFormatting>
  <conditionalFormatting sqref="D46">
    <cfRule type="cellIs" dxfId="0" priority="5" operator="equal">
      <formula>0</formula>
    </cfRule>
  </conditionalFormatting>
  <conditionalFormatting sqref="D47">
    <cfRule type="cellIs" dxfId="0" priority="3" operator="equal">
      <formula>0</formula>
    </cfRule>
  </conditionalFormatting>
  <conditionalFormatting sqref="D48">
    <cfRule type="cellIs" dxfId="0" priority="2" operator="equal">
      <formula>0</formula>
    </cfRule>
  </conditionalFormatting>
  <conditionalFormatting sqref="D49">
    <cfRule type="cellIs" dxfId="0" priority="4" operator="equal">
      <formula>0</formula>
    </cfRule>
  </conditionalFormatting>
  <conditionalFormatting sqref="D54">
    <cfRule type="cellIs" dxfId="0" priority="37" operator="equal">
      <formula>0</formula>
    </cfRule>
  </conditionalFormatting>
  <conditionalFormatting sqref="D55">
    <cfRule type="cellIs" dxfId="0" priority="35" operator="equal">
      <formula>0</formula>
    </cfRule>
  </conditionalFormatting>
  <conditionalFormatting sqref="D56">
    <cfRule type="cellIs" dxfId="0" priority="34" operator="equal">
      <formula>0</formula>
    </cfRule>
  </conditionalFormatting>
  <conditionalFormatting sqref="D57">
    <cfRule type="cellIs" dxfId="0" priority="36" operator="equal">
      <formula>0</formula>
    </cfRule>
  </conditionalFormatting>
  <conditionalFormatting sqref="D62">
    <cfRule type="cellIs" dxfId="0" priority="33" operator="equal">
      <formula>0</formula>
    </cfRule>
  </conditionalFormatting>
  <conditionalFormatting sqref="D63">
    <cfRule type="cellIs" dxfId="0" priority="31" operator="equal">
      <formula>0</formula>
    </cfRule>
  </conditionalFormatting>
  <conditionalFormatting sqref="D64">
    <cfRule type="cellIs" dxfId="0" priority="30" operator="equal">
      <formula>0</formula>
    </cfRule>
  </conditionalFormatting>
  <conditionalFormatting sqref="D65">
    <cfRule type="cellIs" dxfId="0" priority="32" operator="equal">
      <formula>0</formula>
    </cfRule>
  </conditionalFormatting>
  <conditionalFormatting sqref="D70">
    <cfRule type="cellIs" dxfId="0" priority="29" operator="equal">
      <formula>0</formula>
    </cfRule>
  </conditionalFormatting>
  <conditionalFormatting sqref="D71">
    <cfRule type="cellIs" dxfId="0" priority="27" operator="equal">
      <formula>0</formula>
    </cfRule>
  </conditionalFormatting>
  <conditionalFormatting sqref="D72">
    <cfRule type="cellIs" dxfId="0" priority="26" operator="equal">
      <formula>0</formula>
    </cfRule>
  </conditionalFormatting>
  <conditionalFormatting sqref="D73">
    <cfRule type="cellIs" dxfId="0" priority="28" operator="equal">
      <formula>0</formula>
    </cfRule>
  </conditionalFormatting>
  <conditionalFormatting sqref="D78">
    <cfRule type="cellIs" dxfId="0" priority="25" operator="equal">
      <formula>0</formula>
    </cfRule>
  </conditionalFormatting>
  <conditionalFormatting sqref="D79">
    <cfRule type="cellIs" dxfId="0" priority="23" operator="equal">
      <formula>0</formula>
    </cfRule>
  </conditionalFormatting>
  <conditionalFormatting sqref="D80">
    <cfRule type="cellIs" dxfId="0" priority="22" operator="equal">
      <formula>0</formula>
    </cfRule>
  </conditionalFormatting>
  <conditionalFormatting sqref="D81">
    <cfRule type="cellIs" dxfId="0" priority="24" operator="equal">
      <formula>0</formula>
    </cfRule>
  </conditionalFormatting>
  <conditionalFormatting sqref="D86">
    <cfRule type="cellIs" dxfId="0" priority="21" operator="equal">
      <formula>0</formula>
    </cfRule>
  </conditionalFormatting>
  <conditionalFormatting sqref="D87">
    <cfRule type="cellIs" dxfId="0" priority="19" operator="equal">
      <formula>0</formula>
    </cfRule>
  </conditionalFormatting>
  <conditionalFormatting sqref="D88">
    <cfRule type="cellIs" dxfId="0" priority="18" operator="equal">
      <formula>0</formula>
    </cfRule>
  </conditionalFormatting>
  <conditionalFormatting sqref="D89">
    <cfRule type="cellIs" dxfId="0" priority="20" operator="equal">
      <formula>0</formula>
    </cfRule>
  </conditionalFormatting>
  <conditionalFormatting sqref="D94">
    <cfRule type="cellIs" dxfId="0" priority="17" operator="equal">
      <formula>0</formula>
    </cfRule>
  </conditionalFormatting>
  <conditionalFormatting sqref="D95">
    <cfRule type="cellIs" dxfId="0" priority="15" operator="equal">
      <formula>0</formula>
    </cfRule>
  </conditionalFormatting>
  <conditionalFormatting sqref="D96">
    <cfRule type="cellIs" dxfId="0" priority="14" operator="equal">
      <formula>0</formula>
    </cfRule>
  </conditionalFormatting>
  <conditionalFormatting sqref="D97">
    <cfRule type="cellIs" dxfId="0" priority="16" operator="equal">
      <formula>0</formula>
    </cfRule>
  </conditionalFormatting>
  <conditionalFormatting sqref="D102">
    <cfRule type="cellIs" dxfId="0" priority="13" operator="equal">
      <formula>0</formula>
    </cfRule>
  </conditionalFormatting>
  <conditionalFormatting sqref="D103">
    <cfRule type="cellIs" dxfId="0" priority="11" operator="equal">
      <formula>0</formula>
    </cfRule>
  </conditionalFormatting>
  <conditionalFormatting sqref="D104">
    <cfRule type="cellIs" dxfId="0" priority="10" operator="equal">
      <formula>0</formula>
    </cfRule>
  </conditionalFormatting>
  <conditionalFormatting sqref="D105">
    <cfRule type="cellIs" dxfId="0" priority="12" operator="equal">
      <formula>0</formula>
    </cfRule>
  </conditionalFormatting>
  <conditionalFormatting sqref="D110">
    <cfRule type="cellIs" dxfId="0" priority="9" operator="equal">
      <formula>0</formula>
    </cfRule>
  </conditionalFormatting>
  <conditionalFormatting sqref="D111">
    <cfRule type="cellIs" dxfId="0" priority="7" operator="equal">
      <formula>0</formula>
    </cfRule>
  </conditionalFormatting>
  <conditionalFormatting sqref="D112">
    <cfRule type="cellIs" dxfId="0" priority="6" operator="equal">
      <formula>0</formula>
    </cfRule>
  </conditionalFormatting>
  <conditionalFormatting sqref="D113">
    <cfRule type="cellIs" dxfId="0" priority="8" operator="equal">
      <formula>0</formula>
    </cfRule>
  </conditionalFormatting>
  <conditionalFormatting sqref="F8:N11 F16:N19 F24:N27 F32:N35 F40:N43 F48:N51 F56:N59 F64:N67 F72:N75 F80:N83 F88:N91 F96:N99 F104:N107 F112:N115">
    <cfRule type="cellIs" dxfId="0" priority="1" operator="equal">
      <formula>0</formula>
    </cfRule>
  </conditionalFormatting>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workbookViewId="0">
      <selection activeCell="K18" sqref="K18"/>
    </sheetView>
  </sheetViews>
  <sheetFormatPr defaultColWidth="9" defaultRowHeight="13.5" outlineLevelCol="3"/>
  <cols>
    <col min="1" max="1" width="9" style="23"/>
    <col min="2" max="2" width="46.1333333333333" style="76" customWidth="1"/>
    <col min="3" max="3" width="23.25" style="76" customWidth="1"/>
    <col min="4" max="4" width="5.13333333333333" customWidth="1"/>
  </cols>
  <sheetData>
    <row r="1" ht="33" customHeight="1" spans="1:4">
      <c r="A1" s="23" t="s">
        <v>297</v>
      </c>
      <c r="B1" s="42"/>
      <c r="C1" s="42"/>
      <c r="D1" s="23"/>
    </row>
    <row r="2" ht="30.95" customHeight="1" spans="1:4">
      <c r="A2" s="35" t="s">
        <v>46</v>
      </c>
      <c r="B2" s="77" t="s">
        <v>298</v>
      </c>
      <c r="C2" s="77" t="s">
        <v>299</v>
      </c>
      <c r="D2" s="34" t="s">
        <v>29</v>
      </c>
    </row>
    <row r="3" ht="36" customHeight="1" spans="1:4">
      <c r="A3" s="35">
        <v>1</v>
      </c>
      <c r="B3" s="77" t="s">
        <v>300</v>
      </c>
      <c r="C3" s="77" t="s">
        <v>301</v>
      </c>
      <c r="D3" s="34"/>
    </row>
    <row r="4" ht="29" customHeight="1" spans="1:4">
      <c r="A4" s="35">
        <v>2</v>
      </c>
      <c r="B4" s="77" t="s">
        <v>302</v>
      </c>
      <c r="C4" s="77" t="s">
        <v>303</v>
      </c>
      <c r="D4" s="34"/>
    </row>
    <row r="5" ht="30.95" customHeight="1" spans="1:4">
      <c r="A5" s="35">
        <v>3</v>
      </c>
      <c r="B5" s="77" t="s">
        <v>304</v>
      </c>
      <c r="C5" s="77" t="s">
        <v>305</v>
      </c>
      <c r="D5" s="34"/>
    </row>
    <row r="6" ht="39" customHeight="1" spans="1:4">
      <c r="A6" s="35">
        <v>4</v>
      </c>
      <c r="B6" s="77" t="s">
        <v>306</v>
      </c>
      <c r="C6" s="77" t="s">
        <v>307</v>
      </c>
      <c r="D6" s="34"/>
    </row>
    <row r="7" ht="30.95" customHeight="1" spans="1:4">
      <c r="A7" s="35">
        <v>5</v>
      </c>
      <c r="B7" s="77" t="s">
        <v>308</v>
      </c>
      <c r="C7" s="77" t="s">
        <v>307</v>
      </c>
      <c r="D7" s="34"/>
    </row>
    <row r="8" ht="50" customHeight="1" spans="1:4">
      <c r="A8" s="35">
        <v>6</v>
      </c>
      <c r="B8" s="77" t="s">
        <v>309</v>
      </c>
      <c r="C8" s="77" t="s">
        <v>307</v>
      </c>
      <c r="D8" s="34"/>
    </row>
    <row r="9" ht="30.95" customHeight="1" spans="1:4">
      <c r="A9" s="35">
        <v>7</v>
      </c>
      <c r="B9" s="77" t="s">
        <v>310</v>
      </c>
      <c r="C9" s="77" t="s">
        <v>311</v>
      </c>
      <c r="D9" s="34"/>
    </row>
    <row r="10" ht="30.95" customHeight="1" spans="1:4">
      <c r="A10" s="35"/>
      <c r="B10" s="77"/>
      <c r="C10" s="77"/>
      <c r="D10" s="34"/>
    </row>
  </sheetData>
  <mergeCells count="1">
    <mergeCell ref="A1:D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编制说明</vt:lpstr>
      <vt:lpstr>汇总标</vt:lpstr>
      <vt:lpstr>精装大堂</vt:lpstr>
      <vt:lpstr>一层大堂及地下入口-安装</vt:lpstr>
      <vt:lpstr>单元门头装饰</vt:lpstr>
      <vt:lpstr>公共区域装修</vt:lpstr>
      <vt:lpstr>下客区部门（硬质铺装）</vt:lpstr>
      <vt:lpstr>下客区（安装）</vt:lpstr>
      <vt:lpstr>答疑</vt:lpstr>
      <vt:lpstr>标准层及地下计算式</vt:lpstr>
      <vt:lpstr>门头石材铝板工程量计算式</vt:lpstr>
      <vt:lpstr>灯具</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333</dc:creator>
  <cp:lastModifiedBy>霍昱彤</cp:lastModifiedBy>
  <dcterms:created xsi:type="dcterms:W3CDTF">2022-09-22T08:35:00Z</dcterms:created>
  <dcterms:modified xsi:type="dcterms:W3CDTF">2025-02-26T00:32:43Z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7C1652D3F9E24E04B35447C6D6761C9C</vt:lpwstr>
  </property>
  <property fmtid="{D5CDD505-2E9C-101B-9397-08002B2CF9AE}" pid="3" name="KSOProductBuildVer">
    <vt:lpwstr>2052-12.1.0.19770</vt:lpwstr>
  </property>
</Properties>
</file>