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析表" sheetId="2" r:id="rId1"/>
    <sheet name="Sheet1" sheetId="1" r:id="rId2"/>
  </sheets>
  <externalReferences>
    <externalReference r:id="rId3"/>
  </externalReferences>
  <definedNames>
    <definedName name="合同编号">[1]合同台帐!#REF!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张志超</author>
    <author>admin</author>
  </authors>
  <commentList>
    <comment ref="L13" authorId="0">
      <text>
        <r>
          <rPr>
            <b/>
            <sz val="9"/>
            <rFont val="宋体"/>
            <charset val="134"/>
          </rPr>
          <t>张志超:</t>
        </r>
        <r>
          <rPr>
            <sz val="9"/>
            <rFont val="宋体"/>
            <charset val="134"/>
          </rPr>
          <t xml:space="preserve">
p2
</t>
        </r>
      </text>
    </comment>
    <comment ref="L35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p4</t>
        </r>
      </text>
    </comment>
    <comment ref="L37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p3</t>
        </r>
      </text>
    </comment>
  </commentList>
</comments>
</file>

<file path=xl/sharedStrings.xml><?xml version="1.0" encoding="utf-8"?>
<sst xmlns="http://schemas.openxmlformats.org/spreadsheetml/2006/main" count="145" uniqueCount="91">
  <si>
    <t>栾川s7地块重新调整费用计算明细</t>
  </si>
  <si>
    <t>序号</t>
  </si>
  <si>
    <t>项目名称</t>
  </si>
  <si>
    <t>建筑面积（m2）</t>
  </si>
  <si>
    <t>综合单价（元/m2）</t>
  </si>
  <si>
    <t>合计（元）</t>
  </si>
  <si>
    <t>约谈后价格</t>
  </si>
  <si>
    <t>备注</t>
  </si>
  <si>
    <t>s7地块西半部分（未变动方案部分）</t>
  </si>
  <si>
    <t>继续执行</t>
  </si>
  <si>
    <t>s7地块东半部分（原方案部分）</t>
  </si>
  <si>
    <t>其中已支付价格（合同约定付款：方案通过专家评审会后10 个工作日内）</t>
  </si>
  <si>
    <t>未支付造价（合同约定配合甲方取得建设工程规划许可证后10个工作日内）</t>
  </si>
  <si>
    <t>所有工作都做了，只是我们没有拿去规划证</t>
  </si>
  <si>
    <t>第2.2+4条合计47万元</t>
  </si>
  <si>
    <t>s7地块东半部分（原方案部分）地上部分施工图工作</t>
  </si>
  <si>
    <t>公司认同</t>
  </si>
  <si>
    <t>s地块东半部分现方案修改</t>
  </si>
  <si>
    <t>s7地块方案总费用</t>
  </si>
  <si>
    <t>单栋指标表</t>
  </si>
  <si>
    <t>工程项目名称</t>
  </si>
  <si>
    <t>基底尺寸（长×宽）（m×m）</t>
  </si>
  <si>
    <t>地下</t>
  </si>
  <si>
    <t>层数</t>
  </si>
  <si>
    <t>建筑高度（m）</t>
  </si>
  <si>
    <t>建筑基底面积（㎡）</t>
  </si>
  <si>
    <t>住宅建筑面积（不含 阳台面积）（㎡）</t>
  </si>
  <si>
    <t>阳台建筑面积（㎡）</t>
  </si>
  <si>
    <t>其他服务用房建 筑面积（㎡）</t>
  </si>
  <si>
    <t>风井、水箱间建筑面积（㎡）</t>
  </si>
  <si>
    <t>机动车车库、非机动车车 库出入口建筑面积（㎡）</t>
  </si>
  <si>
    <t>地上总建筑面积（㎡）</t>
  </si>
  <si>
    <t>计容建筑面积（㎡）</t>
  </si>
  <si>
    <t>可售面积</t>
  </si>
  <si>
    <t>综合单价</t>
  </si>
  <si>
    <t>产值合计</t>
  </si>
  <si>
    <t>桩根数</t>
  </si>
  <si>
    <t>桩长</t>
  </si>
  <si>
    <t>21#楼</t>
  </si>
  <si>
    <t>51.4×25.5</t>
  </si>
  <si>
    <t>3F</t>
  </si>
  <si>
    <t>22#楼</t>
  </si>
  <si>
    <t>58.24×17.92</t>
  </si>
  <si>
    <t>1F</t>
  </si>
  <si>
    <t>9F</t>
  </si>
  <si>
    <t>28#楼</t>
  </si>
  <si>
    <t>53.14×17.8</t>
  </si>
  <si>
    <t>2F</t>
  </si>
  <si>
    <t>11F</t>
  </si>
  <si>
    <t>29#楼</t>
  </si>
  <si>
    <t>43.16×17.53</t>
  </si>
  <si>
    <t>13F</t>
  </si>
  <si>
    <t>30#楼</t>
  </si>
  <si>
    <t>58.81×14.98</t>
  </si>
  <si>
    <t>20F</t>
  </si>
  <si>
    <t>31#楼</t>
  </si>
  <si>
    <t>41.2×17.40</t>
  </si>
  <si>
    <t>17F</t>
  </si>
  <si>
    <t>36#楼</t>
  </si>
  <si>
    <t>48.5×17.2</t>
  </si>
  <si>
    <t>18F</t>
  </si>
  <si>
    <t>37#楼</t>
  </si>
  <si>
    <t>42.6×17.2</t>
  </si>
  <si>
    <t>38#楼</t>
  </si>
  <si>
    <t>39#楼</t>
  </si>
  <si>
    <t>41.2×16.75</t>
  </si>
  <si>
    <t>50#楼</t>
  </si>
  <si>
    <t>42.6×16.2</t>
  </si>
  <si>
    <t>开闭所配电房</t>
  </si>
  <si>
    <t>43.69×9.2</t>
  </si>
  <si>
    <t>小计</t>
  </si>
  <si>
    <t>23#楼</t>
  </si>
  <si>
    <t>原面积</t>
  </si>
  <si>
    <t>25#楼</t>
  </si>
  <si>
    <t>26#楼</t>
  </si>
  <si>
    <t>27#楼</t>
  </si>
  <si>
    <t>32#楼</t>
  </si>
  <si>
    <t>33#楼</t>
  </si>
  <si>
    <t>35#楼</t>
  </si>
  <si>
    <t>51#楼</t>
  </si>
  <si>
    <r>
      <rPr>
        <sz val="10"/>
        <rFont val="宋体"/>
        <charset val="134"/>
      </rPr>
      <t>P</t>
    </r>
    <r>
      <rPr>
        <sz val="10"/>
        <rFont val="宋体"/>
        <charset val="134"/>
      </rPr>
      <t>3</t>
    </r>
  </si>
  <si>
    <r>
      <rPr>
        <sz val="10"/>
        <rFont val="宋体"/>
        <charset val="134"/>
      </rPr>
      <t>P</t>
    </r>
    <r>
      <rPr>
        <sz val="10"/>
        <rFont val="宋体"/>
        <charset val="134"/>
      </rPr>
      <t>4</t>
    </r>
  </si>
  <si>
    <t>合计</t>
  </si>
  <si>
    <t>二</t>
  </si>
  <si>
    <t>新调整面积</t>
  </si>
  <si>
    <t>53.60×16.35</t>
  </si>
  <si>
    <t>44.4×17.30</t>
  </si>
  <si>
    <t>53.60×15.90</t>
  </si>
  <si>
    <t>44.4×17.50</t>
  </si>
  <si>
    <t>约谈总费用</t>
  </si>
  <si>
    <t>截止目前确定工作量及变更后总方案所有工作，前期3万约谈记录作废，5万另行计算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</si>
</sst>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仿宋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678F00"/>
      </right>
      <top/>
      <bottom style="medium">
        <color rgb="FF678F00"/>
      </bottom>
      <diagonal/>
    </border>
    <border>
      <left/>
      <right/>
      <top/>
      <bottom style="medium">
        <color rgb="FF678F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678F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9" fillId="14" borderId="15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3" borderId="0" xfId="0" applyFont="1" applyFill="1" applyBorder="1" applyAlignment="1"/>
    <xf numFmtId="0" fontId="1" fillId="4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49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5" borderId="1" xfId="0" applyFont="1" applyFill="1" applyBorder="1" applyAlignment="1"/>
    <xf numFmtId="176" fontId="1" fillId="5" borderId="1" xfId="0" applyNumberFormat="1" applyFont="1" applyFill="1" applyBorder="1" applyAlignment="1"/>
    <xf numFmtId="0" fontId="1" fillId="3" borderId="1" xfId="0" applyFont="1" applyFill="1" applyBorder="1" applyAlignment="1"/>
    <xf numFmtId="0" fontId="1" fillId="4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140\&#39033;&#30446;&#31649;&#29702;&#20013;&#24515;\&#36816;&#33829;&#36164;&#26009;&#24211;\&#21512;&#32422;&#37096;\&#26680;&#31639;&#37096;\&#37096;&#38376;&#24037;&#20316;\&#9733;&#21512;&#32422;&#37096;&#26376;&#24230;&#25253;&#34920;\&#22478;&#24066;&#20844;&#21496;&#26376;&#24230;&#25104;&#26412;&#32479;&#35745;\06.11.28&#25104;&#26412;&#26376;&#25253;\&#22825;&#27941;\&#22478;&#24066;&#39033;&#30446;\&#21271;&#23736;&#21326;&#24237;&#25104;&#26412;11.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拨款台帐"/>
      <sheetName val="合同台帐"/>
      <sheetName val="集团模板"/>
      <sheetName val="成本指标明细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6" sqref="G6:G8"/>
    </sheetView>
  </sheetViews>
  <sheetFormatPr defaultColWidth="9" defaultRowHeight="13.5" outlineLevelCol="6"/>
  <cols>
    <col min="1" max="1" width="8.625" style="66" customWidth="1"/>
    <col min="2" max="2" width="27.25" customWidth="1"/>
    <col min="3" max="3" width="18.375" customWidth="1"/>
    <col min="4" max="4" width="17.25" customWidth="1"/>
    <col min="5" max="5" width="20" customWidth="1"/>
    <col min="6" max="6" width="18.625" style="66" customWidth="1"/>
    <col min="7" max="7" width="14.5" customWidth="1"/>
    <col min="9" max="9" width="19.25" customWidth="1"/>
  </cols>
  <sheetData>
    <row r="1" ht="45" customHeight="1" spans="1:7">
      <c r="A1" s="66" t="s">
        <v>0</v>
      </c>
      <c r="B1" s="66"/>
      <c r="C1" s="66"/>
      <c r="D1" s="66"/>
      <c r="E1" s="66"/>
      <c r="F1" s="66"/>
      <c r="G1" s="66"/>
    </row>
    <row r="2" ht="31" customHeight="1" spans="1:7">
      <c r="A2" s="67" t="s">
        <v>1</v>
      </c>
      <c r="B2" s="68" t="s">
        <v>2</v>
      </c>
      <c r="C2" s="67" t="s">
        <v>3</v>
      </c>
      <c r="D2" s="67" t="s">
        <v>4</v>
      </c>
      <c r="E2" s="67" t="s">
        <v>5</v>
      </c>
      <c r="F2" s="67" t="s">
        <v>6</v>
      </c>
      <c r="G2" s="68" t="s">
        <v>7</v>
      </c>
    </row>
    <row r="3" ht="40" customHeight="1" spans="1:7">
      <c r="A3" s="67">
        <v>1</v>
      </c>
      <c r="B3" s="69" t="s">
        <v>8</v>
      </c>
      <c r="C3" s="67">
        <f>Sheet1!O16</f>
        <v>56200.67</v>
      </c>
      <c r="D3" s="67">
        <v>7</v>
      </c>
      <c r="E3" s="67">
        <f>C3*D3</f>
        <v>393404.69</v>
      </c>
      <c r="F3" s="67">
        <f>E3</f>
        <v>393404.69</v>
      </c>
      <c r="G3" s="68" t="s">
        <v>9</v>
      </c>
    </row>
    <row r="4" ht="39" customHeight="1" spans="1:7">
      <c r="A4" s="67">
        <v>2</v>
      </c>
      <c r="B4" s="69" t="s">
        <v>10</v>
      </c>
      <c r="C4" s="67">
        <f>Sheet1!O27</f>
        <v>64336.93</v>
      </c>
      <c r="D4" s="67">
        <v>7</v>
      </c>
      <c r="E4" s="67">
        <f>C4*D4</f>
        <v>450358.51</v>
      </c>
      <c r="F4" s="67"/>
      <c r="G4" s="68"/>
    </row>
    <row r="5" ht="57" customHeight="1" spans="1:7">
      <c r="A5" s="67">
        <v>2.1</v>
      </c>
      <c r="B5" s="69" t="s">
        <v>11</v>
      </c>
      <c r="C5" s="67"/>
      <c r="D5" s="70">
        <v>0.7</v>
      </c>
      <c r="E5" s="67">
        <f>E4*D5</f>
        <v>315250.957</v>
      </c>
      <c r="F5" s="71">
        <f>E5</f>
        <v>315250.957</v>
      </c>
      <c r="G5" s="68"/>
    </row>
    <row r="6" ht="56" customHeight="1" spans="1:7">
      <c r="A6" s="67">
        <v>2.2</v>
      </c>
      <c r="B6" s="69" t="s">
        <v>12</v>
      </c>
      <c r="C6" s="72" t="s">
        <v>13</v>
      </c>
      <c r="D6" s="70">
        <v>0.3</v>
      </c>
      <c r="E6" s="67">
        <f>D6*E4</f>
        <v>135107.553</v>
      </c>
      <c r="F6" s="73">
        <f>E6</f>
        <v>135107.553</v>
      </c>
      <c r="G6" s="74" t="s">
        <v>14</v>
      </c>
    </row>
    <row r="7" ht="56" customHeight="1" spans="1:7">
      <c r="A7" s="67">
        <v>3</v>
      </c>
      <c r="B7" s="75" t="s">
        <v>15</v>
      </c>
      <c r="C7" s="76">
        <v>64447.37</v>
      </c>
      <c r="D7" s="67" t="s">
        <v>16</v>
      </c>
      <c r="E7" s="67">
        <v>223580.048</v>
      </c>
      <c r="F7" s="73"/>
      <c r="G7" s="77"/>
    </row>
    <row r="8" ht="31" customHeight="1" spans="1:7">
      <c r="A8" s="67">
        <v>4</v>
      </c>
      <c r="B8" s="75" t="s">
        <v>17</v>
      </c>
      <c r="C8" s="76">
        <f>Sheet1!O38</f>
        <v>64197.42</v>
      </c>
      <c r="D8" s="67">
        <v>7</v>
      </c>
      <c r="E8" s="67">
        <f>D8*C8</f>
        <v>449381.94</v>
      </c>
      <c r="F8" s="73">
        <f>470000-F6</f>
        <v>334892.447</v>
      </c>
      <c r="G8" s="78"/>
    </row>
    <row r="9" ht="31" customHeight="1" spans="1:7">
      <c r="A9" s="67">
        <v>5</v>
      </c>
      <c r="B9" s="76" t="s">
        <v>18</v>
      </c>
      <c r="C9" s="76"/>
      <c r="D9" s="68"/>
      <c r="E9" s="67">
        <f>E3+E4+E8+E7</f>
        <v>1516725.188</v>
      </c>
      <c r="F9" s="67">
        <f>F3+F5+F6+F8</f>
        <v>1178655.647</v>
      </c>
      <c r="G9" s="68"/>
    </row>
    <row r="10" ht="31" customHeight="1" spans="1:7">
      <c r="A10" s="67"/>
      <c r="B10" s="68"/>
      <c r="C10" s="68"/>
      <c r="D10" s="68"/>
      <c r="E10" s="68"/>
      <c r="F10" s="67"/>
      <c r="G10" s="68"/>
    </row>
    <row r="11" ht="31" customHeight="1" spans="1:7">
      <c r="A11" s="67"/>
      <c r="B11" s="68"/>
      <c r="C11" s="68"/>
      <c r="D11" s="68"/>
      <c r="E11" s="68"/>
      <c r="F11" s="67"/>
      <c r="G11" s="68"/>
    </row>
    <row r="12" ht="31" customHeight="1" spans="1:7">
      <c r="A12" s="67"/>
      <c r="B12" s="68"/>
      <c r="C12" s="68"/>
      <c r="D12" s="68"/>
      <c r="E12" s="68"/>
      <c r="F12" s="67"/>
      <c r="G12" s="68"/>
    </row>
    <row r="13" ht="31" customHeight="1" spans="1:7">
      <c r="A13" s="67"/>
      <c r="B13" s="68"/>
      <c r="C13" s="68"/>
      <c r="D13" s="68"/>
      <c r="E13" s="68"/>
      <c r="F13" s="67"/>
      <c r="G13" s="68"/>
    </row>
    <row r="14" ht="31" customHeight="1" spans="1:7">
      <c r="A14" s="67"/>
      <c r="B14" s="68"/>
      <c r="C14" s="68"/>
      <c r="D14" s="68"/>
      <c r="E14" s="68"/>
      <c r="F14" s="67"/>
      <c r="G14" s="68"/>
    </row>
    <row r="15" ht="31" customHeight="1" spans="1:7">
      <c r="A15" s="67"/>
      <c r="B15" s="68"/>
      <c r="C15" s="68"/>
      <c r="D15" s="68"/>
      <c r="E15" s="68"/>
      <c r="F15" s="67"/>
      <c r="G15" s="68"/>
    </row>
  </sheetData>
  <mergeCells count="2">
    <mergeCell ref="A1:G1"/>
    <mergeCell ref="G6:G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zoomScale="85" zoomScaleNormal="85" topLeftCell="A4" workbookViewId="0">
      <selection activeCell="O10" sqref="O10"/>
    </sheetView>
  </sheetViews>
  <sheetFormatPr defaultColWidth="9" defaultRowHeight="14.25"/>
  <cols>
    <col min="1" max="1" width="6.375" style="1" customWidth="1"/>
    <col min="2" max="2" width="14.125" style="1" customWidth="1"/>
    <col min="3" max="3" width="14.375" style="1" hidden="1" customWidth="1"/>
    <col min="4" max="4" width="3.875" style="1" hidden="1" customWidth="1"/>
    <col min="5" max="5" width="9" style="1" hidden="1" customWidth="1"/>
    <col min="6" max="6" width="11.5" style="1" hidden="1" customWidth="1"/>
    <col min="7" max="9" width="9" style="1" hidden="1" customWidth="1"/>
    <col min="10" max="10" width="9.25" style="1"/>
    <col min="11" max="11" width="12.625" style="1"/>
    <col min="12" max="12" width="13.375" style="1" customWidth="1"/>
    <col min="13" max="13" width="9" style="1" hidden="1" customWidth="1"/>
    <col min="14" max="14" width="11.5" style="1" hidden="1" customWidth="1"/>
    <col min="15" max="15" width="11.125" style="1"/>
    <col min="16" max="17" width="9.375" style="1" customWidth="1"/>
    <col min="18" max="18" width="11.5" style="1" customWidth="1"/>
    <col min="19" max="19" width="20.5833333333333" style="1" customWidth="1"/>
    <col min="20" max="20" width="29.9916666666667" style="1" customWidth="1"/>
    <col min="21" max="16384" width="9" style="1"/>
  </cols>
  <sheetData>
    <row r="1" s="1" customFormat="1" ht="27.95" customHeight="1" spans="1:19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spans="1:19">
      <c r="A2" s="6" t="s">
        <v>1</v>
      </c>
      <c r="B2" s="6" t="s">
        <v>20</v>
      </c>
      <c r="C2" s="6" t="s">
        <v>21</v>
      </c>
      <c r="D2" s="7" t="s">
        <v>22</v>
      </c>
      <c r="E2" s="6" t="s">
        <v>23</v>
      </c>
      <c r="F2" s="6"/>
      <c r="G2" s="6"/>
      <c r="H2" s="6" t="s">
        <v>24</v>
      </c>
      <c r="I2" s="6" t="s">
        <v>25</v>
      </c>
      <c r="J2" s="6" t="s">
        <v>26</v>
      </c>
      <c r="K2" s="6" t="s">
        <v>27</v>
      </c>
      <c r="L2" s="6" t="s">
        <v>28</v>
      </c>
      <c r="M2" s="6" t="s">
        <v>29</v>
      </c>
      <c r="N2" s="6" t="s">
        <v>30</v>
      </c>
      <c r="O2" s="6" t="s">
        <v>31</v>
      </c>
      <c r="P2" s="6" t="s">
        <v>32</v>
      </c>
      <c r="Q2" s="7" t="s">
        <v>33</v>
      </c>
      <c r="R2" s="57" t="s">
        <v>34</v>
      </c>
      <c r="S2" s="57" t="s">
        <v>35</v>
      </c>
    </row>
    <row r="3" s="1" customFormat="1" spans="1:19">
      <c r="A3" s="6"/>
      <c r="B3" s="6"/>
      <c r="C3" s="6"/>
      <c r="D3" s="8"/>
      <c r="E3" s="6"/>
      <c r="F3" s="6" t="s">
        <v>36</v>
      </c>
      <c r="G3" s="6" t="s">
        <v>37</v>
      </c>
      <c r="H3" s="6"/>
      <c r="I3" s="6"/>
      <c r="J3" s="6"/>
      <c r="K3" s="6"/>
      <c r="L3" s="6"/>
      <c r="M3" s="6"/>
      <c r="N3" s="6"/>
      <c r="O3" s="6"/>
      <c r="P3" s="6"/>
      <c r="Q3" s="8"/>
      <c r="R3" s="57"/>
      <c r="S3" s="57"/>
    </row>
    <row r="4" s="2" customFormat="1" ht="15" spans="1:19">
      <c r="A4" s="9">
        <v>1</v>
      </c>
      <c r="B4" s="9" t="s">
        <v>38</v>
      </c>
      <c r="C4" s="9" t="s">
        <v>39</v>
      </c>
      <c r="D4" s="9"/>
      <c r="E4" s="9" t="s">
        <v>40</v>
      </c>
      <c r="F4" s="9"/>
      <c r="G4" s="9"/>
      <c r="H4" s="10">
        <v>13.1</v>
      </c>
      <c r="I4" s="9">
        <v>1032.77</v>
      </c>
      <c r="J4" s="9"/>
      <c r="K4" s="9"/>
      <c r="L4" s="28">
        <v>2818.61</v>
      </c>
      <c r="M4" s="9"/>
      <c r="N4" s="29"/>
      <c r="O4" s="30"/>
      <c r="P4" s="9"/>
      <c r="Q4" s="9"/>
      <c r="R4" s="11"/>
      <c r="S4" s="11"/>
    </row>
    <row r="5" s="2" customFormat="1" ht="15" spans="1:19">
      <c r="A5" s="9">
        <v>2</v>
      </c>
      <c r="B5" s="9" t="s">
        <v>41</v>
      </c>
      <c r="C5" s="9" t="s">
        <v>42</v>
      </c>
      <c r="D5" s="9" t="s">
        <v>43</v>
      </c>
      <c r="E5" s="9" t="s">
        <v>44</v>
      </c>
      <c r="F5" s="9"/>
      <c r="G5" s="9"/>
      <c r="H5" s="10">
        <v>27</v>
      </c>
      <c r="I5" s="9">
        <v>619.5</v>
      </c>
      <c r="J5" s="9">
        <f>O5-K5</f>
        <v>-423</v>
      </c>
      <c r="K5" s="9">
        <f>47*9</f>
        <v>423</v>
      </c>
      <c r="L5" s="9"/>
      <c r="M5" s="9"/>
      <c r="N5" s="29"/>
      <c r="O5" s="30"/>
      <c r="P5" s="9"/>
      <c r="Q5" s="9">
        <f t="shared" ref="Q5:Q14" si="0">J5+K5</f>
        <v>0</v>
      </c>
      <c r="R5" s="11"/>
      <c r="S5" s="11"/>
    </row>
    <row r="6" s="2" customFormat="1" ht="15" spans="1:19">
      <c r="A6" s="9">
        <v>7</v>
      </c>
      <c r="B6" s="9" t="s">
        <v>45</v>
      </c>
      <c r="C6" s="9" t="s">
        <v>46</v>
      </c>
      <c r="D6" s="9" t="s">
        <v>47</v>
      </c>
      <c r="E6" s="9" t="s">
        <v>48</v>
      </c>
      <c r="F6" s="9"/>
      <c r="G6" s="9"/>
      <c r="H6" s="10">
        <v>33</v>
      </c>
      <c r="I6" s="9">
        <v>563.19</v>
      </c>
      <c r="J6" s="9">
        <f>O6-K6</f>
        <v>-428.81</v>
      </c>
      <c r="K6" s="9">
        <f>39.63*11-7.12</f>
        <v>428.81</v>
      </c>
      <c r="L6" s="29"/>
      <c r="M6" s="9"/>
      <c r="N6" s="29"/>
      <c r="O6" s="30"/>
      <c r="P6" s="10"/>
      <c r="Q6" s="9">
        <f t="shared" si="0"/>
        <v>0</v>
      </c>
      <c r="R6" s="11"/>
      <c r="S6" s="11"/>
    </row>
    <row r="7" s="2" customFormat="1" ht="15" spans="1:19">
      <c r="A7" s="9">
        <v>8</v>
      </c>
      <c r="B7" s="9" t="s">
        <v>49</v>
      </c>
      <c r="C7" s="9" t="s">
        <v>50</v>
      </c>
      <c r="D7" s="9" t="s">
        <v>43</v>
      </c>
      <c r="E7" s="9" t="s">
        <v>51</v>
      </c>
      <c r="F7" s="9"/>
      <c r="G7" s="9"/>
      <c r="H7" s="10">
        <v>38.8</v>
      </c>
      <c r="I7" s="9">
        <v>515.64</v>
      </c>
      <c r="J7" s="31">
        <f>O7-K7</f>
        <v>-350.22</v>
      </c>
      <c r="K7" s="9">
        <f>26.94*13</f>
        <v>350.22</v>
      </c>
      <c r="L7" s="29"/>
      <c r="M7" s="9"/>
      <c r="N7" s="29"/>
      <c r="O7" s="30"/>
      <c r="P7" s="10"/>
      <c r="Q7" s="9">
        <f t="shared" si="0"/>
        <v>0</v>
      </c>
      <c r="R7" s="11"/>
      <c r="S7" s="11"/>
    </row>
    <row r="8" s="2" customFormat="1" ht="15" spans="1:19">
      <c r="A8" s="9">
        <v>9</v>
      </c>
      <c r="B8" s="9" t="s">
        <v>52</v>
      </c>
      <c r="C8" s="9" t="s">
        <v>53</v>
      </c>
      <c r="D8" s="9" t="s">
        <v>47</v>
      </c>
      <c r="E8" s="9" t="s">
        <v>54</v>
      </c>
      <c r="F8" s="11"/>
      <c r="G8" s="11"/>
      <c r="H8" s="10">
        <v>59.1</v>
      </c>
      <c r="I8" s="9">
        <v>670.32</v>
      </c>
      <c r="J8" s="29">
        <v>13433.7</v>
      </c>
      <c r="K8" s="9">
        <f>34.35*20</f>
        <v>687</v>
      </c>
      <c r="L8" s="29"/>
      <c r="M8" s="9"/>
      <c r="N8" s="29"/>
      <c r="O8" s="30"/>
      <c r="P8" s="10"/>
      <c r="Q8" s="9"/>
      <c r="R8" s="11"/>
      <c r="S8" s="11"/>
    </row>
    <row r="9" s="2" customFormat="1" ht="15" spans="1:19">
      <c r="A9" s="9">
        <v>10</v>
      </c>
      <c r="B9" s="9" t="s">
        <v>55</v>
      </c>
      <c r="C9" s="9" t="s">
        <v>56</v>
      </c>
      <c r="D9" s="9" t="s">
        <v>47</v>
      </c>
      <c r="E9" s="9" t="s">
        <v>57</v>
      </c>
      <c r="F9" s="12">
        <v>68</v>
      </c>
      <c r="G9" s="12">
        <v>16.4</v>
      </c>
      <c r="H9" s="10">
        <v>50.5</v>
      </c>
      <c r="I9" s="9">
        <v>586.56</v>
      </c>
      <c r="J9" s="32">
        <v>8317.63</v>
      </c>
      <c r="K9" s="33"/>
      <c r="L9" s="29"/>
      <c r="M9" s="9"/>
      <c r="N9" s="29"/>
      <c r="O9" s="30">
        <f>K9+J9</f>
        <v>8317.63</v>
      </c>
      <c r="P9" s="10">
        <f t="shared" ref="P4:P15" si="1">O9</f>
        <v>8317.63</v>
      </c>
      <c r="Q9" s="9">
        <f t="shared" si="0"/>
        <v>8317.63</v>
      </c>
      <c r="R9" s="11"/>
      <c r="S9" s="11"/>
    </row>
    <row r="10" s="2" customFormat="1" ht="15" spans="1:19">
      <c r="A10" s="9">
        <v>14</v>
      </c>
      <c r="B10" s="9" t="s">
        <v>58</v>
      </c>
      <c r="C10" s="9" t="s">
        <v>59</v>
      </c>
      <c r="D10" s="9" t="s">
        <v>43</v>
      </c>
      <c r="E10" s="9" t="s">
        <v>60</v>
      </c>
      <c r="F10" s="12">
        <v>117</v>
      </c>
      <c r="G10" s="12">
        <v>12.9</v>
      </c>
      <c r="H10" s="10">
        <v>53.45</v>
      </c>
      <c r="I10" s="9">
        <v>648.75</v>
      </c>
      <c r="J10" s="34">
        <v>9775.01</v>
      </c>
      <c r="K10" s="35"/>
      <c r="L10" s="9"/>
      <c r="M10" s="9"/>
      <c r="N10" s="36"/>
      <c r="O10" s="30">
        <f>K10+J10+L10</f>
        <v>9775.01</v>
      </c>
      <c r="P10" s="10">
        <f t="shared" si="1"/>
        <v>9775.01</v>
      </c>
      <c r="Q10" s="9">
        <f t="shared" si="0"/>
        <v>9775.01</v>
      </c>
      <c r="R10" s="11"/>
      <c r="S10" s="11"/>
    </row>
    <row r="11" s="2" customFormat="1" ht="15" spans="1:19">
      <c r="A11" s="9">
        <v>15</v>
      </c>
      <c r="B11" s="9" t="s">
        <v>61</v>
      </c>
      <c r="C11" s="9" t="s">
        <v>62</v>
      </c>
      <c r="D11" s="9" t="s">
        <v>43</v>
      </c>
      <c r="E11" s="9" t="s">
        <v>60</v>
      </c>
      <c r="F11" s="12">
        <v>70</v>
      </c>
      <c r="G11" s="12">
        <v>14.3</v>
      </c>
      <c r="H11" s="10">
        <v>53.45</v>
      </c>
      <c r="I11" s="9">
        <v>608.67</v>
      </c>
      <c r="J11" s="34">
        <v>9402.89</v>
      </c>
      <c r="K11" s="35"/>
      <c r="L11" s="9"/>
      <c r="M11" s="9"/>
      <c r="N11" s="10"/>
      <c r="O11" s="30">
        <f>K11+J11+L11+N11</f>
        <v>9402.89</v>
      </c>
      <c r="P11" s="10">
        <f t="shared" si="1"/>
        <v>9402.89</v>
      </c>
      <c r="Q11" s="9">
        <f t="shared" si="0"/>
        <v>9402.89</v>
      </c>
      <c r="R11" s="11"/>
      <c r="S11" s="11"/>
    </row>
    <row r="12" s="2" customFormat="1" ht="15" spans="1:19">
      <c r="A12" s="9">
        <v>16</v>
      </c>
      <c r="B12" s="9" t="s">
        <v>63</v>
      </c>
      <c r="C12" s="9" t="s">
        <v>59</v>
      </c>
      <c r="D12" s="9" t="s">
        <v>43</v>
      </c>
      <c r="E12" s="9" t="s">
        <v>60</v>
      </c>
      <c r="F12" s="12">
        <v>116</v>
      </c>
      <c r="G12" s="12">
        <v>14.7</v>
      </c>
      <c r="H12" s="10">
        <v>53.45</v>
      </c>
      <c r="I12" s="37">
        <v>648.67</v>
      </c>
      <c r="J12" s="34">
        <v>9794.88</v>
      </c>
      <c r="K12" s="35"/>
      <c r="L12" s="9"/>
      <c r="M12" s="9"/>
      <c r="N12" s="9"/>
      <c r="O12" s="30">
        <f>K12+J12+L12</f>
        <v>9794.88</v>
      </c>
      <c r="P12" s="10">
        <f t="shared" si="1"/>
        <v>9794.88</v>
      </c>
      <c r="Q12" s="9">
        <f t="shared" si="0"/>
        <v>9794.88</v>
      </c>
      <c r="R12" s="11"/>
      <c r="S12" s="11"/>
    </row>
    <row r="13" s="2" customFormat="1" ht="15" spans="1:19">
      <c r="A13" s="9">
        <v>17</v>
      </c>
      <c r="B13" s="9" t="s">
        <v>64</v>
      </c>
      <c r="C13" s="9" t="s">
        <v>65</v>
      </c>
      <c r="D13" s="9" t="s">
        <v>43</v>
      </c>
      <c r="E13" s="9" t="s">
        <v>60</v>
      </c>
      <c r="F13" s="12">
        <v>68</v>
      </c>
      <c r="G13" s="12">
        <v>10.7</v>
      </c>
      <c r="H13" s="10">
        <v>53.55</v>
      </c>
      <c r="I13" s="37">
        <v>555.8</v>
      </c>
      <c r="J13" s="34">
        <v>8828.02</v>
      </c>
      <c r="K13" s="35"/>
      <c r="L13" s="9">
        <v>292.45</v>
      </c>
      <c r="M13" s="38"/>
      <c r="N13" s="9"/>
      <c r="O13" s="30">
        <f>K13+J13+L13+M13</f>
        <v>9120.47</v>
      </c>
      <c r="P13" s="10">
        <f t="shared" si="1"/>
        <v>9120.47</v>
      </c>
      <c r="Q13" s="9">
        <f t="shared" si="0"/>
        <v>8828.02</v>
      </c>
      <c r="R13" s="11"/>
      <c r="S13" s="11"/>
    </row>
    <row r="14" s="2" customFormat="1" ht="15" spans="1:19">
      <c r="A14" s="9">
        <v>18</v>
      </c>
      <c r="B14" s="9" t="s">
        <v>66</v>
      </c>
      <c r="C14" s="9" t="s">
        <v>67</v>
      </c>
      <c r="D14" s="9" t="s">
        <v>43</v>
      </c>
      <c r="E14" s="9" t="s">
        <v>60</v>
      </c>
      <c r="F14" s="12">
        <v>42</v>
      </c>
      <c r="G14" s="12">
        <v>17</v>
      </c>
      <c r="H14" s="10">
        <v>53.55</v>
      </c>
      <c r="I14" s="10">
        <v>572.21</v>
      </c>
      <c r="J14" s="34">
        <f>9370.27-L14</f>
        <v>9166.95</v>
      </c>
      <c r="K14" s="35"/>
      <c r="L14" s="39">
        <v>203.32</v>
      </c>
      <c r="M14" s="9"/>
      <c r="N14" s="9"/>
      <c r="O14" s="30">
        <f>K14+J14+L14</f>
        <v>9370.27</v>
      </c>
      <c r="P14" s="10">
        <f t="shared" si="1"/>
        <v>9370.27</v>
      </c>
      <c r="Q14" s="9">
        <f t="shared" si="0"/>
        <v>9166.95</v>
      </c>
      <c r="R14" s="11"/>
      <c r="S14" s="11"/>
    </row>
    <row r="15" s="1" customFormat="1" ht="15" spans="1:19">
      <c r="A15" s="6">
        <v>20</v>
      </c>
      <c r="B15" s="6" t="s">
        <v>68</v>
      </c>
      <c r="C15" s="6" t="s">
        <v>69</v>
      </c>
      <c r="D15" s="6"/>
      <c r="E15" s="6">
        <v>1</v>
      </c>
      <c r="F15" s="6"/>
      <c r="G15" s="6"/>
      <c r="H15" s="13"/>
      <c r="I15" s="40">
        <v>369.86</v>
      </c>
      <c r="J15" s="6"/>
      <c r="K15" s="6"/>
      <c r="L15" s="13">
        <v>419.52</v>
      </c>
      <c r="M15" s="6"/>
      <c r="N15" s="6"/>
      <c r="O15" s="30">
        <f>K15+J15+L15</f>
        <v>419.52</v>
      </c>
      <c r="P15" s="10">
        <f t="shared" si="1"/>
        <v>419.52</v>
      </c>
      <c r="Q15" s="13"/>
      <c r="R15" s="58"/>
      <c r="S15" s="58"/>
    </row>
    <row r="16" s="1" customFormat="1" spans="1:19">
      <c r="A16" s="14"/>
      <c r="B16" s="14" t="s">
        <v>70</v>
      </c>
      <c r="C16" s="14"/>
      <c r="D16" s="14"/>
      <c r="E16" s="14"/>
      <c r="F16" s="14"/>
      <c r="G16" s="14"/>
      <c r="H16" s="15"/>
      <c r="I16" s="41"/>
      <c r="J16" s="14"/>
      <c r="K16" s="14"/>
      <c r="L16" s="15"/>
      <c r="M16" s="14"/>
      <c r="N16" s="14"/>
      <c r="O16" s="42">
        <f>SUM(O4:O15)</f>
        <v>56200.67</v>
      </c>
      <c r="P16" s="15"/>
      <c r="Q16" s="15"/>
      <c r="R16" s="59">
        <v>7</v>
      </c>
      <c r="S16" s="59">
        <f>O16*R16</f>
        <v>393404.69</v>
      </c>
    </row>
    <row r="17" s="1" customFormat="1" spans="1:19">
      <c r="A17" s="6"/>
      <c r="B17" s="16" t="s">
        <v>71</v>
      </c>
      <c r="C17" s="6" t="s">
        <v>72</v>
      </c>
      <c r="D17" s="6"/>
      <c r="E17" s="6"/>
      <c r="F17" s="6"/>
      <c r="G17" s="6"/>
      <c r="H17" s="13"/>
      <c r="I17" s="40"/>
      <c r="J17" s="6"/>
      <c r="K17" s="6"/>
      <c r="L17" s="13"/>
      <c r="M17" s="6"/>
      <c r="N17" s="6"/>
      <c r="O17" s="43">
        <v>6249.15</v>
      </c>
      <c r="P17" s="13"/>
      <c r="Q17" s="13"/>
      <c r="R17" s="58"/>
      <c r="S17" s="58"/>
    </row>
    <row r="18" s="1" customFormat="1" spans="1:19">
      <c r="A18" s="6"/>
      <c r="B18" s="16" t="s">
        <v>73</v>
      </c>
      <c r="C18" s="6" t="s">
        <v>72</v>
      </c>
      <c r="D18" s="6"/>
      <c r="E18" s="6"/>
      <c r="F18" s="6"/>
      <c r="G18" s="6"/>
      <c r="H18" s="13"/>
      <c r="I18" s="40"/>
      <c r="J18" s="6"/>
      <c r="K18" s="6"/>
      <c r="L18" s="13"/>
      <c r="M18" s="6"/>
      <c r="N18" s="6"/>
      <c r="O18" s="43">
        <v>5771.71</v>
      </c>
      <c r="P18" s="13"/>
      <c r="Q18" s="13"/>
      <c r="R18" s="58"/>
      <c r="S18" s="58"/>
    </row>
    <row r="19" s="1" customFormat="1" spans="1:19">
      <c r="A19" s="6"/>
      <c r="B19" s="17" t="s">
        <v>74</v>
      </c>
      <c r="C19" s="6" t="s">
        <v>72</v>
      </c>
      <c r="D19" s="6"/>
      <c r="E19" s="6"/>
      <c r="F19" s="6"/>
      <c r="G19" s="6"/>
      <c r="H19" s="13"/>
      <c r="I19" s="40"/>
      <c r="J19" s="6"/>
      <c r="K19" s="6"/>
      <c r="L19" s="13"/>
      <c r="M19" s="6"/>
      <c r="N19" s="6"/>
      <c r="O19" s="43">
        <v>7335.83</v>
      </c>
      <c r="P19" s="13"/>
      <c r="Q19" s="13"/>
      <c r="R19" s="58"/>
      <c r="S19" s="58"/>
    </row>
    <row r="20" s="1" customFormat="1" spans="1:19">
      <c r="A20" s="6"/>
      <c r="B20" s="17" t="s">
        <v>75</v>
      </c>
      <c r="C20" s="6" t="s">
        <v>72</v>
      </c>
      <c r="D20" s="6"/>
      <c r="E20" s="6"/>
      <c r="F20" s="6"/>
      <c r="G20" s="6"/>
      <c r="H20" s="13"/>
      <c r="I20" s="40"/>
      <c r="J20" s="6"/>
      <c r="K20" s="6"/>
      <c r="L20" s="13"/>
      <c r="M20" s="6"/>
      <c r="N20" s="6"/>
      <c r="O20" s="43">
        <v>6993.33</v>
      </c>
      <c r="P20" s="13"/>
      <c r="Q20" s="13"/>
      <c r="R20" s="58"/>
      <c r="S20" s="58"/>
    </row>
    <row r="21" s="1" customFormat="1" spans="1:19">
      <c r="A21" s="6"/>
      <c r="B21" s="18" t="s">
        <v>76</v>
      </c>
      <c r="C21" s="6" t="s">
        <v>72</v>
      </c>
      <c r="D21" s="6"/>
      <c r="E21" s="6"/>
      <c r="F21" s="6"/>
      <c r="G21" s="6"/>
      <c r="H21" s="13"/>
      <c r="I21" s="40"/>
      <c r="J21" s="6"/>
      <c r="K21" s="6"/>
      <c r="L21" s="13"/>
      <c r="M21" s="6"/>
      <c r="N21" s="6"/>
      <c r="O21" s="43">
        <v>9412.27</v>
      </c>
      <c r="P21" s="13"/>
      <c r="Q21" s="13"/>
      <c r="R21" s="58"/>
      <c r="S21" s="58"/>
    </row>
    <row r="22" s="1" customFormat="1" spans="1:19">
      <c r="A22" s="6"/>
      <c r="B22" s="18" t="s">
        <v>77</v>
      </c>
      <c r="C22" s="6" t="s">
        <v>72</v>
      </c>
      <c r="D22" s="6"/>
      <c r="E22" s="6"/>
      <c r="F22" s="6"/>
      <c r="G22" s="6"/>
      <c r="H22" s="13"/>
      <c r="I22" s="40"/>
      <c r="J22" s="6"/>
      <c r="K22" s="6"/>
      <c r="L22" s="13"/>
      <c r="M22" s="6"/>
      <c r="N22" s="6"/>
      <c r="O22" s="43">
        <v>9402.83</v>
      </c>
      <c r="P22" s="13"/>
      <c r="Q22" s="13"/>
      <c r="R22" s="58"/>
      <c r="S22" s="58"/>
    </row>
    <row r="23" s="1" customFormat="1" spans="1:19">
      <c r="A23" s="6"/>
      <c r="B23" s="18" t="s">
        <v>78</v>
      </c>
      <c r="C23" s="6" t="s">
        <v>72</v>
      </c>
      <c r="D23" s="6"/>
      <c r="E23" s="6"/>
      <c r="F23" s="6"/>
      <c r="G23" s="6"/>
      <c r="H23" s="13"/>
      <c r="I23" s="40"/>
      <c r="J23" s="6"/>
      <c r="K23" s="6"/>
      <c r="L23" s="13"/>
      <c r="M23" s="6"/>
      <c r="N23" s="6"/>
      <c r="O23" s="43">
        <v>9786.39</v>
      </c>
      <c r="P23" s="13"/>
      <c r="Q23" s="13"/>
      <c r="R23" s="58"/>
      <c r="S23" s="58"/>
    </row>
    <row r="24" spans="1:19">
      <c r="A24" s="6"/>
      <c r="B24" s="19" t="s">
        <v>79</v>
      </c>
      <c r="C24" s="7" t="s">
        <v>72</v>
      </c>
      <c r="D24" s="7"/>
      <c r="E24" s="7"/>
      <c r="F24" s="7"/>
      <c r="G24" s="7"/>
      <c r="H24" s="20"/>
      <c r="I24" s="44"/>
      <c r="J24" s="7"/>
      <c r="K24" s="7"/>
      <c r="L24" s="13"/>
      <c r="M24" s="7"/>
      <c r="N24" s="7"/>
      <c r="O24" s="45">
        <v>8777.42</v>
      </c>
      <c r="P24" s="13"/>
      <c r="Q24" s="13"/>
      <c r="R24" s="58"/>
      <c r="S24" s="58"/>
    </row>
    <row r="25" spans="1:19">
      <c r="A25" s="6"/>
      <c r="B25" s="18" t="s">
        <v>80</v>
      </c>
      <c r="C25" s="7" t="s">
        <v>72</v>
      </c>
      <c r="D25" s="6"/>
      <c r="E25" s="6"/>
      <c r="F25" s="6"/>
      <c r="G25" s="6"/>
      <c r="H25" s="13"/>
      <c r="I25" s="40"/>
      <c r="J25" s="6"/>
      <c r="K25" s="6"/>
      <c r="L25" s="13"/>
      <c r="M25" s="6"/>
      <c r="N25" s="6"/>
      <c r="O25" s="13">
        <v>254.19</v>
      </c>
      <c r="P25" s="13"/>
      <c r="Q25" s="13"/>
      <c r="R25" s="58"/>
      <c r="S25" s="58"/>
    </row>
    <row r="26" s="1" customFormat="1" spans="1:19">
      <c r="A26" s="7"/>
      <c r="B26" s="19" t="s">
        <v>81</v>
      </c>
      <c r="C26" s="7" t="s">
        <v>72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46">
        <v>353.81</v>
      </c>
      <c r="P26" s="20"/>
      <c r="Q26" s="20"/>
      <c r="R26" s="21"/>
      <c r="S26" s="21"/>
    </row>
    <row r="27" s="1" customFormat="1" spans="1:19">
      <c r="A27" s="14"/>
      <c r="B27" s="14" t="s">
        <v>70</v>
      </c>
      <c r="C27" s="14"/>
      <c r="D27" s="14"/>
      <c r="E27" s="14"/>
      <c r="F27" s="14"/>
      <c r="G27" s="14"/>
      <c r="H27" s="15"/>
      <c r="I27" s="41"/>
      <c r="J27" s="14"/>
      <c r="K27" s="14"/>
      <c r="L27" s="15"/>
      <c r="M27" s="14"/>
      <c r="N27" s="14"/>
      <c r="O27" s="15">
        <f>SUM(O17:O26)</f>
        <v>64336.93</v>
      </c>
      <c r="P27" s="15"/>
      <c r="Q27" s="15"/>
      <c r="R27" s="59">
        <f>7*0.7</f>
        <v>4.9</v>
      </c>
      <c r="S27" s="60">
        <f>R27*O27</f>
        <v>315250.957</v>
      </c>
    </row>
    <row r="28" s="1" customFormat="1" ht="24" customHeight="1" spans="1:19">
      <c r="A28" s="14"/>
      <c r="B28" s="14" t="s">
        <v>82</v>
      </c>
      <c r="C28" s="14"/>
      <c r="D28" s="14"/>
      <c r="E28" s="14"/>
      <c r="F28" s="14"/>
      <c r="G28" s="14"/>
      <c r="H28" s="15"/>
      <c r="I28" s="41"/>
      <c r="J28" s="14"/>
      <c r="K28" s="14"/>
      <c r="L28" s="15"/>
      <c r="M28" s="14"/>
      <c r="N28" s="14"/>
      <c r="O28" s="15">
        <f>O27+O16</f>
        <v>120537.6</v>
      </c>
      <c r="P28" s="15"/>
      <c r="Q28" s="15"/>
      <c r="R28" s="59"/>
      <c r="S28" s="60">
        <f>S27+S16</f>
        <v>708655.647</v>
      </c>
    </row>
    <row r="29" s="1" customFormat="1" spans="1:19">
      <c r="A29" s="6" t="s">
        <v>83</v>
      </c>
      <c r="B29" s="6" t="s">
        <v>84</v>
      </c>
      <c r="C29" s="6"/>
      <c r="D29" s="6"/>
      <c r="E29" s="6"/>
      <c r="F29" s="6"/>
      <c r="G29" s="6"/>
      <c r="H29" s="22"/>
      <c r="I29" s="22"/>
      <c r="J29" s="22"/>
      <c r="K29" s="22"/>
      <c r="L29" s="22"/>
      <c r="M29" s="22"/>
      <c r="N29" s="22"/>
      <c r="O29" s="47">
        <f>SUM(O4:O15)</f>
        <v>56200.67</v>
      </c>
      <c r="P29" s="22"/>
      <c r="Q29" s="22"/>
      <c r="R29" s="58"/>
      <c r="S29" s="58"/>
    </row>
    <row r="30" s="1" customFormat="1" ht="15" spans="1:19">
      <c r="A30" s="6">
        <v>3</v>
      </c>
      <c r="B30" s="16" t="s">
        <v>71</v>
      </c>
      <c r="C30" s="6" t="s">
        <v>85</v>
      </c>
      <c r="D30" s="6" t="s">
        <v>43</v>
      </c>
      <c r="E30" s="23" t="s">
        <v>51</v>
      </c>
      <c r="F30" s="6"/>
      <c r="G30" s="6"/>
      <c r="H30" s="13">
        <v>33</v>
      </c>
      <c r="I30" s="6">
        <v>565.38</v>
      </c>
      <c r="J30" s="48">
        <v>7228</v>
      </c>
      <c r="K30" s="49"/>
      <c r="L30" s="50"/>
      <c r="M30" s="6"/>
      <c r="N30" s="50"/>
      <c r="O30" s="51">
        <f>J30+K30</f>
        <v>7228</v>
      </c>
      <c r="P30" s="23">
        <f t="shared" ref="P30:P37" si="2">O30</f>
        <v>7228</v>
      </c>
      <c r="Q30" s="23">
        <f t="shared" ref="Q30:Q37" si="3">J30+K30</f>
        <v>7228</v>
      </c>
      <c r="R30" s="58"/>
      <c r="S30" s="58"/>
    </row>
    <row r="31" s="1" customFormat="1" ht="15" spans="1:19">
      <c r="A31" s="6">
        <v>4</v>
      </c>
      <c r="B31" s="16" t="s">
        <v>73</v>
      </c>
      <c r="C31" s="6" t="s">
        <v>86</v>
      </c>
      <c r="D31" s="6" t="s">
        <v>43</v>
      </c>
      <c r="E31" s="23" t="s">
        <v>51</v>
      </c>
      <c r="F31" s="6"/>
      <c r="G31" s="6"/>
      <c r="H31" s="13">
        <v>33</v>
      </c>
      <c r="I31" s="6">
        <v>532.98</v>
      </c>
      <c r="J31" s="48">
        <v>6552</v>
      </c>
      <c r="K31" s="49"/>
      <c r="L31" s="50"/>
      <c r="M31" s="6"/>
      <c r="N31" s="50"/>
      <c r="O31" s="51">
        <f t="shared" ref="O31:O33" si="4">K31+J31</f>
        <v>6552</v>
      </c>
      <c r="P31" s="23">
        <f t="shared" si="2"/>
        <v>6552</v>
      </c>
      <c r="Q31" s="23">
        <f t="shared" si="3"/>
        <v>6552</v>
      </c>
      <c r="R31" s="58"/>
      <c r="S31" s="58"/>
    </row>
    <row r="32" s="3" customFormat="1" ht="15" spans="1:19">
      <c r="A32" s="6">
        <v>5</v>
      </c>
      <c r="B32" s="17" t="s">
        <v>74</v>
      </c>
      <c r="C32" s="6" t="s">
        <v>87</v>
      </c>
      <c r="D32" s="6" t="s">
        <v>47</v>
      </c>
      <c r="E32" s="6" t="s">
        <v>51</v>
      </c>
      <c r="F32" s="24">
        <v>103</v>
      </c>
      <c r="G32" s="24">
        <v>10.3</v>
      </c>
      <c r="H32" s="13">
        <v>38.7</v>
      </c>
      <c r="I32" s="6">
        <v>551.47</v>
      </c>
      <c r="J32" s="48">
        <v>7228</v>
      </c>
      <c r="K32" s="49"/>
      <c r="L32" s="50"/>
      <c r="M32" s="6"/>
      <c r="N32" s="50"/>
      <c r="O32" s="51">
        <f t="shared" si="4"/>
        <v>7228</v>
      </c>
      <c r="P32" s="52">
        <f t="shared" si="2"/>
        <v>7228</v>
      </c>
      <c r="Q32" s="23">
        <f t="shared" si="3"/>
        <v>7228</v>
      </c>
      <c r="R32" s="61"/>
      <c r="S32" s="61"/>
    </row>
    <row r="33" s="1" customFormat="1" ht="15" spans="1:19">
      <c r="A33" s="6">
        <v>6</v>
      </c>
      <c r="B33" s="17" t="s">
        <v>75</v>
      </c>
      <c r="C33" s="6" t="s">
        <v>88</v>
      </c>
      <c r="D33" s="6" t="s">
        <v>47</v>
      </c>
      <c r="E33" s="6" t="s">
        <v>51</v>
      </c>
      <c r="F33" s="6"/>
      <c r="G33" s="6"/>
      <c r="H33" s="13">
        <v>38.7</v>
      </c>
      <c r="I33" s="6">
        <v>539.06</v>
      </c>
      <c r="J33" s="48">
        <v>6942</v>
      </c>
      <c r="K33" s="49"/>
      <c r="L33" s="50"/>
      <c r="M33" s="6"/>
      <c r="N33" s="50"/>
      <c r="O33" s="51">
        <f t="shared" si="4"/>
        <v>6942</v>
      </c>
      <c r="P33" s="52">
        <f t="shared" si="2"/>
        <v>6942</v>
      </c>
      <c r="Q33" s="23">
        <f t="shared" si="3"/>
        <v>6942</v>
      </c>
      <c r="R33" s="58"/>
      <c r="S33" s="58"/>
    </row>
    <row r="34" s="1" customFormat="1" ht="15" spans="1:19">
      <c r="A34" s="6">
        <v>11</v>
      </c>
      <c r="B34" s="18" t="s">
        <v>76</v>
      </c>
      <c r="C34" s="6" t="s">
        <v>62</v>
      </c>
      <c r="D34" s="6" t="s">
        <v>47</v>
      </c>
      <c r="E34" s="23" t="s">
        <v>51</v>
      </c>
      <c r="F34" s="25">
        <v>42</v>
      </c>
      <c r="G34" s="25">
        <v>17.4</v>
      </c>
      <c r="H34" s="13">
        <v>53.45</v>
      </c>
      <c r="I34" s="13">
        <v>526.96</v>
      </c>
      <c r="J34" s="53">
        <f>6880.52</f>
        <v>6880.52</v>
      </c>
      <c r="K34" s="54"/>
      <c r="L34" s="23">
        <v>217.48</v>
      </c>
      <c r="M34" s="50"/>
      <c r="N34" s="50"/>
      <c r="O34" s="51">
        <f>K34+J34+L34</f>
        <v>7098</v>
      </c>
      <c r="P34" s="52">
        <f t="shared" si="2"/>
        <v>7098</v>
      </c>
      <c r="Q34" s="23">
        <f t="shared" si="3"/>
        <v>6880.52</v>
      </c>
      <c r="R34" s="58"/>
      <c r="S34" s="58"/>
    </row>
    <row r="35" s="4" customFormat="1" ht="15" spans="1:19">
      <c r="A35" s="6">
        <v>12</v>
      </c>
      <c r="B35" s="18" t="s">
        <v>77</v>
      </c>
      <c r="C35" s="6" t="s">
        <v>62</v>
      </c>
      <c r="D35" s="6" t="s">
        <v>47</v>
      </c>
      <c r="E35" s="23" t="s">
        <v>60</v>
      </c>
      <c r="F35" s="26">
        <v>115</v>
      </c>
      <c r="G35" s="26">
        <v>10.1</v>
      </c>
      <c r="H35" s="13">
        <v>53.45</v>
      </c>
      <c r="I35" s="13">
        <v>523.11</v>
      </c>
      <c r="J35" s="53">
        <f>9615.97</f>
        <v>9615.97</v>
      </c>
      <c r="K35" s="54"/>
      <c r="L35" s="23">
        <v>353.81</v>
      </c>
      <c r="M35" s="50"/>
      <c r="N35" s="50"/>
      <c r="O35" s="51">
        <f>K35+J35+L35</f>
        <v>9969.78</v>
      </c>
      <c r="P35" s="52">
        <f t="shared" si="2"/>
        <v>9969.78</v>
      </c>
      <c r="Q35" s="23">
        <f t="shared" si="3"/>
        <v>9615.97</v>
      </c>
      <c r="R35" s="62"/>
      <c r="S35" s="62"/>
    </row>
    <row r="36" s="1" customFormat="1" ht="15" spans="1:19">
      <c r="A36" s="6">
        <v>13</v>
      </c>
      <c r="B36" s="18" t="s">
        <v>78</v>
      </c>
      <c r="C36" s="6" t="s">
        <v>59</v>
      </c>
      <c r="D36" s="6" t="s">
        <v>43</v>
      </c>
      <c r="E36" s="23" t="s">
        <v>60</v>
      </c>
      <c r="F36" s="27">
        <v>68</v>
      </c>
      <c r="G36" s="27">
        <v>10.3</v>
      </c>
      <c r="H36" s="13">
        <v>53.45</v>
      </c>
      <c r="I36" s="6">
        <v>543.09</v>
      </c>
      <c r="J36" s="48">
        <v>9936</v>
      </c>
      <c r="K36" s="49"/>
      <c r="L36" s="6">
        <v>212.03</v>
      </c>
      <c r="M36" s="6"/>
      <c r="N36" s="6"/>
      <c r="O36" s="51">
        <f>K36+J36+L36</f>
        <v>10148.03</v>
      </c>
      <c r="P36" s="52">
        <f t="shared" si="2"/>
        <v>10148.03</v>
      </c>
      <c r="Q36" s="23">
        <f t="shared" si="3"/>
        <v>9936</v>
      </c>
      <c r="R36" s="58"/>
      <c r="S36" s="58"/>
    </row>
    <row r="37" s="1" customFormat="1" spans="1:19">
      <c r="A37" s="6">
        <v>19</v>
      </c>
      <c r="B37" s="18" t="s">
        <v>79</v>
      </c>
      <c r="C37" s="6" t="s">
        <v>65</v>
      </c>
      <c r="D37" s="6" t="s">
        <v>43</v>
      </c>
      <c r="E37" s="6" t="s">
        <v>60</v>
      </c>
      <c r="F37" s="27">
        <v>68</v>
      </c>
      <c r="G37" s="27">
        <v>12.7</v>
      </c>
      <c r="H37" s="13">
        <v>53.55</v>
      </c>
      <c r="I37" s="40">
        <v>486.3</v>
      </c>
      <c r="J37" s="48">
        <v>8777.42</v>
      </c>
      <c r="K37" s="49"/>
      <c r="L37" s="23">
        <v>254.19</v>
      </c>
      <c r="M37" s="6"/>
      <c r="N37" s="6"/>
      <c r="O37" s="55">
        <f>K37+J37+L37+N37</f>
        <v>9031.61</v>
      </c>
      <c r="P37" s="52">
        <f t="shared" si="2"/>
        <v>9031.61</v>
      </c>
      <c r="Q37" s="23">
        <f t="shared" si="3"/>
        <v>8777.42</v>
      </c>
      <c r="R37" s="58"/>
      <c r="S37" s="58"/>
    </row>
    <row r="38" s="1" customFormat="1" ht="26.1" customHeight="1" spans="1:19">
      <c r="A38" s="6">
        <v>20</v>
      </c>
      <c r="B38" s="6" t="s">
        <v>70</v>
      </c>
      <c r="C38" s="6"/>
      <c r="D38" s="6"/>
      <c r="E38" s="6"/>
      <c r="F38" s="6"/>
      <c r="G38" s="6"/>
      <c r="H38" s="22"/>
      <c r="I38" s="22"/>
      <c r="J38" s="22"/>
      <c r="K38" s="22"/>
      <c r="L38" s="22"/>
      <c r="M38" s="22"/>
      <c r="N38" s="22"/>
      <c r="O38" s="47">
        <f>SUM(O30:O37)</f>
        <v>64197.42</v>
      </c>
      <c r="P38" s="22"/>
      <c r="Q38" s="22"/>
      <c r="R38" s="63" t="s">
        <v>89</v>
      </c>
      <c r="S38" s="63">
        <v>500000</v>
      </c>
    </row>
    <row r="39" s="1" customFormat="1" ht="45" customHeight="1" spans="1:20">
      <c r="A39" s="6">
        <v>24</v>
      </c>
      <c r="B39" s="6" t="s">
        <v>82</v>
      </c>
      <c r="C39" s="6"/>
      <c r="D39" s="6"/>
      <c r="E39" s="6"/>
      <c r="F39" s="6"/>
      <c r="G39" s="6">
        <f>F32*G32+F10*G10</f>
        <v>2570.2</v>
      </c>
      <c r="H39" s="22"/>
      <c r="I39" s="22">
        <f>SUM(I4:I15)</f>
        <v>7391.94</v>
      </c>
      <c r="J39" s="22">
        <f>SUM(J5:J15)</f>
        <v>67517.05</v>
      </c>
      <c r="K39" s="22">
        <f>SUM(K4:K15)</f>
        <v>1889.03</v>
      </c>
      <c r="L39" s="22">
        <f>SUM(L4:L15)</f>
        <v>3733.9</v>
      </c>
      <c r="M39" s="22"/>
      <c r="N39" s="22">
        <f>SUM(N4:N37)</f>
        <v>0</v>
      </c>
      <c r="O39" s="47">
        <f>O38+O29</f>
        <v>120398.09</v>
      </c>
      <c r="P39" s="22"/>
      <c r="Q39" s="22"/>
      <c r="R39" s="58"/>
      <c r="S39" s="64">
        <f>S38+S28</f>
        <v>1208655.647</v>
      </c>
      <c r="T39" s="65" t="s">
        <v>90</v>
      </c>
    </row>
    <row r="41" s="1" customFormat="1" spans="9:9">
      <c r="I41" s="56"/>
    </row>
    <row r="42" s="1" customFormat="1" spans="9:9">
      <c r="I42" s="56"/>
    </row>
    <row r="43" s="1" customFormat="1" spans="9:9">
      <c r="I43" s="56"/>
    </row>
    <row r="44" s="1" customFormat="1" spans="9:9">
      <c r="I44" s="56"/>
    </row>
    <row r="45" s="1" customFormat="1" spans="9:9">
      <c r="I45" s="56"/>
    </row>
    <row r="46" s="1" customFormat="1" spans="9:9">
      <c r="I46" s="56"/>
    </row>
    <row r="47" s="1" customFormat="1" spans="9:9">
      <c r="I47" s="56"/>
    </row>
    <row r="48" s="1" customFormat="1" spans="9:9">
      <c r="I48" s="56"/>
    </row>
    <row r="49" s="1" customFormat="1" spans="9:9">
      <c r="I49" s="56"/>
    </row>
    <row r="50" s="1" customFormat="1" spans="9:9">
      <c r="I50" s="56"/>
    </row>
    <row r="51" s="1" customFormat="1" spans="9:9">
      <c r="I51" s="56"/>
    </row>
    <row r="52" s="1" customFormat="1" spans="9:9">
      <c r="I52" s="56"/>
    </row>
    <row r="53" s="1" customFormat="1" spans="9:9">
      <c r="I53" s="56"/>
    </row>
    <row r="54" s="1" customFormat="1" spans="9:9">
      <c r="I54" s="56"/>
    </row>
    <row r="55" s="1" customFormat="1" spans="9:9">
      <c r="I55" s="56"/>
    </row>
    <row r="56" s="1" customFormat="1" spans="9:9">
      <c r="I56" s="56"/>
    </row>
    <row r="57" s="1" customFormat="1" spans="9:9">
      <c r="I57" s="56"/>
    </row>
    <row r="58" s="1" customFormat="1" spans="9:9">
      <c r="I58" s="56"/>
    </row>
    <row r="59" s="1" customFormat="1" spans="9:9">
      <c r="I59" s="56"/>
    </row>
    <row r="60" s="1" customFormat="1" spans="9:9">
      <c r="I60" s="56"/>
    </row>
    <row r="61" s="1" customFormat="1" spans="9:9">
      <c r="I61" s="56"/>
    </row>
  </sheetData>
  <mergeCells count="32">
    <mergeCell ref="A1:S1"/>
    <mergeCell ref="J9:K9"/>
    <mergeCell ref="J10:K10"/>
    <mergeCell ref="J11:K11"/>
    <mergeCell ref="J12:K12"/>
    <mergeCell ref="J13:K13"/>
    <mergeCell ref="J14:K14"/>
    <mergeCell ref="J30:K30"/>
    <mergeCell ref="J31:K31"/>
    <mergeCell ref="J32:K32"/>
    <mergeCell ref="J33:K33"/>
    <mergeCell ref="J34:K34"/>
    <mergeCell ref="J35:K35"/>
    <mergeCell ref="J36:K36"/>
    <mergeCell ref="J37:K37"/>
    <mergeCell ref="A2:A3"/>
    <mergeCell ref="B2:B3"/>
    <mergeCell ref="C2:C3"/>
    <mergeCell ref="D2:D3"/>
    <mergeCell ref="E2:E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分析表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张磊</cp:lastModifiedBy>
  <dcterms:created xsi:type="dcterms:W3CDTF">2025-03-28T02:22:00Z</dcterms:created>
  <dcterms:modified xsi:type="dcterms:W3CDTF">2025-04-09T01:28:36Z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9E4D1A940A004CDB9495BA9DF1DB6E97_13</vt:lpwstr>
  </property>
  <property fmtid="{D5CDD505-2E9C-101B-9397-08002B2CF9AE}" pid="3" name="KSOProductBuildVer">
    <vt:lpwstr>2052-12.1.0.20784</vt:lpwstr>
  </property>
</Properties>
</file>