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28" windowHeight="13020"/>
  </bookViews>
  <sheets>
    <sheet name="汇总表" sheetId="23" r:id="rId1"/>
    <sheet name="门窗工程清单" sheetId="20" r:id="rId2"/>
    <sheet name="栏杆工程" sheetId="22" r:id="rId3"/>
    <sheet name="工程量统计" sheetId="1" r:id="rId4"/>
    <sheet name="材料单价" sheetId="4" state="hidden" r:id="rId5"/>
    <sheet name="C0915上悬" sheetId="2" r:id="rId6"/>
    <sheet name="C0715上悬" sheetId="5" r:id="rId7"/>
    <sheet name="C0815上悬" sheetId="6" r:id="rId8"/>
    <sheet name="NC1515防火 " sheetId="12" r:id="rId9"/>
    <sheet name="NPC2023防火" sheetId="8" r:id="rId10"/>
    <sheet name="NC1815防火" sheetId="13" r:id="rId11"/>
    <sheet name="C2723平开" sheetId="9" r:id="rId12"/>
    <sheet name="C2923平开" sheetId="10" r:id="rId13"/>
    <sheet name="YTFC2平开" sheetId="11" r:id="rId14"/>
    <sheet name="C1815平开" sheetId="14" r:id="rId15"/>
    <sheet name="YTC3固定" sheetId="15" r:id="rId16"/>
    <sheet name="C1215平开" sheetId="16" r:id="rId17"/>
    <sheet name="C1524平开" sheetId="17" r:id="rId18"/>
    <sheet name="YTFC1平开" sheetId="18" r:id="rId19"/>
    <sheet name="ZJC3323平开" sheetId="19" r:id="rId20"/>
  </sheets>
  <definedNames>
    <definedName name="_xlnm.Print_Area" localSheetId="3">工程量统计!$A$1:$L$22</definedName>
    <definedName name="_xlnm.Print_Area" localSheetId="5">'C0915上悬'!$A$1:$I$36</definedName>
    <definedName name="_xlnm.Print_Area" localSheetId="6">'C0715上悬'!$A$1:$I$36</definedName>
    <definedName name="_xlnm.Print_Area" localSheetId="9">NPC2023防火!$A$1:$I$37</definedName>
    <definedName name="_xlnm.Print_Area" localSheetId="8">'NC1515防火 '!$A$1:$I$37</definedName>
    <definedName name="_xlnm.Print_Area" localSheetId="10">NC1815防火!$A$1:$I$37</definedName>
    <definedName name="_xlnm.Print_Area" localSheetId="11">'C2723平开'!$A$1:$I$37</definedName>
    <definedName name="_xlnm.Print_Area" localSheetId="12">'C2923平开'!$A$1:$I$37</definedName>
    <definedName name="_xlnm.Print_Area" localSheetId="13">YTFC2平开!$A$1:$I$37</definedName>
    <definedName name="_xlnm.Print_Area" localSheetId="14">'C1815平开'!$A$1:$I$37</definedName>
    <definedName name="_xlnm.Print_Area" localSheetId="15">YTC3固定!$A$1:$I$37</definedName>
    <definedName name="_xlnm.Print_Area" localSheetId="16">'C1215平开'!$A$1:$I$37</definedName>
    <definedName name="_xlnm.Print_Area" localSheetId="17">'C1524平开'!$A$1:$I$37</definedName>
    <definedName name="_xlnm.Print_Area" localSheetId="18">YTFC1平开!$A$1:$I$38</definedName>
    <definedName name="_xlnm.Print_Area" localSheetId="19">ZJC3323平开!$A$1:$I$37</definedName>
    <definedName name="_xlnm.Print_Area" localSheetId="1">门窗工程清单!$A$1:$H$23</definedName>
    <definedName name="_xlnm.Print_Area" localSheetId="7">'C0815上悬'!$A$1:$I$36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<sst xmlns="http://schemas.openxmlformats.org/spreadsheetml/2006/main" count="1650" uniqueCount="143">
  <si>
    <t>天逸样板门窗及栏杆工程造价汇总表</t>
  </si>
  <si>
    <t>序号</t>
  </si>
  <si>
    <t>项目名称</t>
  </si>
  <si>
    <t>合价</t>
  </si>
  <si>
    <t>备注</t>
  </si>
  <si>
    <t>门窗</t>
  </si>
  <si>
    <t>栏杆</t>
  </si>
  <si>
    <t>合计</t>
  </si>
  <si>
    <t>天逸样板门窗工程造价汇总表</t>
  </si>
  <si>
    <t>门窗面积
（m2）</t>
  </si>
  <si>
    <t>不含增值税综合单价(元/m2)</t>
  </si>
  <si>
    <t>增值税税率
（9%）</t>
  </si>
  <si>
    <t>含税综合单价</t>
  </si>
  <si>
    <t>含税合价(元)</t>
  </si>
  <si>
    <t>①</t>
  </si>
  <si>
    <t>②</t>
  </si>
  <si>
    <t>③</t>
  </si>
  <si>
    <r>
      <rPr>
        <sz val="10"/>
        <rFont val="Calibri"/>
        <charset val="134"/>
      </rPr>
      <t>④</t>
    </r>
    <r>
      <rPr>
        <sz val="10"/>
        <rFont val="宋体"/>
        <charset val="134"/>
      </rPr>
      <t>=</t>
    </r>
    <r>
      <rPr>
        <sz val="10"/>
        <rFont val="Calibri"/>
        <charset val="134"/>
      </rPr>
      <t>①*②*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1+③</t>
    </r>
    <r>
      <rPr>
        <sz val="10"/>
        <rFont val="宋体"/>
        <charset val="134"/>
      </rPr>
      <t>）</t>
    </r>
  </si>
  <si>
    <t>上悬窗</t>
  </si>
  <si>
    <t>C0915</t>
  </si>
  <si>
    <t>C0715</t>
  </si>
  <si>
    <t>C0815</t>
  </si>
  <si>
    <t>外开窗</t>
  </si>
  <si>
    <t>NC1515</t>
  </si>
  <si>
    <t>ZJC3323</t>
  </si>
  <si>
    <t>NPC2023</t>
  </si>
  <si>
    <t>C2723</t>
  </si>
  <si>
    <t>C2923</t>
  </si>
  <si>
    <t>C1815</t>
  </si>
  <si>
    <t>NC1815</t>
  </si>
  <si>
    <t>YTFC1</t>
  </si>
  <si>
    <t>YTFC2</t>
  </si>
  <si>
    <t>C1215</t>
  </si>
  <si>
    <t>C1524</t>
  </si>
  <si>
    <t>固定窗</t>
  </si>
  <si>
    <t>YTFC3</t>
  </si>
  <si>
    <t>汇总</t>
  </si>
  <si>
    <t>备注：按照10.14铝锭价20750元/T</t>
  </si>
  <si>
    <t>天逸样板栏杆工程造价汇总表</t>
  </si>
  <si>
    <t>栏杆长度
（m）</t>
  </si>
  <si>
    <t>护窗栏杆</t>
  </si>
  <si>
    <t>天逸样板间门窗尺寸三方确认单</t>
  </si>
  <si>
    <t>楼栋</t>
  </si>
  <si>
    <t>窗型</t>
  </si>
  <si>
    <t>窗号</t>
  </si>
  <si>
    <t>洞口尺寸</t>
  </si>
  <si>
    <t>粉刷完成尺寸</t>
  </si>
  <si>
    <t>窗框加工尺寸</t>
  </si>
  <si>
    <t>数量</t>
  </si>
  <si>
    <t>宽（mm）</t>
  </si>
  <si>
    <t>高（mm）</t>
  </si>
  <si>
    <t>样板间</t>
  </si>
  <si>
    <t>60系列断桥
上悬窗</t>
  </si>
  <si>
    <t>60系列断桥
外平开窗</t>
  </si>
  <si>
    <t>2600+720</t>
  </si>
  <si>
    <t>2610+710</t>
  </si>
  <si>
    <t>2600+700</t>
  </si>
  <si>
    <t>6270+1350</t>
  </si>
  <si>
    <t>6250+1330</t>
  </si>
  <si>
    <t>6240+1320</t>
  </si>
  <si>
    <t>60系列断桥
固定窗</t>
  </si>
  <si>
    <t>名称</t>
  </si>
  <si>
    <t>单位</t>
  </si>
  <si>
    <t>不含税</t>
  </si>
  <si>
    <t>5low-e+12A+5+12A+5钢化防火中空玻璃</t>
  </si>
  <si>
    <t>㎡</t>
  </si>
  <si>
    <t>8low-e+12A+8+12A+8钢化防火中空玻璃</t>
  </si>
  <si>
    <t>5low-e+12A+5+12A+5钢化中空玻璃</t>
  </si>
  <si>
    <t>5low-e+12A+5+12A+5中空玻璃</t>
  </si>
  <si>
    <t>6low-e+12A+6+12A+6钢化中空玻璃</t>
  </si>
  <si>
    <t>5+0.76pvb+5Low-E+12A+5+0.76pvb+5钢化中空玻璃</t>
  </si>
  <si>
    <t>8low-e+12A+8+12A+8钢化中空玻璃</t>
  </si>
  <si>
    <t>粉末喷涂铝型材断桥铝型材</t>
  </si>
  <si>
    <t>kg</t>
  </si>
  <si>
    <t>粉末喷涂铝型材普通铝型材</t>
  </si>
  <si>
    <t>素铝型材</t>
  </si>
  <si>
    <t>上悬窗五金</t>
  </si>
  <si>
    <t>套</t>
  </si>
  <si>
    <t>平开窗五金</t>
  </si>
  <si>
    <t>密封胶</t>
  </si>
  <si>
    <t>支</t>
  </si>
  <si>
    <t>聚氨酯发泡剂</t>
  </si>
  <si>
    <t>三元乙丙胶条</t>
  </si>
  <si>
    <t>m</t>
  </si>
  <si>
    <t>门窗单价分析表</t>
  </si>
  <si>
    <t>系列分类</t>
  </si>
  <si>
    <t>60系列断桥</t>
  </si>
  <si>
    <t>深化图</t>
  </si>
  <si>
    <t>门窗编号</t>
  </si>
  <si>
    <t>开启方式</t>
  </si>
  <si>
    <t>外开上悬窗</t>
  </si>
  <si>
    <t>洞口宽
（mm)</t>
  </si>
  <si>
    <t>洞口高度
（mm)</t>
  </si>
  <si>
    <t>单樘面积</t>
  </si>
  <si>
    <t>洞口面积
（㎡）</t>
  </si>
  <si>
    <t>外框面积（㎡）</t>
  </si>
  <si>
    <t>构件名称</t>
  </si>
  <si>
    <t>每平米消耗量</t>
  </si>
  <si>
    <t>损耗</t>
  </si>
  <si>
    <t>单价（元/单位）</t>
  </si>
  <si>
    <t>合价（元/m2）</t>
  </si>
  <si>
    <t>品种、规格、产地</t>
  </si>
  <si>
    <t>型材</t>
  </si>
  <si>
    <t>kg/m2</t>
  </si>
  <si>
    <t>兴发、南山、凤铝</t>
  </si>
  <si>
    <t>钢衬（热镀锌）</t>
  </si>
  <si>
    <t>五金</t>
  </si>
  <si>
    <t>坚朗、国强</t>
  </si>
  <si>
    <t>玻璃</t>
  </si>
  <si>
    <t>m2</t>
  </si>
  <si>
    <t>北玻、南玻、信义（原片）</t>
  </si>
  <si>
    <t>密封材料</t>
  </si>
  <si>
    <t>按外框面积</t>
  </si>
  <si>
    <t>中性硅酮耐候胶</t>
  </si>
  <si>
    <t>广州白云、之江、成都硅宝</t>
  </si>
  <si>
    <t>北京斯科瑞、中天氟硅、广州安泰</t>
  </si>
  <si>
    <t>组角结构胶</t>
  </si>
  <si>
    <t>防水砂浆塞缝</t>
  </si>
  <si>
    <t>辅材及其他</t>
  </si>
  <si>
    <t>浙江新安东、江阴海达、开封龙亭</t>
  </si>
  <si>
    <t>毛条</t>
  </si>
  <si>
    <t>组角钢片</t>
  </si>
  <si>
    <t>个</t>
  </si>
  <si>
    <t>固定片</t>
  </si>
  <si>
    <t>其他（螺钉、工艺盖等）-铝合金窗</t>
  </si>
  <si>
    <t>加工制作费-铝合金窗</t>
  </si>
  <si>
    <t>现场安装费-铝合金窗</t>
  </si>
  <si>
    <t>包装运输费</t>
  </si>
  <si>
    <t>水电费</t>
  </si>
  <si>
    <t>门窗检测及淋水试验</t>
  </si>
  <si>
    <t>成品保护费</t>
  </si>
  <si>
    <t>直接费小计</t>
  </si>
  <si>
    <t>元</t>
  </si>
  <si>
    <t>（1+2+…+11)</t>
  </si>
  <si>
    <t>按外框面积综合单价（元/㎡）</t>
  </si>
  <si>
    <t>管理费、利润</t>
  </si>
  <si>
    <t>(12)× 8.5 %</t>
  </si>
  <si>
    <t>不含税综合单价</t>
  </si>
  <si>
    <t>(12+13)</t>
  </si>
  <si>
    <t>耐火窗</t>
  </si>
  <si>
    <t>外平开窗</t>
  </si>
  <si>
    <t>平开窗</t>
  </si>
  <si>
    <t>只有一块，损耗较大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</si>
</sst>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sz val="1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10" fontId="1" fillId="2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 wrapText="1"/>
    </xf>
    <xf numFmtId="9" fontId="10" fillId="5" borderId="1" xfId="3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76" fontId="11" fillId="6" borderId="1" xfId="0" applyNumberFormat="1" applyFon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 wrapText="1"/>
    </xf>
    <xf numFmtId="10" fontId="7" fillId="6" borderId="1" xfId="0" applyNumberFormat="1" applyFont="1" applyFill="1" applyBorder="1" applyAlignment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167640</xdr:colOff>
      <xdr:row>1</xdr:row>
      <xdr:rowOff>37465</xdr:rowOff>
    </xdr:from>
    <xdr:to>
      <xdr:col>8</xdr:col>
      <xdr:colOff>206375</xdr:colOff>
      <xdr:row>4</xdr:row>
      <xdr:rowOff>198755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9665" y="342265"/>
          <a:ext cx="676275" cy="1002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840740</xdr:colOff>
      <xdr:row>4</xdr:row>
      <xdr:rowOff>63500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50485" y="304800"/>
          <a:ext cx="1478280" cy="904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263525</xdr:colOff>
      <xdr:row>1</xdr:row>
      <xdr:rowOff>85090</xdr:rowOff>
    </xdr:from>
    <xdr:to>
      <xdr:col>8</xdr:col>
      <xdr:colOff>587375</xdr:colOff>
      <xdr:row>4</xdr:row>
      <xdr:rowOff>120015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89890"/>
          <a:ext cx="961390" cy="875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133350</xdr:colOff>
      <xdr:row>1</xdr:row>
      <xdr:rowOff>19050</xdr:rowOff>
    </xdr:from>
    <xdr:to>
      <xdr:col>8</xdr:col>
      <xdr:colOff>746125</xdr:colOff>
      <xdr:row>4</xdr:row>
      <xdr:rowOff>101600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3835" y="323850"/>
          <a:ext cx="1250315" cy="92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115570</xdr:colOff>
      <xdr:row>1</xdr:row>
      <xdr:rowOff>114300</xdr:rowOff>
    </xdr:from>
    <xdr:to>
      <xdr:col>8</xdr:col>
      <xdr:colOff>1298575</xdr:colOff>
      <xdr:row>4</xdr:row>
      <xdr:rowOff>196850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6055" y="419100"/>
          <a:ext cx="1820545" cy="92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40640</xdr:colOff>
      <xdr:row>1</xdr:row>
      <xdr:rowOff>85090</xdr:rowOff>
    </xdr:from>
    <xdr:to>
      <xdr:col>8</xdr:col>
      <xdr:colOff>1639570</xdr:colOff>
      <xdr:row>4</xdr:row>
      <xdr:rowOff>184150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389890"/>
          <a:ext cx="2236470" cy="93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107315</xdr:colOff>
      <xdr:row>1</xdr:row>
      <xdr:rowOff>60325</xdr:rowOff>
    </xdr:from>
    <xdr:to>
      <xdr:col>8</xdr:col>
      <xdr:colOff>530860</xdr:colOff>
      <xdr:row>4</xdr:row>
      <xdr:rowOff>224155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0" y="365125"/>
          <a:ext cx="106108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140335</xdr:colOff>
      <xdr:row>1</xdr:row>
      <xdr:rowOff>168910</xdr:rowOff>
    </xdr:from>
    <xdr:to>
      <xdr:col>8</xdr:col>
      <xdr:colOff>21590</xdr:colOff>
      <xdr:row>4</xdr:row>
      <xdr:rowOff>162560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473710"/>
          <a:ext cx="518795" cy="83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56515</xdr:rowOff>
    </xdr:from>
    <xdr:to>
      <xdr:col>8</xdr:col>
      <xdr:colOff>118110</xdr:colOff>
      <xdr:row>4</xdr:row>
      <xdr:rowOff>233680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50485" y="361315"/>
          <a:ext cx="755650" cy="1017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139700</xdr:colOff>
      <xdr:row>1</xdr:row>
      <xdr:rowOff>28575</xdr:rowOff>
    </xdr:from>
    <xdr:to>
      <xdr:col>8</xdr:col>
      <xdr:colOff>590550</xdr:colOff>
      <xdr:row>4</xdr:row>
      <xdr:rowOff>176530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185" y="333375"/>
          <a:ext cx="1088390" cy="98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107315</xdr:colOff>
      <xdr:row>1</xdr:row>
      <xdr:rowOff>60325</xdr:rowOff>
    </xdr:from>
    <xdr:to>
      <xdr:col>8</xdr:col>
      <xdr:colOff>530860</xdr:colOff>
      <xdr:row>4</xdr:row>
      <xdr:rowOff>224155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0" y="365125"/>
          <a:ext cx="106108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107315</xdr:colOff>
      <xdr:row>1</xdr:row>
      <xdr:rowOff>60325</xdr:rowOff>
    </xdr:from>
    <xdr:to>
      <xdr:col>8</xdr:col>
      <xdr:colOff>530860</xdr:colOff>
      <xdr:row>4</xdr:row>
      <xdr:rowOff>224155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0" y="365125"/>
          <a:ext cx="106108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194310</xdr:colOff>
      <xdr:row>1</xdr:row>
      <xdr:rowOff>238125</xdr:rowOff>
    </xdr:from>
    <xdr:to>
      <xdr:col>8</xdr:col>
      <xdr:colOff>298450</xdr:colOff>
      <xdr:row>4</xdr:row>
      <xdr:rowOff>133985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542925"/>
          <a:ext cx="741680" cy="73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126365</xdr:colOff>
      <xdr:row>1</xdr:row>
      <xdr:rowOff>180975</xdr:rowOff>
    </xdr:from>
    <xdr:to>
      <xdr:col>8</xdr:col>
      <xdr:colOff>536575</xdr:colOff>
      <xdr:row>4</xdr:row>
      <xdr:rowOff>233045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6850" y="485775"/>
          <a:ext cx="1047750" cy="89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130175</xdr:colOff>
      <xdr:row>1</xdr:row>
      <xdr:rowOff>19050</xdr:rowOff>
    </xdr:from>
    <xdr:to>
      <xdr:col>8</xdr:col>
      <xdr:colOff>574040</xdr:colOff>
      <xdr:row>4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660" y="323850"/>
          <a:ext cx="1081405" cy="1001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7" sqref="E7"/>
    </sheetView>
  </sheetViews>
  <sheetFormatPr defaultColWidth="8.88888888888889" defaultRowHeight="35" customHeight="1" outlineLevelRow="4"/>
  <cols>
    <col min="2" max="2" width="19.6666666666667" customWidth="1"/>
    <col min="3" max="3" width="15.3333333333333" customWidth="1"/>
    <col min="4" max="4" width="12.3333333333333" customWidth="1"/>
    <col min="5" max="6" width="13"/>
  </cols>
  <sheetData>
    <row r="1" customHeight="1" spans="1:9">
      <c r="A1" s="73" t="s">
        <v>0</v>
      </c>
      <c r="B1" s="73"/>
      <c r="C1" s="73"/>
      <c r="D1" s="73"/>
      <c r="E1" s="51"/>
      <c r="F1" s="50"/>
      <c r="G1" s="50"/>
      <c r="H1" s="51"/>
      <c r="I1" s="50"/>
    </row>
    <row r="2" customHeight="1" spans="1:4">
      <c r="A2" s="43" t="s">
        <v>1</v>
      </c>
      <c r="B2" s="43" t="s">
        <v>2</v>
      </c>
      <c r="C2" s="43" t="s">
        <v>3</v>
      </c>
      <c r="D2" s="43" t="s">
        <v>4</v>
      </c>
    </row>
    <row r="3" customHeight="1" spans="1:4">
      <c r="A3" s="43">
        <v>1</v>
      </c>
      <c r="B3" s="74" t="s">
        <v>5</v>
      </c>
      <c r="C3" s="75">
        <f>门窗工程清单!G22</f>
        <v>63117.1698543712</v>
      </c>
      <c r="D3" s="74"/>
    </row>
    <row r="4" customHeight="1" spans="1:4">
      <c r="A4" s="43">
        <v>2</v>
      </c>
      <c r="B4" s="74" t="s">
        <v>6</v>
      </c>
      <c r="C4" s="75">
        <f>栏杆工程!G5</f>
        <v>2146.014</v>
      </c>
      <c r="D4" s="74"/>
    </row>
    <row r="5" customHeight="1" spans="1:5">
      <c r="A5" s="43">
        <v>3</v>
      </c>
      <c r="B5" s="74" t="s">
        <v>7</v>
      </c>
      <c r="C5" s="75">
        <f>SUM(C3:C4)</f>
        <v>65263.1838543712</v>
      </c>
      <c r="D5" s="74"/>
      <c r="E5" s="32"/>
    </row>
  </sheetData>
  <mergeCells count="1">
    <mergeCell ref="A1:D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8"/>
  <sheetViews>
    <sheetView view="pageBreakPreview" zoomScaleNormal="100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工程量统计!D9</f>
        <v>NPC2023</v>
      </c>
      <c r="C3" s="4"/>
      <c r="D3" s="4"/>
      <c r="E3" s="4" t="s">
        <v>89</v>
      </c>
      <c r="F3" s="5" t="s">
        <v>139</v>
      </c>
      <c r="G3" s="5"/>
      <c r="H3" s="4"/>
      <c r="I3" s="4"/>
    </row>
    <row r="4" s="1" customFormat="1" customHeight="1" spans="1:9">
      <c r="A4" s="5" t="s">
        <v>91</v>
      </c>
      <c r="B4" s="4">
        <f>工程量统计!E9</f>
        <v>2000</v>
      </c>
      <c r="C4" s="5" t="s">
        <v>92</v>
      </c>
      <c r="D4" s="4">
        <f>工程量统计!F9</f>
        <v>2250</v>
      </c>
      <c r="E4" s="4" t="s">
        <v>93</v>
      </c>
      <c r="F4" s="6">
        <f>B4*D4/1000000</f>
        <v>4.5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3.8025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230.378369229792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6.96094543063774</v>
      </c>
      <c r="F8" s="13">
        <v>0.16</v>
      </c>
      <c r="G8" s="6">
        <v>24.8230088495575</v>
      </c>
      <c r="H8" s="6">
        <f t="shared" ref="H8:H11" si="0">E8*(1+F8)*G8</f>
        <v>200.438267630169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0.924680157790927</v>
      </c>
      <c r="F9" s="13">
        <v>0.16</v>
      </c>
      <c r="G9" s="6">
        <v>23.7610619469027</v>
      </c>
      <c r="H9" s="6">
        <f t="shared" si="0"/>
        <v>25.4868037119967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0.173178698224852</v>
      </c>
      <c r="F10" s="13">
        <v>0.16</v>
      </c>
      <c r="G10" s="6">
        <v>22.1681415929204</v>
      </c>
      <c r="H10" s="6">
        <f t="shared" si="0"/>
        <v>4.45329788762634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19.7820483729265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0.262984878369494</v>
      </c>
      <c r="F13" s="13">
        <v>0</v>
      </c>
      <c r="G13" s="6">
        <v>75.2212389380531</v>
      </c>
      <c r="H13" s="6">
        <f>E13*(1+F13)*G13</f>
        <v>19.7820483729265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224.452196882233</v>
      </c>
      <c r="I14" s="23"/>
    </row>
    <row r="15" s="1" customFormat="1" ht="32" customHeight="1" spans="1:9">
      <c r="A15" s="4">
        <v>3.1</v>
      </c>
      <c r="B15" s="5" t="s">
        <v>64</v>
      </c>
      <c r="C15" s="5"/>
      <c r="D15" s="4" t="s">
        <v>109</v>
      </c>
      <c r="E15" s="6">
        <v>0.272939279421433</v>
      </c>
      <c r="F15" s="13">
        <v>0.03</v>
      </c>
      <c r="G15" s="6">
        <v>172.566371681416</v>
      </c>
      <c r="H15" s="6">
        <f>E15*(1+F15)*G15</f>
        <v>48.5131453732698</v>
      </c>
      <c r="I15" s="4" t="s">
        <v>110</v>
      </c>
    </row>
    <row r="16" s="1" customFormat="1" ht="32" customHeight="1" spans="1:9">
      <c r="A16" s="4">
        <v>3.2</v>
      </c>
      <c r="B16" s="15" t="s">
        <v>66</v>
      </c>
      <c r="C16" s="15"/>
      <c r="D16" s="14" t="s">
        <v>109</v>
      </c>
      <c r="E16" s="16">
        <v>0.682051282051282</v>
      </c>
      <c r="F16" s="17">
        <v>0.03</v>
      </c>
      <c r="G16" s="29">
        <v>250.442477876106</v>
      </c>
      <c r="H16" s="6">
        <f>E16*(1+F16)*G16</f>
        <v>175.939051508963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22.9177497462196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v>0</v>
      </c>
      <c r="H18" s="6">
        <f t="shared" ref="H17:H22" si="1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2.06745123822047</v>
      </c>
      <c r="F19" s="13">
        <v>0.03</v>
      </c>
      <c r="G19" s="6">
        <v>9.38</v>
      </c>
      <c r="H19" s="6">
        <f t="shared" si="1"/>
        <v>19.9744733929433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0.124187303674483</v>
      </c>
      <c r="F20" s="13">
        <v>0.03</v>
      </c>
      <c r="G20" s="6">
        <v>23.01</v>
      </c>
      <c r="H20" s="6">
        <f t="shared" si="1"/>
        <v>2.94327635327635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v>0</v>
      </c>
      <c r="H21" s="6">
        <f t="shared" si="1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v>7.07964601769912</v>
      </c>
      <c r="H22" s="6">
        <f t="shared" si="1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11.4227355266272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2.1779355687048</v>
      </c>
      <c r="F24" s="13">
        <v>0.03</v>
      </c>
      <c r="G24" s="6">
        <v>1.08</v>
      </c>
      <c r="H24" s="6">
        <f t="shared" ref="H24:H34" si="2">E24*(1+F24)*G24</f>
        <v>2.42273552662722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2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2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2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2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2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2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2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2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2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2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630.953099757798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53.6310134794128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684.58411323721</v>
      </c>
      <c r="I37" s="28">
        <f>H37</f>
        <v>684.58411323721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8"/>
  <sheetViews>
    <sheetView view="pageBreakPreview" zoomScaleNormal="100" workbookViewId="0">
      <selection activeCell="F16" sqref="B16:G16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工程量统计!D13</f>
        <v>NC1815</v>
      </c>
      <c r="C3" s="4"/>
      <c r="D3" s="4"/>
      <c r="E3" s="4" t="s">
        <v>89</v>
      </c>
      <c r="F3" s="5" t="s">
        <v>139</v>
      </c>
      <c r="G3" s="5"/>
      <c r="H3" s="4"/>
      <c r="I3" s="4"/>
    </row>
    <row r="4" s="1" customFormat="1" customHeight="1" spans="1:9">
      <c r="A4" s="5" t="s">
        <v>91</v>
      </c>
      <c r="B4" s="4">
        <f>工程量统计!E13</f>
        <v>1800</v>
      </c>
      <c r="C4" s="5" t="s">
        <v>92</v>
      </c>
      <c r="D4" s="4">
        <f>工程量统计!F13</f>
        <v>1450</v>
      </c>
      <c r="E4" s="4" t="s">
        <v>93</v>
      </c>
      <c r="F4" s="6">
        <f>B4*D4/1000000</f>
        <v>2.61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2.465775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291.018177109909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9.0000113960114</v>
      </c>
      <c r="F8" s="13">
        <v>0.16</v>
      </c>
      <c r="G8" s="6">
        <f>'C0915上悬'!$G$8</f>
        <v>24.8230088495575</v>
      </c>
      <c r="H8" s="6">
        <f t="shared" ref="H8:H11" si="0">E8*(1+F8)*G8</f>
        <v>259.152540533999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0.906951607506768</v>
      </c>
      <c r="F9" s="13">
        <v>0.16</v>
      </c>
      <c r="G9" s="6">
        <f>'C0915上悬'!$G$9</f>
        <v>23.7610619469027</v>
      </c>
      <c r="H9" s="6">
        <f t="shared" si="0"/>
        <v>24.9981546614211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0.267060863217447</v>
      </c>
      <c r="F10" s="13">
        <v>0.16</v>
      </c>
      <c r="G10" s="6">
        <f>'C0915上悬'!$G$10</f>
        <v>22.1681415929204</v>
      </c>
      <c r="H10" s="6">
        <f t="shared" si="0"/>
        <v>6.86748191448902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30.5061244185107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0.405552006975495</v>
      </c>
      <c r="F13" s="13">
        <v>0</v>
      </c>
      <c r="G13" s="6">
        <f>'NC1515防火 '!$G$13</f>
        <v>75.2212389380531</v>
      </c>
      <c r="H13" s="6">
        <f t="shared" ref="H13:H16" si="1">E13*(1+F13)*G13</f>
        <v>30.5061244185107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141.683881599989</v>
      </c>
      <c r="I14" s="23"/>
    </row>
    <row r="15" s="1" customFormat="1" ht="32" customHeight="1" spans="1:9">
      <c r="A15" s="4">
        <v>3.1</v>
      </c>
      <c r="B15" s="5" t="s">
        <v>64</v>
      </c>
      <c r="C15" s="5"/>
      <c r="D15" s="4" t="s">
        <v>109</v>
      </c>
      <c r="E15" s="6">
        <v>0.79712614492401</v>
      </c>
      <c r="F15" s="13">
        <v>0.03</v>
      </c>
      <c r="G15" s="6">
        <f>'NC1515防火 '!G15</f>
        <v>172.566371681416</v>
      </c>
      <c r="H15" s="6">
        <f t="shared" si="1"/>
        <v>141.683881599989</v>
      </c>
      <c r="I15" s="4" t="s">
        <v>110</v>
      </c>
    </row>
    <row r="16" s="1" customFormat="1" ht="32" customHeight="1" spans="1:9">
      <c r="A16" s="4">
        <v>3.2</v>
      </c>
      <c r="B16" s="4"/>
      <c r="C16" s="4"/>
      <c r="D16" s="14"/>
      <c r="E16" s="16"/>
      <c r="F16" s="17"/>
      <c r="G16" s="6"/>
      <c r="H16" s="6"/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25.9194373722934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2.3235291135647</v>
      </c>
      <c r="F19" s="13">
        <v>0.03</v>
      </c>
      <c r="G19" s="6">
        <f>'C0915上悬'!$G$18</f>
        <v>9.38</v>
      </c>
      <c r="H19" s="6">
        <f t="shared" si="2"/>
        <v>22.448544177794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0.146449335852262</v>
      </c>
      <c r="F20" s="13">
        <v>0.03</v>
      </c>
      <c r="G20" s="6">
        <f>'C0915上悬'!$G$19</f>
        <v>23.01</v>
      </c>
      <c r="H20" s="6">
        <f t="shared" si="2"/>
        <v>3.47089319449937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12.5629823159047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3.20296864069106</v>
      </c>
      <c r="F24" s="13">
        <v>0.03</v>
      </c>
      <c r="G24" s="6">
        <f>'C0915上悬'!$G$23</f>
        <v>1.08</v>
      </c>
      <c r="H24" s="6">
        <f t="shared" ref="H24:H34" si="3">E24*(1+F24)*G24</f>
        <v>3.56298231590474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623.690602816607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53.0137012394116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676.704304056018</v>
      </c>
      <c r="I37" s="28">
        <f>H37</f>
        <v>676.704304056018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工程量统计!D10</f>
        <v>C2723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工程量统计!E10</f>
        <v>2700</v>
      </c>
      <c r="C4" s="5" t="s">
        <v>92</v>
      </c>
      <c r="D4" s="4">
        <f>工程量统计!F10</f>
        <v>2250</v>
      </c>
      <c r="E4" s="4" t="s">
        <v>93</v>
      </c>
      <c r="F4" s="6">
        <f>B4*D4/1000000</f>
        <v>6.075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5.83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168.643100183913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5.10045283018868</v>
      </c>
      <c r="F8" s="13">
        <v>0.16</v>
      </c>
      <c r="G8" s="6">
        <f>'C0915上悬'!$G$8</f>
        <v>24.8230088495575</v>
      </c>
      <c r="H8" s="6">
        <f t="shared" ref="H8:H11" si="0">E8*(1+F8)*G8</f>
        <v>146.865959459008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0.684710737564322</v>
      </c>
      <c r="F9" s="13">
        <v>0.16</v>
      </c>
      <c r="G9" s="6">
        <f>'C0915上悬'!$G$9</f>
        <v>23.7610619469027</v>
      </c>
      <c r="H9" s="6">
        <f t="shared" si="0"/>
        <v>18.8725669311313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0.112952315608919</v>
      </c>
      <c r="F10" s="13">
        <v>0.16</v>
      </c>
      <c r="G10" s="6">
        <f>'C0915上悬'!$G$10</f>
        <v>22.1681415929204</v>
      </c>
      <c r="H10" s="6">
        <f t="shared" si="0"/>
        <v>2.90457379377343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12.9024423564413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0.171526586620926</v>
      </c>
      <c r="F13" s="13">
        <v>0</v>
      </c>
      <c r="G13" s="6">
        <f>'NC1515防火 '!$G$13</f>
        <v>75.2212389380531</v>
      </c>
      <c r="H13" s="6">
        <f t="shared" ref="H13:H16" si="1">E13*(1+F13)*G13</f>
        <v>12.9024423564413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158.484800598066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0.182163060034305</v>
      </c>
      <c r="F15" s="13">
        <v>0.03</v>
      </c>
      <c r="G15" s="6">
        <f>'C0815上悬'!$G$15</f>
        <v>154.867256637168</v>
      </c>
      <c r="H15" s="6">
        <f t="shared" si="1"/>
        <v>29.0574261691889</v>
      </c>
      <c r="I15" s="4" t="s">
        <v>110</v>
      </c>
    </row>
    <row r="16" s="1" customFormat="1" customHeight="1" spans="1:9">
      <c r="A16" s="4">
        <v>3.2</v>
      </c>
      <c r="B16" s="15" t="s">
        <v>71</v>
      </c>
      <c r="C16" s="15"/>
      <c r="D16" s="14" t="s">
        <v>109</v>
      </c>
      <c r="E16" s="16">
        <v>0.676157804459691</v>
      </c>
      <c r="F16" s="17">
        <v>0.03</v>
      </c>
      <c r="G16" s="6">
        <f>材料单价!D9</f>
        <v>185.840707964602</v>
      </c>
      <c r="H16" s="6">
        <f t="shared" si="1"/>
        <v>129.427374428877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17.3026897975987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7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1.55948542024014</v>
      </c>
      <c r="F19" s="13">
        <v>0.03</v>
      </c>
      <c r="G19" s="6">
        <f>'C0915上悬'!$G$18</f>
        <v>9.38</v>
      </c>
      <c r="H19" s="6">
        <f t="shared" si="2"/>
        <v>15.0668124391081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0.0943396226415094</v>
      </c>
      <c r="F20" s="13">
        <v>0.03</v>
      </c>
      <c r="G20" s="6">
        <f>'C0915上悬'!$G$19</f>
        <v>23.01</v>
      </c>
      <c r="H20" s="6">
        <f t="shared" si="2"/>
        <v>2.23587735849057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10.6256686106346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1.46140651801029</v>
      </c>
      <c r="F24" s="13">
        <v>0.03</v>
      </c>
      <c r="G24" s="6">
        <f>'C0915上悬'!$G$23</f>
        <v>1.08</v>
      </c>
      <c r="H24" s="6">
        <f t="shared" ref="H24:H34" si="3">E24*(1+F24)*G24</f>
        <v>1.62566861063465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489.958701546654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41.6464896314656</v>
      </c>
      <c r="I36" s="27"/>
    </row>
    <row r="37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531.605191178119</v>
      </c>
      <c r="I37" s="28">
        <f>H37</f>
        <v>531.605191178119</v>
      </c>
    </row>
    <row r="46" ht="28" customHeight="1"/>
    <row r="47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74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工程量统计!D11</f>
        <v>C2923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工程量统计!E11</f>
        <v>2900</v>
      </c>
      <c r="C4" s="5" t="s">
        <v>92</v>
      </c>
      <c r="D4" s="4">
        <f>工程量统计!F11</f>
        <v>2250</v>
      </c>
      <c r="E4" s="4" t="s">
        <v>93</v>
      </c>
      <c r="F4" s="6">
        <f>B4*D4/1000000</f>
        <v>6.525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6.27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159.11523343727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4.78932135566188</v>
      </c>
      <c r="F8" s="13">
        <v>0.16</v>
      </c>
      <c r="G8" s="6">
        <f>'C0915上悬'!$G$8</f>
        <v>24.8230088495575</v>
      </c>
      <c r="H8" s="6">
        <f t="shared" ref="H8:H11" si="0">E8*(1+F8)*G8</f>
        <v>137.907025018165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0.671464545454546</v>
      </c>
      <c r="F9" s="13">
        <v>0.16</v>
      </c>
      <c r="G9" s="6">
        <f>'C0915上悬'!$G$9</f>
        <v>23.7610619469027</v>
      </c>
      <c r="H9" s="6">
        <f t="shared" si="0"/>
        <v>18.5074643652454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0.105025837320574</v>
      </c>
      <c r="F10" s="13">
        <v>0.16</v>
      </c>
      <c r="G10" s="6">
        <f>'C0915上悬'!$G$10</f>
        <v>22.1681415929204</v>
      </c>
      <c r="H10" s="6">
        <f t="shared" si="0"/>
        <v>2.70074405385951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11.9970078051122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0.159489633173844</v>
      </c>
      <c r="F13" s="13">
        <v>0</v>
      </c>
      <c r="G13" s="6">
        <f>'NC1515防火 '!$G$13</f>
        <v>75.2212389380531</v>
      </c>
      <c r="H13" s="6">
        <f t="shared" ref="H13:H16" si="1">E13*(1+F13)*G13</f>
        <v>11.9970078051122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174.496363826904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0.171824784688995</v>
      </c>
      <c r="F15" s="13">
        <v>0.03</v>
      </c>
      <c r="G15" s="6">
        <f>'C0815上悬'!$G$15</f>
        <v>154.867256637168</v>
      </c>
      <c r="H15" s="6">
        <f t="shared" si="1"/>
        <v>27.4083340178684</v>
      </c>
      <c r="I15" s="4" t="s">
        <v>110</v>
      </c>
    </row>
    <row r="16" s="1" customFormat="1" customHeight="1" spans="1:9">
      <c r="A16" s="4">
        <v>3.2</v>
      </c>
      <c r="B16" s="15" t="s">
        <v>71</v>
      </c>
      <c r="C16" s="15"/>
      <c r="D16" s="14" t="s">
        <v>109</v>
      </c>
      <c r="E16" s="16">
        <v>0.768421052631579</v>
      </c>
      <c r="F16" s="17">
        <v>0.03</v>
      </c>
      <c r="G16" s="6">
        <f>'C2723平开'!$G$16</f>
        <v>185.840707964602</v>
      </c>
      <c r="H16" s="6">
        <f t="shared" si="1"/>
        <v>147.088029809036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16.7932650542265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1.51430356193514</v>
      </c>
      <c r="F19" s="13">
        <v>0.03</v>
      </c>
      <c r="G19" s="6">
        <f>'C0915上悬'!$G$18</f>
        <v>9.38</v>
      </c>
      <c r="H19" s="6">
        <f t="shared" si="2"/>
        <v>14.6302924332802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0.0912635123161439</v>
      </c>
      <c r="F20" s="13">
        <v>0.03</v>
      </c>
      <c r="G20" s="6">
        <f>'C0915上悬'!$G$19</f>
        <v>23.01</v>
      </c>
      <c r="H20" s="6">
        <f t="shared" si="2"/>
        <v>2.16297262094631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10.4860741435407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1.33591706539075</v>
      </c>
      <c r="F24" s="13">
        <v>0.03</v>
      </c>
      <c r="G24" s="6">
        <f>'C0915上悬'!$G$23</f>
        <v>1.08</v>
      </c>
      <c r="H24" s="6">
        <f t="shared" ref="H24:H34" si="3">E24*(1+F24)*G24</f>
        <v>1.48607414354067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494.887944267053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42.0654752626996</v>
      </c>
      <c r="I36" s="27"/>
    </row>
    <row r="37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536.953419529753</v>
      </c>
      <c r="I37" s="28">
        <f>H37</f>
        <v>536.953419529753</v>
      </c>
    </row>
    <row r="46" ht="28" customHeight="1"/>
    <row r="47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工程量统计!D15</f>
        <v>YTFC2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工程量统计!E15</f>
        <v>2500</v>
      </c>
      <c r="C4" s="5" t="s">
        <v>92</v>
      </c>
      <c r="D4" s="4">
        <f>工程量统计!F15</f>
        <v>2250</v>
      </c>
      <c r="E4" s="4" t="s">
        <v>93</v>
      </c>
      <c r="F4" s="6">
        <f>B4*D4/1000000</f>
        <v>5.625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5.39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179.717393354064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5.42330983302412</v>
      </c>
      <c r="F8" s="13">
        <v>0.16</v>
      </c>
      <c r="G8" s="6">
        <f>'C0915上悬'!$G$8</f>
        <v>24.8230088495575</v>
      </c>
      <c r="H8" s="6">
        <f t="shared" ref="H8:H11" si="0">E8*(1+F8)*G8</f>
        <v>156.162526855698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0.740605491651206</v>
      </c>
      <c r="F9" s="13">
        <v>0.16</v>
      </c>
      <c r="G9" s="6">
        <f>'C0915上悬'!$G$9</f>
        <v>23.7610619469027</v>
      </c>
      <c r="H9" s="6">
        <f t="shared" si="0"/>
        <v>20.4131846397951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0.122172912801484</v>
      </c>
      <c r="F10" s="13">
        <v>0.16</v>
      </c>
      <c r="G10" s="6">
        <f>'C0915上悬'!$G$10</f>
        <v>22.1681415929204</v>
      </c>
      <c r="H10" s="6">
        <f t="shared" si="0"/>
        <v>3.14168185857126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13.9557029569672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0.185528756957328</v>
      </c>
      <c r="F13" s="13">
        <v>0</v>
      </c>
      <c r="G13" s="6">
        <f>'NC1515防火 '!$G$13</f>
        <v>75.2212389380531</v>
      </c>
      <c r="H13" s="6">
        <f t="shared" ref="H13:H16" si="1">E13*(1+F13)*G13</f>
        <v>13.9557029569672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171.422335340766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0.197033513914657</v>
      </c>
      <c r="F15" s="13">
        <v>0.03</v>
      </c>
      <c r="G15" s="6">
        <f>'C0815上悬'!$G$15</f>
        <v>154.867256637168</v>
      </c>
      <c r="H15" s="6">
        <f t="shared" si="1"/>
        <v>31.4294609585105</v>
      </c>
      <c r="I15" s="4" t="s">
        <v>110</v>
      </c>
    </row>
    <row r="16" s="1" customFormat="1" customHeight="1" spans="1:9">
      <c r="A16" s="4">
        <v>3.2</v>
      </c>
      <c r="B16" s="15" t="s">
        <v>71</v>
      </c>
      <c r="C16" s="15"/>
      <c r="D16" s="14" t="s">
        <v>109</v>
      </c>
      <c r="E16" s="16">
        <v>0.731354359925789</v>
      </c>
      <c r="F16" s="17">
        <v>0.03</v>
      </c>
      <c r="G16" s="16">
        <f>'C2723平开'!$G$16</f>
        <v>185.840707964602</v>
      </c>
      <c r="H16" s="6">
        <f t="shared" si="1"/>
        <v>139.992874382255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18.1394498800248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1.63731601731602</v>
      </c>
      <c r="F19" s="13">
        <v>0.03</v>
      </c>
      <c r="G19" s="6">
        <f>'C0915上悬'!$G$18</f>
        <v>9.38</v>
      </c>
      <c r="H19" s="6">
        <f t="shared" si="2"/>
        <v>15.818764969697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0.0979179550608122</v>
      </c>
      <c r="F20" s="13">
        <v>0.03</v>
      </c>
      <c r="G20" s="6">
        <f>'C0915上悬'!$G$19</f>
        <v>23.01</v>
      </c>
      <c r="H20" s="6">
        <f t="shared" si="2"/>
        <v>2.32068491032777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10.7583762523191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1.58070500927644</v>
      </c>
      <c r="F24" s="13">
        <v>0.03</v>
      </c>
      <c r="G24" s="6">
        <f>'C0915上悬'!$G$23</f>
        <v>1.08</v>
      </c>
      <c r="H24" s="6">
        <f t="shared" ref="H24:H34" si="3">E24*(1+F24)*G24</f>
        <v>1.75837625231911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515.993257784141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43.859426911652</v>
      </c>
      <c r="I36" s="27"/>
    </row>
    <row r="37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559.852684695793</v>
      </c>
      <c r="I37" s="28">
        <f>H37</f>
        <v>559.852684695793</v>
      </c>
    </row>
    <row r="46" ht="28" customHeight="1"/>
    <row r="47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3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工程量统计!D12</f>
        <v>C1815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工程量统计!E12</f>
        <v>1800</v>
      </c>
      <c r="C4" s="5" t="s">
        <v>92</v>
      </c>
      <c r="D4" s="4">
        <f>工程量统计!F12</f>
        <v>1450</v>
      </c>
      <c r="E4" s="4" t="s">
        <v>93</v>
      </c>
      <c r="F4" s="6">
        <f>B4*D4/1000000</f>
        <v>2.61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2.465775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269.803802695862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8.26326534253936</v>
      </c>
      <c r="F8" s="13">
        <v>0.16</v>
      </c>
      <c r="G8" s="6">
        <f>'C0915上悬'!$G$8</f>
        <v>24.8230088495575</v>
      </c>
      <c r="H8" s="6">
        <f t="shared" ref="H8:H11" si="0">E8*(1+F8)*G8</f>
        <v>237.938166119952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0.906951607506768</v>
      </c>
      <c r="F9" s="13">
        <v>0.16</v>
      </c>
      <c r="G9" s="6">
        <f>'C0915上悬'!$G$9</f>
        <v>23.7610619469027</v>
      </c>
      <c r="H9" s="6">
        <f t="shared" si="0"/>
        <v>24.9981546614211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0.267060863217447</v>
      </c>
      <c r="F10" s="13">
        <v>0.16</v>
      </c>
      <c r="G10" s="6">
        <f>'C0915上悬'!$G$10</f>
        <v>22.1681415929204</v>
      </c>
      <c r="H10" s="6">
        <f t="shared" si="0"/>
        <v>6.86748191448902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30.5061244185107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0.405552006975495</v>
      </c>
      <c r="F13" s="13">
        <v>0</v>
      </c>
      <c r="G13" s="6">
        <f>'NC1515防火 '!$G$13</f>
        <v>75.2212389380531</v>
      </c>
      <c r="H13" s="6">
        <f t="shared" ref="H13:H16" si="1">E13*(1+F13)*G13</f>
        <v>30.5061244185107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145.760463192791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0.21384359886851</v>
      </c>
      <c r="F15" s="13">
        <v>0.03</v>
      </c>
      <c r="G15" s="6">
        <f>'C0815上悬'!$G$15</f>
        <v>154.867256637168</v>
      </c>
      <c r="H15" s="6">
        <f t="shared" si="1"/>
        <v>34.1108926513707</v>
      </c>
      <c r="I15" s="4" t="s">
        <v>110</v>
      </c>
    </row>
    <row r="16" s="1" customFormat="1" ht="32" customHeight="1" spans="1:9">
      <c r="A16" s="4">
        <v>3.2</v>
      </c>
      <c r="B16" s="15" t="s">
        <v>71</v>
      </c>
      <c r="C16" s="15"/>
      <c r="D16" s="14" t="s">
        <v>109</v>
      </c>
      <c r="E16" s="16">
        <v>0.5832825460555</v>
      </c>
      <c r="F16" s="17">
        <v>0.03</v>
      </c>
      <c r="G16" s="6">
        <f>'C2723平开'!$G$16</f>
        <v>185.840707964602</v>
      </c>
      <c r="H16" s="6">
        <f t="shared" si="1"/>
        <v>111.64957054142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25.9194373722934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2.3235291135647</v>
      </c>
      <c r="F19" s="13">
        <v>0.03</v>
      </c>
      <c r="G19" s="6">
        <f>'C0915上悬'!$G$18</f>
        <v>9.38</v>
      </c>
      <c r="H19" s="6">
        <f t="shared" si="2"/>
        <v>22.448544177794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0.146449335852262</v>
      </c>
      <c r="F20" s="13">
        <v>0.03</v>
      </c>
      <c r="G20" s="6">
        <f>'C0915上悬'!$G$19</f>
        <v>23.01</v>
      </c>
      <c r="H20" s="6">
        <f t="shared" si="2"/>
        <v>3.47089319449937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12.5629823159047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3.20296864069106</v>
      </c>
      <c r="F24" s="13">
        <v>0.03</v>
      </c>
      <c r="G24" s="6">
        <f>'C0915上悬'!$G$23</f>
        <v>1.08</v>
      </c>
      <c r="H24" s="6">
        <f t="shared" ref="H24:H34" si="3">E24*(1+F24)*G24</f>
        <v>3.56298231590474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606.552809995361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51.5569888496057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658.109798844967</v>
      </c>
      <c r="I37" s="28">
        <f>H37</f>
        <v>658.109798844967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9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60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工程量统计!D18</f>
        <v>YTFC3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工程量统计!E18</f>
        <v>920</v>
      </c>
      <c r="C4" s="5" t="s">
        <v>92</v>
      </c>
      <c r="D4" s="4">
        <f>工程量统计!F18</f>
        <v>2250</v>
      </c>
      <c r="E4" s="4" t="s">
        <v>93</v>
      </c>
      <c r="F4" s="6">
        <f>B4*D4/1000000</f>
        <v>2.07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1.925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116.135340846247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3.10854545454545</v>
      </c>
      <c r="F8" s="13">
        <v>0.16</v>
      </c>
      <c r="G8" s="6">
        <f>'C0915上悬'!$G$8</f>
        <v>24.8230088495575</v>
      </c>
      <c r="H8" s="6">
        <f t="shared" ref="H8:H11" si="0">E8*(1+F8)*G8</f>
        <v>89.5096035398228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0.83094561038961</v>
      </c>
      <c r="F9" s="13">
        <v>0.16</v>
      </c>
      <c r="G9" s="6">
        <f>'C0915上悬'!$G$9</f>
        <v>23.7610619469027</v>
      </c>
      <c r="H9" s="6">
        <f t="shared" si="0"/>
        <v>22.9032141426503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0.144760519480519</v>
      </c>
      <c r="F10" s="13">
        <v>0.16</v>
      </c>
      <c r="G10" s="6">
        <f>'C0915上悬'!$G$10</f>
        <v>22.1681415929204</v>
      </c>
      <c r="H10" s="6">
        <f t="shared" si="0"/>
        <v>3.72252316377427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0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</v>
      </c>
      <c r="F13" s="13">
        <v>0</v>
      </c>
      <c r="G13" s="6">
        <f>'NC1515防火 '!$G$13</f>
        <v>75.2212389380531</v>
      </c>
      <c r="H13" s="6">
        <f t="shared" ref="H13:H16" si="1">E13*(1+F13)*G13</f>
        <v>0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177.076069004023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</v>
      </c>
      <c r="F15" s="13">
        <v>0.03</v>
      </c>
      <c r="G15" s="6">
        <v>154.867256637168</v>
      </c>
      <c r="H15" s="6">
        <f t="shared" si="1"/>
        <v>0</v>
      </c>
      <c r="I15" s="4" t="s">
        <v>110</v>
      </c>
    </row>
    <row r="16" s="1" customFormat="1" ht="32" customHeight="1" spans="1:9">
      <c r="A16" s="4">
        <v>3.2</v>
      </c>
      <c r="B16" s="15" t="s">
        <v>71</v>
      </c>
      <c r="C16" s="15"/>
      <c r="D16" s="14" t="s">
        <v>109</v>
      </c>
      <c r="E16" s="16">
        <v>0.925085335064935</v>
      </c>
      <c r="F16" s="17">
        <v>0.03</v>
      </c>
      <c r="G16" s="6">
        <v>185.840707964602</v>
      </c>
      <c r="H16" s="6">
        <f t="shared" si="1"/>
        <v>177.076069004023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30.5610579445887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2.71436363636364</v>
      </c>
      <c r="F19" s="13">
        <v>0.03</v>
      </c>
      <c r="G19" s="6">
        <v>9.38</v>
      </c>
      <c r="H19" s="6">
        <f t="shared" si="2"/>
        <v>26.2245528363636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0.182972582972583</v>
      </c>
      <c r="F20" s="13">
        <v>0.03</v>
      </c>
      <c r="G20" s="6">
        <v>23.01</v>
      </c>
      <c r="H20" s="6">
        <f t="shared" si="2"/>
        <v>4.33650510822511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9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0</v>
      </c>
      <c r="F24" s="13">
        <v>0.03</v>
      </c>
      <c r="G24" s="6">
        <f>'C0915上悬'!$G$23</f>
        <v>1.08</v>
      </c>
      <c r="H24" s="6">
        <f t="shared" ref="H24:H34" si="3">E24*(1+F24)*G24</f>
        <v>0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454.772467794859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38.655659762563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493.428127557422</v>
      </c>
      <c r="I37" s="28">
        <f>H37</f>
        <v>493.428127557422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15" workbookViewId="0">
      <selection activeCell="E9" sqref="E9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工程量统计!D16</f>
        <v>C1215</v>
      </c>
      <c r="C3" s="4"/>
      <c r="D3" s="4"/>
      <c r="E3" s="4" t="s">
        <v>89</v>
      </c>
      <c r="F3" s="5" t="s">
        <v>141</v>
      </c>
      <c r="G3" s="5"/>
      <c r="H3" s="4"/>
      <c r="I3" s="4"/>
    </row>
    <row r="4" s="1" customFormat="1" customHeight="1" spans="1:9">
      <c r="A4" s="5" t="s">
        <v>91</v>
      </c>
      <c r="B4" s="4">
        <f>工程量统计!E16</f>
        <v>1200</v>
      </c>
      <c r="C4" s="5" t="s">
        <v>92</v>
      </c>
      <c r="D4" s="4">
        <f>工程量统计!F16</f>
        <v>1450</v>
      </c>
      <c r="E4" s="4" t="s">
        <v>93</v>
      </c>
      <c r="F4" s="6">
        <f>B4*D4/1000000</f>
        <v>1.74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1.622775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397.95659854551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12.19</v>
      </c>
      <c r="F8" s="13">
        <v>0.16</v>
      </c>
      <c r="G8" s="6">
        <f>'C0915上悬'!$G$8</f>
        <v>24.8230088495575</v>
      </c>
      <c r="H8" s="6">
        <f t="shared" ref="H8:H11" si="0">E8*(1+F8)*G8</f>
        <v>351.007274336283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1.10638554328234</v>
      </c>
      <c r="F9" s="13">
        <v>0.16</v>
      </c>
      <c r="G9" s="6">
        <f>'C0915上悬'!$G$9</f>
        <v>23.7610619469027</v>
      </c>
      <c r="H9" s="6">
        <f t="shared" si="0"/>
        <v>30.4951187000636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0.639866894671165</v>
      </c>
      <c r="F10" s="13">
        <v>0.16</v>
      </c>
      <c r="G10" s="6">
        <f>'C0915上悬'!$G$10</f>
        <v>22.1681415929204</v>
      </c>
      <c r="H10" s="6">
        <f t="shared" si="0"/>
        <v>16.4542055091635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92.7069235575516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14" t="s">
        <v>77</v>
      </c>
      <c r="E13" s="16">
        <v>1.23245674847098</v>
      </c>
      <c r="F13" s="17">
        <v>0</v>
      </c>
      <c r="G13" s="16">
        <f>'NC1515防火 '!$G$13</f>
        <v>75.2212389380531</v>
      </c>
      <c r="H13" s="6">
        <f t="shared" ref="H13:H16" si="1">E13*(1+F13)*G13</f>
        <v>92.7069235575516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97.5083419778447</v>
      </c>
      <c r="I14" s="23"/>
    </row>
    <row r="15" s="1" customFormat="1" ht="32" customHeight="1" spans="1:9">
      <c r="A15" s="4">
        <v>3.1</v>
      </c>
      <c r="B15" s="14" t="s">
        <v>68</v>
      </c>
      <c r="C15" s="14"/>
      <c r="D15" s="14" t="s">
        <v>109</v>
      </c>
      <c r="E15" s="16">
        <v>0.668594820600514</v>
      </c>
      <c r="F15" s="17">
        <v>0.03</v>
      </c>
      <c r="G15" s="16">
        <f>材料单价!D6</f>
        <v>141.592920353982</v>
      </c>
      <c r="H15" s="6">
        <f t="shared" si="1"/>
        <v>97.5083419778447</v>
      </c>
      <c r="I15" s="4" t="s">
        <v>110</v>
      </c>
    </row>
    <row r="16" s="1" customFormat="1" ht="32" customHeight="1" spans="1:9">
      <c r="A16" s="4">
        <v>3.2</v>
      </c>
      <c r="B16" s="15"/>
      <c r="C16" s="15"/>
      <c r="D16" s="14"/>
      <c r="E16" s="16"/>
      <c r="F16" s="17"/>
      <c r="G16" s="16"/>
      <c r="H16" s="6"/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32.008886851227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2.86796793558359</v>
      </c>
      <c r="F19" s="13">
        <v>0.03</v>
      </c>
      <c r="G19" s="6">
        <f>'C0915上悬'!$G$18</f>
        <v>9.38</v>
      </c>
      <c r="H19" s="6">
        <f t="shared" si="2"/>
        <v>27.7085854128473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0.181445021302673</v>
      </c>
      <c r="F20" s="13">
        <v>0.03</v>
      </c>
      <c r="G20" s="6">
        <f>'C0915上悬'!$G$19</f>
        <v>23.01</v>
      </c>
      <c r="H20" s="6">
        <f t="shared" si="2"/>
        <v>4.30030143837974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19.4364853537921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9.38195375206051</v>
      </c>
      <c r="F24" s="13">
        <v>0.03</v>
      </c>
      <c r="G24" s="6">
        <f>'C0915上悬'!$G$23</f>
        <v>1.08</v>
      </c>
      <c r="H24" s="6">
        <f t="shared" ref="H24:H34" si="3">E24*(1+F24)*G24</f>
        <v>10.4364853537921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761.617236285925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64.7374650843037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826.354701370229</v>
      </c>
      <c r="I37" s="28">
        <f>H37</f>
        <v>826.354701370229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workbookViewId="0">
      <selection activeCell="B17" sqref="B17:G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工程量统计!D17</f>
        <v>C1524</v>
      </c>
      <c r="C3" s="4"/>
      <c r="D3" s="4"/>
      <c r="E3" s="4" t="s">
        <v>89</v>
      </c>
      <c r="F3" s="5" t="s">
        <v>141</v>
      </c>
      <c r="G3" s="5"/>
      <c r="H3" s="4"/>
      <c r="I3" s="4"/>
    </row>
    <row r="4" s="1" customFormat="1" customHeight="1" spans="1:9">
      <c r="A4" s="5" t="s">
        <v>91</v>
      </c>
      <c r="B4" s="4">
        <f>工程量统计!E17</f>
        <v>1500</v>
      </c>
      <c r="C4" s="5" t="s">
        <v>92</v>
      </c>
      <c r="D4" s="4">
        <f>工程量统计!F17</f>
        <v>2350</v>
      </c>
      <c r="E4" s="4" t="s">
        <v>93</v>
      </c>
      <c r="F4" s="6">
        <f>B4*D4/1000000</f>
        <v>3.525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3.3465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379.326161390224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11.7231770506499</v>
      </c>
      <c r="F8" s="13">
        <v>0.16</v>
      </c>
      <c r="G8" s="6">
        <f>'C0915上悬'!$G$8</f>
        <v>24.8230088495575</v>
      </c>
      <c r="H8" s="6">
        <f t="shared" ref="H8:H11" si="0">E8*(1+F8)*G8</f>
        <v>337.565252100926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1.01384204392649</v>
      </c>
      <c r="F9" s="13">
        <v>0.16</v>
      </c>
      <c r="G9" s="6">
        <f>'C0915上悬'!$G$9</f>
        <v>23.7610619469027</v>
      </c>
      <c r="H9" s="6">
        <f t="shared" si="0"/>
        <v>27.9443577877297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0.53729448677723</v>
      </c>
      <c r="F10" s="13">
        <v>0.16</v>
      </c>
      <c r="G10" s="6">
        <f>'C0915上悬'!$G$10</f>
        <v>22.1681415929204</v>
      </c>
      <c r="H10" s="6">
        <f t="shared" si="0"/>
        <v>13.8165515015688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89.9103408791912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1.19527864933513</v>
      </c>
      <c r="F13" s="13">
        <v>0</v>
      </c>
      <c r="G13" s="6">
        <f>'NC1515防火 '!$G$13</f>
        <v>75.2212389380531</v>
      </c>
      <c r="H13" s="6">
        <f t="shared" ref="H13:H16" si="1">E13*(1+F13)*G13</f>
        <v>89.9103408791912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107.917633403278</v>
      </c>
      <c r="I14" s="23"/>
    </row>
    <row r="15" s="1" customFormat="1" ht="32" customHeight="1" spans="1:9">
      <c r="A15" s="4">
        <v>3.1</v>
      </c>
      <c r="B15" s="14" t="s">
        <v>68</v>
      </c>
      <c r="C15" s="14"/>
      <c r="D15" s="14" t="s">
        <v>109</v>
      </c>
      <c r="E15" s="16">
        <v>0.739969209621993</v>
      </c>
      <c r="F15" s="17">
        <v>0.03</v>
      </c>
      <c r="G15" s="16">
        <f>'C1215平开'!G15</f>
        <v>141.592920353982</v>
      </c>
      <c r="H15" s="6">
        <f t="shared" si="1"/>
        <v>107.917633403278</v>
      </c>
      <c r="I15" s="4" t="s">
        <v>110</v>
      </c>
    </row>
    <row r="16" s="1" customFormat="1" ht="32" customHeight="1" spans="1:9">
      <c r="A16" s="4">
        <v>3.2</v>
      </c>
      <c r="B16" s="15" t="s">
        <v>66</v>
      </c>
      <c r="C16" s="15"/>
      <c r="D16" s="14"/>
      <c r="E16" s="16">
        <v>0</v>
      </c>
      <c r="F16" s="17">
        <v>0.03</v>
      </c>
      <c r="G16" s="16">
        <f>NPC2023防火!$G$16</f>
        <v>250.442477876106</v>
      </c>
      <c r="H16" s="6">
        <f t="shared" si="1"/>
        <v>0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23.9639041824792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2.16680113551472</v>
      </c>
      <c r="F19" s="13">
        <v>0.03</v>
      </c>
      <c r="G19" s="6">
        <f>'C0915上悬'!$G$18</f>
        <v>9.38</v>
      </c>
      <c r="H19" s="6">
        <f t="shared" si="2"/>
        <v>20.9343324906619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0.127828411109451</v>
      </c>
      <c r="F20" s="13">
        <v>0.03</v>
      </c>
      <c r="G20" s="6">
        <f>'C0915上悬'!$G$19</f>
        <v>23.01</v>
      </c>
      <c r="H20" s="6">
        <f t="shared" si="2"/>
        <v>3.02957169181732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18.6286339040789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8.65572986702525</v>
      </c>
      <c r="F24" s="13">
        <v>0.03</v>
      </c>
      <c r="G24" s="6">
        <f>'C0915上悬'!$G$23</f>
        <v>1.08</v>
      </c>
      <c r="H24" s="6">
        <f t="shared" ref="H24:H34" si="3">E24*(1+F24)*G24</f>
        <v>9.62863390407889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741.746673759252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63.0484672695364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804.795141028788</v>
      </c>
      <c r="I37" s="28">
        <f>H37</f>
        <v>804.795141028788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F17" sqref="F17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工程量统计!D14</f>
        <v>YTFC1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6270+1350</f>
        <v>7620</v>
      </c>
      <c r="C4" s="5" t="s">
        <v>92</v>
      </c>
      <c r="D4" s="4">
        <f>工程量统计!F14</f>
        <v>2250</v>
      </c>
      <c r="E4" s="4" t="s">
        <v>93</v>
      </c>
      <c r="F4" s="6">
        <f>B4*D4/1000000</f>
        <v>17.145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16.632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141.172959602664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4.19246812169312</v>
      </c>
      <c r="F8" s="13">
        <v>0.16</v>
      </c>
      <c r="G8" s="6">
        <f>'C0915上悬'!$G$8</f>
        <v>24.8230088495575</v>
      </c>
      <c r="H8" s="6">
        <f t="shared" ref="H8:H11" si="0">E8*(1+F8)*G8</f>
        <v>120.72082101208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0.675956926406926</v>
      </c>
      <c r="F9" s="13">
        <v>0.16</v>
      </c>
      <c r="G9" s="6">
        <f>'C0915上悬'!$G$9</f>
        <v>23.7610619469027</v>
      </c>
      <c r="H9" s="6">
        <f t="shared" si="0"/>
        <v>18.6312871060798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0.0708088023088023</v>
      </c>
      <c r="F10" s="13">
        <v>0.16</v>
      </c>
      <c r="G10" s="6">
        <f>'C0915上悬'!$G$10</f>
        <v>22.1681415929204</v>
      </c>
      <c r="H10" s="6">
        <f t="shared" si="0"/>
        <v>1.8208514845037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9.04536302766389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0.12025012025012</v>
      </c>
      <c r="F13" s="13">
        <v>0</v>
      </c>
      <c r="G13" s="6">
        <f>'NC1515防火 '!$G$13</f>
        <v>75.2212389380531</v>
      </c>
      <c r="H13" s="6">
        <f>E13*(1+F13)*G13</f>
        <v>9.04536302766389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H15+H17</f>
        <v>145.269571347429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0.229515592833093</v>
      </c>
      <c r="F15" s="13">
        <v>0.03</v>
      </c>
      <c r="G15" s="6">
        <f>'C1815平开'!$G$15</f>
        <v>154.867256637168</v>
      </c>
      <c r="H15" s="6">
        <f>E15*(1+F15)*G15</f>
        <v>36.6107837240398</v>
      </c>
      <c r="I15" s="4" t="s">
        <v>110</v>
      </c>
    </row>
    <row r="16" s="1" customFormat="1" customHeight="1" spans="1:9">
      <c r="A16" s="4">
        <v>3.2</v>
      </c>
      <c r="B16" s="4" t="s">
        <v>69</v>
      </c>
      <c r="C16" s="4"/>
      <c r="D16" s="4" t="s">
        <v>109</v>
      </c>
      <c r="E16" s="6">
        <v>0.315879028379028</v>
      </c>
      <c r="F16" s="13">
        <v>0.03</v>
      </c>
      <c r="G16" s="6">
        <f>材料单价!$D$7</f>
        <v>170.796460176991</v>
      </c>
      <c r="H16" s="6">
        <f>E16*(1+F16)*G16</f>
        <v>55.5695504880238</v>
      </c>
      <c r="I16" s="4" t="s">
        <v>110</v>
      </c>
    </row>
    <row r="17" s="1" customFormat="1" ht="30" customHeight="1" spans="1:9">
      <c r="A17" s="4">
        <v>3.3</v>
      </c>
      <c r="B17" s="15" t="s">
        <v>70</v>
      </c>
      <c r="C17" s="15"/>
      <c r="D17" s="14" t="s">
        <v>109</v>
      </c>
      <c r="E17" s="16">
        <v>0.361556036556037</v>
      </c>
      <c r="F17" s="17">
        <v>0.2</v>
      </c>
      <c r="G17" s="16">
        <f>材料单价!$D$8</f>
        <v>250.442477876106</v>
      </c>
      <c r="H17" s="6">
        <f>E17*(1+F17)*G17</f>
        <v>108.658787623389</v>
      </c>
      <c r="I17" s="4" t="s">
        <v>142</v>
      </c>
    </row>
    <row r="18" s="1" customFormat="1" customHeight="1" spans="1:9">
      <c r="A18" s="9">
        <v>4</v>
      </c>
      <c r="B18" s="9" t="s">
        <v>111</v>
      </c>
      <c r="C18" s="9"/>
      <c r="D18" s="9"/>
      <c r="E18" s="9"/>
      <c r="F18" s="9"/>
      <c r="G18" s="9"/>
      <c r="H18" s="10">
        <f>SUM(H19:H23)</f>
        <v>13.283857979798</v>
      </c>
      <c r="I18" s="23" t="s">
        <v>112</v>
      </c>
    </row>
    <row r="19" s="1" customFormat="1" customHeight="1" spans="1:9">
      <c r="A19" s="4">
        <v>4.1</v>
      </c>
      <c r="B19" s="4" t="s">
        <v>113</v>
      </c>
      <c r="C19" s="4"/>
      <c r="D19" s="4" t="s">
        <v>80</v>
      </c>
      <c r="E19" s="6"/>
      <c r="F19" s="13">
        <v>0.03</v>
      </c>
      <c r="G19" s="6">
        <f>'C0915上悬'!$G$17</f>
        <v>0</v>
      </c>
      <c r="H19" s="6">
        <f t="shared" ref="H19:H23" si="1">E19*(1+F19)*G19</f>
        <v>0</v>
      </c>
      <c r="I19" s="4" t="s">
        <v>114</v>
      </c>
    </row>
    <row r="20" s="1" customFormat="1" customHeight="1" spans="1:9">
      <c r="A20" s="4">
        <v>4.2</v>
      </c>
      <c r="B20" s="4" t="s">
        <v>79</v>
      </c>
      <c r="C20" s="4"/>
      <c r="D20" s="4" t="s">
        <v>80</v>
      </c>
      <c r="E20" s="6">
        <v>1.21319143819144</v>
      </c>
      <c r="F20" s="13">
        <v>0.03</v>
      </c>
      <c r="G20" s="6">
        <f>'C0915上悬'!$G$18</f>
        <v>9.38</v>
      </c>
      <c r="H20" s="6">
        <f t="shared" si="1"/>
        <v>11.7211277609428</v>
      </c>
      <c r="I20" s="4" t="s">
        <v>114</v>
      </c>
    </row>
    <row r="21" s="1" customFormat="1" customHeight="1" spans="1:9">
      <c r="A21" s="4">
        <v>4.3</v>
      </c>
      <c r="B21" s="4" t="s">
        <v>81</v>
      </c>
      <c r="C21" s="4"/>
      <c r="D21" s="4" t="s">
        <v>80</v>
      </c>
      <c r="E21" s="6">
        <v>0.0659371492704826</v>
      </c>
      <c r="F21" s="13">
        <v>0.03</v>
      </c>
      <c r="G21" s="6">
        <f>'C0915上悬'!$G$19</f>
        <v>23.01</v>
      </c>
      <c r="H21" s="6">
        <f t="shared" si="1"/>
        <v>1.56273021885522</v>
      </c>
      <c r="I21" s="4" t="s">
        <v>115</v>
      </c>
    </row>
    <row r="22" s="1" customFormat="1" customHeight="1" spans="1:9">
      <c r="A22" s="4">
        <v>4.4</v>
      </c>
      <c r="B22" s="4" t="s">
        <v>116</v>
      </c>
      <c r="C22" s="4"/>
      <c r="D22" s="4" t="s">
        <v>80</v>
      </c>
      <c r="E22" s="6"/>
      <c r="F22" s="13">
        <v>0</v>
      </c>
      <c r="G22" s="6">
        <f>'C0915上悬'!$G$20</f>
        <v>0</v>
      </c>
      <c r="H22" s="6">
        <f t="shared" si="1"/>
        <v>0</v>
      </c>
      <c r="I22" s="4"/>
    </row>
    <row r="23" s="1" customFormat="1" customHeight="1" spans="1:9">
      <c r="A23" s="4">
        <v>4.5</v>
      </c>
      <c r="B23" s="4" t="s">
        <v>117</v>
      </c>
      <c r="C23" s="4"/>
      <c r="D23" s="4" t="s">
        <v>83</v>
      </c>
      <c r="E23" s="6"/>
      <c r="F23" s="13">
        <v>0</v>
      </c>
      <c r="G23" s="6">
        <f>'C0915上悬'!$G$21</f>
        <v>7.07964601769912</v>
      </c>
      <c r="H23" s="6">
        <f t="shared" si="1"/>
        <v>0</v>
      </c>
      <c r="I23" s="7"/>
    </row>
    <row r="24" s="1" customFormat="1" customHeight="1" spans="1:9">
      <c r="A24" s="9">
        <v>5</v>
      </c>
      <c r="B24" s="9" t="s">
        <v>118</v>
      </c>
      <c r="C24" s="9"/>
      <c r="D24" s="9"/>
      <c r="E24" s="9"/>
      <c r="F24" s="9"/>
      <c r="G24" s="9"/>
      <c r="H24" s="10">
        <f>SUM(H25:H29)</f>
        <v>10.1044007792208</v>
      </c>
      <c r="I24" s="23" t="s">
        <v>112</v>
      </c>
    </row>
    <row r="25" s="1" customFormat="1" customHeight="1" spans="1:9">
      <c r="A25" s="4">
        <v>5.1</v>
      </c>
      <c r="B25" s="4" t="s">
        <v>82</v>
      </c>
      <c r="C25" s="4"/>
      <c r="D25" s="4" t="s">
        <v>83</v>
      </c>
      <c r="E25" s="6">
        <v>0.992809042809043</v>
      </c>
      <c r="F25" s="13">
        <v>0.03</v>
      </c>
      <c r="G25" s="6">
        <f>'C0915上悬'!$G$23</f>
        <v>1.08</v>
      </c>
      <c r="H25" s="6">
        <f t="shared" ref="H25:H35" si="2">E25*(1+F25)*G25</f>
        <v>1.10440077922078</v>
      </c>
      <c r="I25" s="4" t="s">
        <v>119</v>
      </c>
    </row>
    <row r="26" s="1" customFormat="1" customHeight="1" spans="1:9">
      <c r="A26" s="4">
        <v>5.2</v>
      </c>
      <c r="B26" s="4" t="s">
        <v>120</v>
      </c>
      <c r="C26" s="4"/>
      <c r="D26" s="4" t="s">
        <v>83</v>
      </c>
      <c r="E26" s="6"/>
      <c r="F26" s="13">
        <v>0.03</v>
      </c>
      <c r="G26" s="6">
        <f>'C0915上悬'!$G$24</f>
        <v>0.0973451327433628</v>
      </c>
      <c r="H26" s="6">
        <f t="shared" si="2"/>
        <v>0</v>
      </c>
      <c r="I26" s="4"/>
    </row>
    <row r="27" s="1" customFormat="1" customHeight="1" spans="1:9">
      <c r="A27" s="4">
        <v>5.3</v>
      </c>
      <c r="B27" s="4" t="s">
        <v>121</v>
      </c>
      <c r="C27" s="4"/>
      <c r="D27" s="4" t="s">
        <v>122</v>
      </c>
      <c r="E27" s="6"/>
      <c r="F27" s="13">
        <v>0</v>
      </c>
      <c r="G27" s="6">
        <f>'C0915上悬'!$G$25</f>
        <v>0</v>
      </c>
      <c r="H27" s="6">
        <f t="shared" si="2"/>
        <v>0</v>
      </c>
      <c r="I27" s="7" t="s">
        <v>112</v>
      </c>
    </row>
    <row r="28" s="1" customFormat="1" customHeight="1" spans="1:9">
      <c r="A28" s="4">
        <v>5.4</v>
      </c>
      <c r="B28" s="4" t="s">
        <v>123</v>
      </c>
      <c r="C28" s="4"/>
      <c r="D28" s="4" t="s">
        <v>122</v>
      </c>
      <c r="E28" s="6"/>
      <c r="F28" s="13">
        <v>0</v>
      </c>
      <c r="G28" s="6">
        <f>'C0915上悬'!$G$26</f>
        <v>0</v>
      </c>
      <c r="H28" s="6">
        <f t="shared" si="2"/>
        <v>0</v>
      </c>
      <c r="I28" s="4"/>
    </row>
    <row r="29" s="1" customFormat="1" customHeight="1" spans="1:9">
      <c r="A29" s="4">
        <v>5.5</v>
      </c>
      <c r="B29" s="4" t="s">
        <v>124</v>
      </c>
      <c r="C29" s="4"/>
      <c r="D29" s="4" t="s">
        <v>109</v>
      </c>
      <c r="E29" s="6">
        <v>1</v>
      </c>
      <c r="F29" s="13">
        <v>0</v>
      </c>
      <c r="G29" s="6">
        <f>'C0915上悬'!$G$27</f>
        <v>9</v>
      </c>
      <c r="H29" s="6">
        <f t="shared" si="2"/>
        <v>9</v>
      </c>
      <c r="I29" s="4"/>
    </row>
    <row r="30" s="1" customFormat="1" customHeight="1" spans="1:9">
      <c r="A30" s="18">
        <v>6</v>
      </c>
      <c r="B30" s="19" t="s">
        <v>125</v>
      </c>
      <c r="C30" s="19"/>
      <c r="D30" s="19" t="s">
        <v>109</v>
      </c>
      <c r="E30" s="20">
        <v>1</v>
      </c>
      <c r="F30" s="20">
        <v>0</v>
      </c>
      <c r="G30" s="20">
        <f>'C0915上悬'!$G$28</f>
        <v>32</v>
      </c>
      <c r="H30" s="10">
        <f t="shared" si="2"/>
        <v>32</v>
      </c>
      <c r="I30" s="23" t="s">
        <v>112</v>
      </c>
    </row>
    <row r="31" s="1" customFormat="1" customHeight="1" spans="1:9">
      <c r="A31" s="9">
        <v>7</v>
      </c>
      <c r="B31" s="19" t="s">
        <v>126</v>
      </c>
      <c r="C31" s="19"/>
      <c r="D31" s="19" t="s">
        <v>109</v>
      </c>
      <c r="E31" s="20">
        <v>1</v>
      </c>
      <c r="F31" s="20">
        <v>0</v>
      </c>
      <c r="G31" s="20">
        <f>'C0915上悬'!$G$29</f>
        <v>65</v>
      </c>
      <c r="H31" s="10">
        <f t="shared" si="2"/>
        <v>65</v>
      </c>
      <c r="I31" s="23" t="s">
        <v>112</v>
      </c>
    </row>
    <row r="32" s="1" customFormat="1" customHeight="1" spans="1:9">
      <c r="A32" s="9">
        <v>8</v>
      </c>
      <c r="B32" s="19" t="s">
        <v>127</v>
      </c>
      <c r="C32" s="19"/>
      <c r="D32" s="19" t="s">
        <v>109</v>
      </c>
      <c r="E32" s="20">
        <v>1</v>
      </c>
      <c r="F32" s="20">
        <v>0</v>
      </c>
      <c r="G32" s="20">
        <f>'C0915上悬'!$G$30</f>
        <v>6</v>
      </c>
      <c r="H32" s="10">
        <f t="shared" si="2"/>
        <v>6</v>
      </c>
      <c r="I32" s="23" t="s">
        <v>112</v>
      </c>
    </row>
    <row r="33" s="1" customFormat="1" customHeight="1" spans="1:9">
      <c r="A33" s="19">
        <v>9</v>
      </c>
      <c r="B33" s="19" t="s">
        <v>128</v>
      </c>
      <c r="C33" s="19"/>
      <c r="D33" s="19" t="s">
        <v>109</v>
      </c>
      <c r="E33" s="20">
        <v>1</v>
      </c>
      <c r="F33" s="20">
        <v>0</v>
      </c>
      <c r="G33" s="20">
        <f>'C0915上悬'!$G$31</f>
        <v>2</v>
      </c>
      <c r="H33" s="10">
        <f t="shared" si="2"/>
        <v>2</v>
      </c>
      <c r="I33" s="23" t="s">
        <v>112</v>
      </c>
    </row>
    <row r="34" s="1" customFormat="1" customHeight="1" spans="1:9">
      <c r="A34" s="19">
        <v>10</v>
      </c>
      <c r="B34" s="19" t="s">
        <v>129</v>
      </c>
      <c r="C34" s="19"/>
      <c r="D34" s="19" t="s">
        <v>109</v>
      </c>
      <c r="E34" s="20">
        <v>1</v>
      </c>
      <c r="F34" s="20">
        <v>0</v>
      </c>
      <c r="G34" s="20">
        <f>'C0915上悬'!$G$32</f>
        <v>8</v>
      </c>
      <c r="H34" s="10">
        <f t="shared" si="2"/>
        <v>8</v>
      </c>
      <c r="I34" s="23" t="s">
        <v>112</v>
      </c>
    </row>
    <row r="35" s="1" customFormat="1" customHeight="1" spans="1:9">
      <c r="A35" s="19">
        <v>11</v>
      </c>
      <c r="B35" s="19" t="s">
        <v>130</v>
      </c>
      <c r="C35" s="19"/>
      <c r="D35" s="19" t="s">
        <v>109</v>
      </c>
      <c r="E35" s="20">
        <v>1</v>
      </c>
      <c r="F35" s="20">
        <v>0</v>
      </c>
      <c r="G35" s="20">
        <f>'C0915上悬'!$G$33</f>
        <v>9</v>
      </c>
      <c r="H35" s="10">
        <f t="shared" si="2"/>
        <v>9</v>
      </c>
      <c r="I35" s="23" t="s">
        <v>112</v>
      </c>
    </row>
    <row r="36" s="1" customFormat="1" customHeight="1" spans="1:9">
      <c r="A36" s="19">
        <v>12</v>
      </c>
      <c r="B36" s="21" t="s">
        <v>131</v>
      </c>
      <c r="C36" s="22"/>
      <c r="D36" s="19" t="s">
        <v>132</v>
      </c>
      <c r="E36" s="21" t="s">
        <v>133</v>
      </c>
      <c r="F36" s="22"/>
      <c r="G36" s="23"/>
      <c r="H36" s="10">
        <f>SUM(H30:H35,H24,H18,H14,H12,H7)</f>
        <v>440.876152736776</v>
      </c>
      <c r="I36" s="26" t="s">
        <v>134</v>
      </c>
    </row>
    <row r="37" customHeight="1" spans="1:9">
      <c r="A37" s="19">
        <v>13</v>
      </c>
      <c r="B37" s="21" t="s">
        <v>135</v>
      </c>
      <c r="C37" s="22"/>
      <c r="D37" s="19" t="s">
        <v>132</v>
      </c>
      <c r="E37" s="21" t="s">
        <v>136</v>
      </c>
      <c r="F37" s="22"/>
      <c r="G37" s="24">
        <v>0.085</v>
      </c>
      <c r="H37" s="10">
        <f>H36*G37</f>
        <v>37.4744729826259</v>
      </c>
      <c r="I37" s="27"/>
    </row>
    <row r="38" customHeight="1" spans="1:9">
      <c r="A38" s="19">
        <v>14</v>
      </c>
      <c r="B38" s="21" t="s">
        <v>137</v>
      </c>
      <c r="C38" s="22"/>
      <c r="D38" s="19" t="s">
        <v>132</v>
      </c>
      <c r="E38" s="21" t="s">
        <v>138</v>
      </c>
      <c r="F38" s="22"/>
      <c r="G38" s="23"/>
      <c r="H38" s="10">
        <f>H36+H37</f>
        <v>478.350625719401</v>
      </c>
      <c r="I38" s="28">
        <f>H38</f>
        <v>478.350625719401</v>
      </c>
    </row>
    <row r="46" ht="28" customHeight="1"/>
    <row r="47" ht="28" customHeight="1"/>
  </sheetData>
  <mergeCells count="47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C17"/>
    <mergeCell ref="B18:G18"/>
    <mergeCell ref="B19:C19"/>
    <mergeCell ref="B20:C20"/>
    <mergeCell ref="B21:C21"/>
    <mergeCell ref="B22:C22"/>
    <mergeCell ref="B23:C23"/>
    <mergeCell ref="B24:G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E36:F36"/>
    <mergeCell ref="B37:C37"/>
    <mergeCell ref="E37:F37"/>
    <mergeCell ref="B38:C38"/>
    <mergeCell ref="E38:F38"/>
    <mergeCell ref="A4:A5"/>
    <mergeCell ref="B4:B5"/>
    <mergeCell ref="C4:C5"/>
    <mergeCell ref="D4:D5"/>
    <mergeCell ref="E4:E5"/>
    <mergeCell ref="I36:I37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100" topLeftCell="A7" workbookViewId="0">
      <selection activeCell="G22" sqref="G22"/>
    </sheetView>
  </sheetViews>
  <sheetFormatPr defaultColWidth="9" defaultRowHeight="14.4" outlineLevelCol="7"/>
  <cols>
    <col min="3" max="3" width="13.75" style="32" customWidth="1"/>
    <col min="4" max="4" width="12.5" style="32" customWidth="1"/>
    <col min="5" max="5" width="12.5" customWidth="1"/>
    <col min="6" max="6" width="15.1296296296296" customWidth="1"/>
    <col min="7" max="7" width="17.3796296296296" style="32" customWidth="1"/>
    <col min="9" max="10" width="12.6296296296296"/>
  </cols>
  <sheetData>
    <row r="1" ht="35" customHeight="1" spans="1:8">
      <c r="A1" s="50" t="s">
        <v>8</v>
      </c>
      <c r="B1" s="50"/>
      <c r="C1" s="51"/>
      <c r="D1" s="51"/>
      <c r="E1" s="50"/>
      <c r="F1" s="50"/>
      <c r="G1" s="51"/>
      <c r="H1" s="50"/>
    </row>
    <row r="2" ht="33" customHeight="1" spans="1:8">
      <c r="A2" s="52" t="s">
        <v>1</v>
      </c>
      <c r="B2" s="52" t="s">
        <v>2</v>
      </c>
      <c r="C2" s="49" t="s">
        <v>9</v>
      </c>
      <c r="D2" s="49" t="s">
        <v>10</v>
      </c>
      <c r="E2" s="53" t="s">
        <v>11</v>
      </c>
      <c r="F2" s="53" t="s">
        <v>12</v>
      </c>
      <c r="G2" s="49" t="s">
        <v>13</v>
      </c>
      <c r="H2" s="53" t="s">
        <v>4</v>
      </c>
    </row>
    <row r="3" ht="30" customHeight="1" spans="1:8">
      <c r="A3" s="54"/>
      <c r="B3" s="54"/>
      <c r="C3" s="55" t="s">
        <v>14</v>
      </c>
      <c r="D3" s="55" t="s">
        <v>15</v>
      </c>
      <c r="E3" s="56" t="s">
        <v>16</v>
      </c>
      <c r="F3" s="56">
        <v>4</v>
      </c>
      <c r="G3" s="55" t="s">
        <v>17</v>
      </c>
      <c r="H3" s="53"/>
    </row>
    <row r="4" ht="35" customHeight="1" spans="1:8">
      <c r="A4" s="57">
        <v>1</v>
      </c>
      <c r="B4" s="57" t="s">
        <v>18</v>
      </c>
      <c r="C4" s="58">
        <f>SUM(C5:C7)</f>
        <v>14.935</v>
      </c>
      <c r="D4" s="58"/>
      <c r="E4" s="60"/>
      <c r="F4" s="60">
        <f>G4/C4</f>
        <v>891.460638497418</v>
      </c>
      <c r="G4" s="58">
        <f>SUM(G5:G7)</f>
        <v>13313.9646359589</v>
      </c>
      <c r="H4" s="61"/>
    </row>
    <row r="5" ht="30" customHeight="1" spans="1:8">
      <c r="A5" s="53"/>
      <c r="B5" s="47" t="s">
        <v>19</v>
      </c>
      <c r="C5" s="49">
        <f>工程量统计!L4</f>
        <v>2.61</v>
      </c>
      <c r="D5" s="49">
        <f>'C0915上悬'!H36</f>
        <v>785.847525429974</v>
      </c>
      <c r="E5" s="68">
        <v>0.09</v>
      </c>
      <c r="F5" s="49">
        <f t="shared" ref="F5:F19" si="0">D5*(1+E5)</f>
        <v>856.573802718672</v>
      </c>
      <c r="G5" s="49">
        <f>F5*C5</f>
        <v>2235.65762509573</v>
      </c>
      <c r="H5" s="49"/>
    </row>
    <row r="6" ht="30" customHeight="1" spans="1:8">
      <c r="A6" s="53"/>
      <c r="B6" s="47" t="s">
        <v>20</v>
      </c>
      <c r="C6" s="49">
        <f>工程量统计!L5</f>
        <v>3.045</v>
      </c>
      <c r="D6" s="49">
        <f>'C0715上悬'!H36</f>
        <v>884.525246111754</v>
      </c>
      <c r="E6" s="68">
        <v>0.09</v>
      </c>
      <c r="F6" s="49">
        <f t="shared" si="0"/>
        <v>964.132518261812</v>
      </c>
      <c r="G6" s="49">
        <f>F6*C6</f>
        <v>2935.78351810722</v>
      </c>
      <c r="H6" s="49"/>
    </row>
    <row r="7" ht="30" customHeight="1" spans="1:8">
      <c r="A7" s="53"/>
      <c r="B7" s="47" t="s">
        <v>21</v>
      </c>
      <c r="C7" s="49">
        <f>工程量统计!L6</f>
        <v>9.28</v>
      </c>
      <c r="D7" s="49">
        <f>'C0815上悬'!H36</f>
        <v>804.978991295871</v>
      </c>
      <c r="E7" s="68">
        <v>0.09</v>
      </c>
      <c r="F7" s="49">
        <f t="shared" si="0"/>
        <v>877.427100512499</v>
      </c>
      <c r="G7" s="49">
        <f>F7*C7</f>
        <v>8142.52349275599</v>
      </c>
      <c r="H7" s="49"/>
    </row>
    <row r="8" ht="30" customHeight="1" spans="1:8">
      <c r="A8" s="61">
        <v>2</v>
      </c>
      <c r="B8" s="69" t="s">
        <v>22</v>
      </c>
      <c r="C8" s="70">
        <f>SUM(C9:C19)</f>
        <v>76.755</v>
      </c>
      <c r="D8" s="58"/>
      <c r="E8" s="60"/>
      <c r="F8" s="60">
        <f>G8/C8</f>
        <v>634.354548032108</v>
      </c>
      <c r="G8" s="70">
        <f>SUM(G9:G19)</f>
        <v>48689.8833342045</v>
      </c>
      <c r="H8" s="71"/>
    </row>
    <row r="9" ht="30" customHeight="1" spans="1:8">
      <c r="A9" s="53"/>
      <c r="B9" s="47" t="s">
        <v>23</v>
      </c>
      <c r="C9" s="49">
        <f>工程量统计!L7</f>
        <v>4.35</v>
      </c>
      <c r="D9" s="49">
        <f>'NC1515防火 '!H37</f>
        <v>731.82626686879</v>
      </c>
      <c r="E9" s="68">
        <v>0.09</v>
      </c>
      <c r="F9" s="49">
        <f t="shared" si="0"/>
        <v>797.690630886981</v>
      </c>
      <c r="G9" s="49">
        <f t="shared" ref="G5:G19" si="1">F9*C9</f>
        <v>3469.95424435837</v>
      </c>
      <c r="H9" s="49"/>
    </row>
    <row r="10" ht="30" customHeight="1" spans="1:8">
      <c r="A10" s="53"/>
      <c r="B10" s="47" t="s">
        <v>24</v>
      </c>
      <c r="C10" s="49">
        <f>工程量统计!L8</f>
        <v>14.94</v>
      </c>
      <c r="D10" s="49">
        <f>ZJC3323平开!H37</f>
        <v>516.497853742169</v>
      </c>
      <c r="E10" s="68">
        <v>0.09</v>
      </c>
      <c r="F10" s="49">
        <f t="shared" si="0"/>
        <v>562.982660578964</v>
      </c>
      <c r="G10" s="49">
        <f t="shared" si="1"/>
        <v>8410.96094904973</v>
      </c>
      <c r="H10" s="49"/>
    </row>
    <row r="11" ht="30" customHeight="1" spans="1:8">
      <c r="A11" s="53"/>
      <c r="B11" s="47" t="s">
        <v>25</v>
      </c>
      <c r="C11" s="49">
        <f>工程量统计!L9</f>
        <v>9</v>
      </c>
      <c r="D11" s="49">
        <f>NPC2023防火!H37</f>
        <v>684.58411323721</v>
      </c>
      <c r="E11" s="68">
        <v>0.09</v>
      </c>
      <c r="F11" s="49">
        <f t="shared" si="0"/>
        <v>746.196683428559</v>
      </c>
      <c r="G11" s="49">
        <f t="shared" si="1"/>
        <v>6715.77015085703</v>
      </c>
      <c r="H11" s="49"/>
    </row>
    <row r="12" ht="30" customHeight="1" spans="1:8">
      <c r="A12" s="53"/>
      <c r="B12" s="47" t="s">
        <v>26</v>
      </c>
      <c r="C12" s="49">
        <f>工程量统计!L10</f>
        <v>6.075</v>
      </c>
      <c r="D12" s="49">
        <f>'C2723平开'!H37</f>
        <v>531.605191178119</v>
      </c>
      <c r="E12" s="68">
        <v>0.09</v>
      </c>
      <c r="F12" s="49">
        <f t="shared" si="0"/>
        <v>579.44965838415</v>
      </c>
      <c r="G12" s="49">
        <f t="shared" si="1"/>
        <v>3520.15667468371</v>
      </c>
      <c r="H12" s="49"/>
    </row>
    <row r="13" ht="30" customHeight="1" spans="1:8">
      <c r="A13" s="53"/>
      <c r="B13" s="47" t="s">
        <v>27</v>
      </c>
      <c r="C13" s="49">
        <f>工程量统计!L11</f>
        <v>6.525</v>
      </c>
      <c r="D13" s="49">
        <f>'C2923平开'!H37</f>
        <v>536.953419529753</v>
      </c>
      <c r="E13" s="68">
        <v>0.09</v>
      </c>
      <c r="F13" s="49">
        <f t="shared" si="0"/>
        <v>585.279227287431</v>
      </c>
      <c r="G13" s="49">
        <f t="shared" si="1"/>
        <v>3818.94695805049</v>
      </c>
      <c r="H13" s="49"/>
    </row>
    <row r="14" ht="30" customHeight="1" spans="1:8">
      <c r="A14" s="53"/>
      <c r="B14" s="47" t="s">
        <v>28</v>
      </c>
      <c r="C14" s="49">
        <f>工程量统计!L12</f>
        <v>2.61</v>
      </c>
      <c r="D14" s="49">
        <f>'C1815平开'!H37</f>
        <v>658.109798844967</v>
      </c>
      <c r="E14" s="68">
        <v>0.09</v>
      </c>
      <c r="F14" s="49">
        <f t="shared" si="0"/>
        <v>717.339680741014</v>
      </c>
      <c r="G14" s="49">
        <f t="shared" si="1"/>
        <v>1872.25656673405</v>
      </c>
      <c r="H14" s="49"/>
    </row>
    <row r="15" ht="30" customHeight="1" spans="1:8">
      <c r="A15" s="53"/>
      <c r="B15" s="47" t="s">
        <v>29</v>
      </c>
      <c r="C15" s="49">
        <f>工程量统计!L13</f>
        <v>5.22</v>
      </c>
      <c r="D15" s="49">
        <f>NC1815防火!H37</f>
        <v>676.704304056018</v>
      </c>
      <c r="E15" s="68">
        <v>0.09</v>
      </c>
      <c r="F15" s="49">
        <f t="shared" si="0"/>
        <v>737.60769142106</v>
      </c>
      <c r="G15" s="49">
        <f t="shared" si="1"/>
        <v>3850.31214921793</v>
      </c>
      <c r="H15" s="49"/>
    </row>
    <row r="16" ht="30" customHeight="1" spans="1:8">
      <c r="A16" s="53"/>
      <c r="B16" s="47" t="s">
        <v>30</v>
      </c>
      <c r="C16" s="49">
        <f>工程量统计!L14</f>
        <v>17.145</v>
      </c>
      <c r="D16" s="49">
        <f>YTFC1平开!H38</f>
        <v>478.350625719401</v>
      </c>
      <c r="E16" s="68">
        <v>0.09</v>
      </c>
      <c r="F16" s="49">
        <f t="shared" si="0"/>
        <v>521.402182034147</v>
      </c>
      <c r="G16" s="49">
        <f t="shared" si="1"/>
        <v>8939.44041097545</v>
      </c>
      <c r="H16" s="49"/>
    </row>
    <row r="17" ht="30" customHeight="1" spans="1:8">
      <c r="A17" s="53"/>
      <c r="B17" s="47" t="s">
        <v>31</v>
      </c>
      <c r="C17" s="49">
        <f>工程量统计!L15</f>
        <v>5.625</v>
      </c>
      <c r="D17" s="49">
        <f>YTFC2平开!H37</f>
        <v>559.852684695793</v>
      </c>
      <c r="E17" s="68">
        <v>0.09</v>
      </c>
      <c r="F17" s="49">
        <f t="shared" si="0"/>
        <v>610.239426318414</v>
      </c>
      <c r="G17" s="49">
        <f t="shared" si="1"/>
        <v>3432.59677304108</v>
      </c>
      <c r="H17" s="49"/>
    </row>
    <row r="18" ht="30" customHeight="1" spans="1:8">
      <c r="A18" s="53"/>
      <c r="B18" s="72" t="s">
        <v>32</v>
      </c>
      <c r="C18" s="49">
        <f>工程量统计!L16</f>
        <v>1.74</v>
      </c>
      <c r="D18" s="49">
        <f>'C1215平开'!H37</f>
        <v>826.354701370229</v>
      </c>
      <c r="E18" s="68">
        <v>0.09</v>
      </c>
      <c r="F18" s="49">
        <f t="shared" si="0"/>
        <v>900.72662449355</v>
      </c>
      <c r="G18" s="49">
        <f t="shared" si="1"/>
        <v>1567.26432661878</v>
      </c>
      <c r="H18" s="49"/>
    </row>
    <row r="19" ht="30" customHeight="1" spans="1:8">
      <c r="A19" s="53"/>
      <c r="B19" s="72" t="s">
        <v>33</v>
      </c>
      <c r="C19" s="49">
        <f>工程量统计!L17</f>
        <v>3.525</v>
      </c>
      <c r="D19" s="49">
        <f>'C1524平开'!H37</f>
        <v>804.795141028788</v>
      </c>
      <c r="E19" s="68">
        <v>0.09</v>
      </c>
      <c r="F19" s="49">
        <f t="shared" si="0"/>
        <v>877.226703721379</v>
      </c>
      <c r="G19" s="49">
        <f t="shared" si="1"/>
        <v>3092.22413061786</v>
      </c>
      <c r="H19" s="49"/>
    </row>
    <row r="20" ht="29" customHeight="1" spans="1:8">
      <c r="A20" s="61">
        <v>3</v>
      </c>
      <c r="B20" s="69" t="s">
        <v>34</v>
      </c>
      <c r="C20" s="70">
        <f>SUM(C21)</f>
        <v>2.07</v>
      </c>
      <c r="D20" s="70"/>
      <c r="E20" s="60"/>
      <c r="F20" s="60">
        <f>G20/C20</f>
        <v>537.83665903759</v>
      </c>
      <c r="G20" s="70">
        <f>SUM(G21)</f>
        <v>1113.32188420781</v>
      </c>
      <c r="H20" s="71"/>
    </row>
    <row r="21" ht="30" customHeight="1" spans="1:8">
      <c r="A21" s="53"/>
      <c r="B21" s="47" t="s">
        <v>35</v>
      </c>
      <c r="C21" s="49">
        <f>工程量统计!L18</f>
        <v>2.07</v>
      </c>
      <c r="D21" s="49">
        <f>YTC3固定!H37</f>
        <v>493.428127557422</v>
      </c>
      <c r="E21" s="68">
        <v>0.09</v>
      </c>
      <c r="F21" s="49">
        <f>D21*(1+E21)</f>
        <v>537.83665903759</v>
      </c>
      <c r="G21" s="49">
        <f>F21*C21</f>
        <v>1113.32188420781</v>
      </c>
      <c r="H21" s="49"/>
    </row>
    <row r="22" ht="30" customHeight="1" spans="1:8">
      <c r="A22" s="62"/>
      <c r="B22" s="62" t="s">
        <v>36</v>
      </c>
      <c r="C22" s="63">
        <f>C20+C8+C4</f>
        <v>93.76</v>
      </c>
      <c r="D22" s="64"/>
      <c r="E22" s="65"/>
      <c r="F22" s="64">
        <f>G22/C22</f>
        <v>673.178006125973</v>
      </c>
      <c r="G22" s="66">
        <f>G20+G8+G4</f>
        <v>63117.1698543712</v>
      </c>
      <c r="H22" s="64"/>
    </row>
    <row r="23" ht="29" customHeight="1" spans="1:8">
      <c r="A23" s="67" t="s">
        <v>37</v>
      </c>
      <c r="B23" s="67"/>
      <c r="C23" s="67"/>
      <c r="D23" s="67"/>
      <c r="E23" s="67"/>
      <c r="F23" s="67"/>
      <c r="G23" s="67"/>
      <c r="H23" s="67"/>
    </row>
    <row r="27" spans="7:7">
      <c r="G27" s="32">
        <f>G22+栏杆工程!G5</f>
        <v>65263.1838543712</v>
      </c>
    </row>
  </sheetData>
  <mergeCells count="4">
    <mergeCell ref="A1:H1"/>
    <mergeCell ref="A23:H23"/>
    <mergeCell ref="A2:A3"/>
    <mergeCell ref="B2:B3"/>
  </mergeCells>
  <pageMargins left="0.75" right="0.75" top="1" bottom="1" header="0.5" footer="0.5"/>
  <pageSetup paperSize="9" scale="89" orientation="portrait"/>
  <headerFooter/>
  <rowBreaks count="1" manualBreakCount="1">
    <brk id="23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workbookViewId="0">
      <selection activeCell="F16" sqref="F16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0" width="9.62962962962963" style="1"/>
    <col min="11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工程量统计!D8</f>
        <v>ZJC3323</v>
      </c>
      <c r="C3" s="4"/>
      <c r="D3" s="4"/>
      <c r="E3" s="4" t="s">
        <v>89</v>
      </c>
      <c r="F3" s="5" t="s">
        <v>140</v>
      </c>
      <c r="G3" s="5"/>
      <c r="H3" s="4"/>
      <c r="I3" s="4"/>
    </row>
    <row r="4" s="1" customFormat="1" customHeight="1" spans="1:9">
      <c r="A4" s="5" t="s">
        <v>91</v>
      </c>
      <c r="B4" s="4">
        <f>2600+720</f>
        <v>3320</v>
      </c>
      <c r="C4" s="5" t="s">
        <v>92</v>
      </c>
      <c r="D4" s="4">
        <f>工程量统计!F8</f>
        <v>2250</v>
      </c>
      <c r="E4" s="4" t="s">
        <v>93</v>
      </c>
      <c r="F4" s="6">
        <f>B4*D4/1000000</f>
        <v>7.47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7.26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165.780420488042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4.9551767630854</v>
      </c>
      <c r="F8" s="13">
        <v>0.16</v>
      </c>
      <c r="G8" s="6">
        <f>'C0915上悬'!$G$8</f>
        <v>24.8230088495575</v>
      </c>
      <c r="H8" s="6">
        <f t="shared" ref="H8:H11" si="0">E8*(1+F8)*G8</f>
        <v>142.682780103781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0.735470991735537</v>
      </c>
      <c r="F9" s="13">
        <v>0.16</v>
      </c>
      <c r="G9" s="6">
        <f>'C0915上悬'!$G$9</f>
        <v>23.7610619469027</v>
      </c>
      <c r="H9" s="6">
        <f t="shared" si="0"/>
        <v>20.2716632819425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0.109895867768595</v>
      </c>
      <c r="F10" s="13">
        <v>0.16</v>
      </c>
      <c r="G10" s="6">
        <f>'C0915上悬'!$G$10</f>
        <v>22.1681415929204</v>
      </c>
      <c r="H10" s="6">
        <f t="shared" si="0"/>
        <v>2.82597710231844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10.3610521953241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0.137741046831956</v>
      </c>
      <c r="F13" s="13">
        <v>0</v>
      </c>
      <c r="G13" s="6">
        <f>'NC1515防火 '!$G$13</f>
        <v>75.2212389380531</v>
      </c>
      <c r="H13" s="6">
        <f t="shared" ref="H13:H16" si="1">E13*(1+F13)*G13</f>
        <v>10.3610521953241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147.677476058199</v>
      </c>
      <c r="I14" s="23"/>
    </row>
    <row r="15" s="1" customFormat="1" ht="32" customHeight="1" spans="1:9">
      <c r="A15" s="4">
        <v>3.1</v>
      </c>
      <c r="B15" s="4" t="s">
        <v>67</v>
      </c>
      <c r="C15" s="4"/>
      <c r="D15" s="4" t="s">
        <v>109</v>
      </c>
      <c r="E15" s="6">
        <v>0.692345997933884</v>
      </c>
      <c r="F15" s="13">
        <v>0.03</v>
      </c>
      <c r="G15" s="6">
        <f>'C0815上悬'!$G$15</f>
        <v>154.867256637168</v>
      </c>
      <c r="H15" s="6">
        <f t="shared" si="1"/>
        <v>110.438377104055</v>
      </c>
      <c r="I15" s="4" t="s">
        <v>110</v>
      </c>
    </row>
    <row r="16" s="1" customFormat="1" ht="32" customHeight="1" spans="1:9">
      <c r="A16" s="4">
        <v>3.2</v>
      </c>
      <c r="B16" s="15" t="s">
        <v>71</v>
      </c>
      <c r="C16" s="15"/>
      <c r="D16" s="14" t="s">
        <v>109</v>
      </c>
      <c r="E16" s="16">
        <v>0.194545454545455</v>
      </c>
      <c r="F16" s="17">
        <v>0.03</v>
      </c>
      <c r="G16" s="6">
        <f>'C2723平开'!$G$16</f>
        <v>185.840707964602</v>
      </c>
      <c r="H16" s="6">
        <f t="shared" si="1"/>
        <v>37.2390989541433</v>
      </c>
      <c r="I16" s="4" t="s">
        <v>110</v>
      </c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16.3390658282829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1.4820523415978</v>
      </c>
      <c r="F19" s="13">
        <v>0.03</v>
      </c>
      <c r="G19" s="6">
        <f>'C0915上悬'!$G$18</f>
        <v>9.38</v>
      </c>
      <c r="H19" s="6">
        <f t="shared" si="2"/>
        <v>14.318700493113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0.0852464034282216</v>
      </c>
      <c r="F20" s="13">
        <v>0.03</v>
      </c>
      <c r="G20" s="6">
        <f>'C0915上悬'!$G$19</f>
        <v>23.01</v>
      </c>
      <c r="H20" s="6">
        <f t="shared" si="2"/>
        <v>2.02036533516988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13.8768736717828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4.38410074773711</v>
      </c>
      <c r="F24" s="13">
        <v>0.03</v>
      </c>
      <c r="G24" s="6">
        <f>'C0915上悬'!$G$23</f>
        <v>1.08</v>
      </c>
      <c r="H24" s="6">
        <f t="shared" ref="H24:H34" si="3">E24*(1+F24)*G24</f>
        <v>4.87687367178276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476.03488824163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40.4629655005386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516.497853742169</v>
      </c>
      <c r="I37" s="28">
        <f>H37</f>
        <v>516.497853742169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7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4" sqref="G4:G5"/>
    </sheetView>
  </sheetViews>
  <sheetFormatPr defaultColWidth="9" defaultRowHeight="14.4" outlineLevelRow="5" outlineLevelCol="7"/>
  <cols>
    <col min="3" max="3" width="13.75" style="32" customWidth="1"/>
    <col min="4" max="4" width="12.5" style="32" customWidth="1"/>
    <col min="5" max="5" width="12.5" customWidth="1"/>
    <col min="6" max="6" width="15.1296296296296" customWidth="1"/>
    <col min="7" max="7" width="17.3796296296296" style="32" customWidth="1"/>
    <col min="9" max="10" width="12.6296296296296"/>
  </cols>
  <sheetData>
    <row r="1" ht="35" customHeight="1" spans="1:8">
      <c r="A1" s="50" t="s">
        <v>38</v>
      </c>
      <c r="B1" s="50"/>
      <c r="C1" s="51"/>
      <c r="D1" s="51"/>
      <c r="E1" s="50"/>
      <c r="F1" s="50"/>
      <c r="G1" s="51"/>
      <c r="H1" s="50"/>
    </row>
    <row r="2" ht="33" customHeight="1" spans="1:8">
      <c r="A2" s="52" t="s">
        <v>1</v>
      </c>
      <c r="B2" s="52" t="s">
        <v>2</v>
      </c>
      <c r="C2" s="49" t="s">
        <v>39</v>
      </c>
      <c r="D2" s="49" t="s">
        <v>10</v>
      </c>
      <c r="E2" s="53" t="s">
        <v>11</v>
      </c>
      <c r="F2" s="53" t="s">
        <v>12</v>
      </c>
      <c r="G2" s="49" t="s">
        <v>13</v>
      </c>
      <c r="H2" s="53" t="s">
        <v>4</v>
      </c>
    </row>
    <row r="3" ht="30" customHeight="1" spans="1:8">
      <c r="A3" s="54"/>
      <c r="B3" s="54"/>
      <c r="C3" s="55" t="s">
        <v>14</v>
      </c>
      <c r="D3" s="55" t="s">
        <v>15</v>
      </c>
      <c r="E3" s="56" t="s">
        <v>16</v>
      </c>
      <c r="F3" s="56">
        <v>4</v>
      </c>
      <c r="G3" s="55" t="s">
        <v>17</v>
      </c>
      <c r="H3" s="53"/>
    </row>
    <row r="4" ht="35" customHeight="1" spans="1:8">
      <c r="A4" s="57">
        <v>1</v>
      </c>
      <c r="B4" s="57" t="s">
        <v>40</v>
      </c>
      <c r="C4" s="58">
        <v>10.19</v>
      </c>
      <c r="D4" s="58">
        <f>F4/1.09</f>
        <v>193.211009174312</v>
      </c>
      <c r="E4" s="59">
        <v>0.09</v>
      </c>
      <c r="F4" s="58">
        <v>210.6</v>
      </c>
      <c r="G4" s="60">
        <f>F4*C4</f>
        <v>2146.014</v>
      </c>
      <c r="H4" s="61"/>
    </row>
    <row r="5" ht="30" customHeight="1" spans="1:8">
      <c r="A5" s="62"/>
      <c r="B5" s="62" t="s">
        <v>36</v>
      </c>
      <c r="C5" s="63">
        <f>C4</f>
        <v>10.19</v>
      </c>
      <c r="D5" s="64"/>
      <c r="E5" s="65"/>
      <c r="F5" s="64">
        <f>G5/C5</f>
        <v>210.6</v>
      </c>
      <c r="G5" s="66">
        <f>G4</f>
        <v>2146.014</v>
      </c>
      <c r="H5" s="64"/>
    </row>
    <row r="6" ht="29" customHeight="1" spans="1:8">
      <c r="A6" s="67"/>
      <c r="B6" s="67"/>
      <c r="C6" s="67"/>
      <c r="D6" s="67"/>
      <c r="E6" s="67"/>
      <c r="F6" s="67"/>
      <c r="G6" s="67"/>
      <c r="H6" s="67"/>
    </row>
  </sheetData>
  <mergeCells count="4">
    <mergeCell ref="A1:H1"/>
    <mergeCell ref="A6:H6"/>
    <mergeCell ref="A2:A3"/>
    <mergeCell ref="B2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Normal="100" topLeftCell="A4" workbookViewId="0">
      <selection activeCell="D25" sqref="D25"/>
    </sheetView>
  </sheetViews>
  <sheetFormatPr defaultColWidth="10.8796296296296" defaultRowHeight="17" customHeight="1"/>
  <cols>
    <col min="1" max="1" width="5.12962962962963" style="45" customWidth="1"/>
    <col min="2" max="2" width="7" style="45" customWidth="1"/>
    <col min="3" max="3" width="13.6296296296296" style="45" customWidth="1"/>
    <col min="4" max="4" width="8.37962962962963" style="45" customWidth="1"/>
    <col min="5" max="5" width="10.3796296296296" style="45" customWidth="1"/>
    <col min="6" max="6" width="9" style="45" customWidth="1"/>
    <col min="7" max="7" width="10.3796296296296" style="45" customWidth="1"/>
    <col min="8" max="8" width="9" style="45" customWidth="1"/>
    <col min="9" max="9" width="10.3796296296296" style="45" customWidth="1"/>
    <col min="10" max="10" width="9" style="45" customWidth="1"/>
    <col min="11" max="16381" width="10.8796296296296" style="45" customWidth="1"/>
    <col min="16382" max="16384" width="10.8796296296296" style="45"/>
  </cols>
  <sheetData>
    <row r="1" ht="32" customHeight="1" spans="1:12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21" customHeight="1" spans="1:12">
      <c r="A2" s="47" t="s">
        <v>1</v>
      </c>
      <c r="B2" s="47" t="s">
        <v>42</v>
      </c>
      <c r="C2" s="47" t="s">
        <v>43</v>
      </c>
      <c r="D2" s="47" t="s">
        <v>44</v>
      </c>
      <c r="E2" s="47" t="s">
        <v>45</v>
      </c>
      <c r="F2" s="47"/>
      <c r="G2" s="47" t="s">
        <v>46</v>
      </c>
      <c r="H2" s="47"/>
      <c r="I2" s="47" t="s">
        <v>47</v>
      </c>
      <c r="J2" s="47"/>
      <c r="K2" s="47" t="s">
        <v>48</v>
      </c>
      <c r="L2" s="49" t="s">
        <v>9</v>
      </c>
    </row>
    <row r="3" ht="21" customHeight="1" spans="1:12">
      <c r="A3" s="47"/>
      <c r="B3" s="47"/>
      <c r="C3" s="47"/>
      <c r="D3" s="47"/>
      <c r="E3" s="47" t="s">
        <v>49</v>
      </c>
      <c r="F3" s="47" t="s">
        <v>50</v>
      </c>
      <c r="G3" s="47" t="s">
        <v>49</v>
      </c>
      <c r="H3" s="47" t="s">
        <v>50</v>
      </c>
      <c r="I3" s="47" t="s">
        <v>49</v>
      </c>
      <c r="J3" s="47" t="s">
        <v>50</v>
      </c>
      <c r="K3" s="47"/>
      <c r="L3" s="49"/>
    </row>
    <row r="4" s="44" customFormat="1" ht="21" customHeight="1" spans="1:12">
      <c r="A4" s="47">
        <v>1</v>
      </c>
      <c r="B4" s="47" t="s">
        <v>51</v>
      </c>
      <c r="C4" s="48" t="s">
        <v>52</v>
      </c>
      <c r="D4" s="47" t="s">
        <v>19</v>
      </c>
      <c r="E4" s="47">
        <v>900</v>
      </c>
      <c r="F4" s="47">
        <v>1450</v>
      </c>
      <c r="G4" s="47">
        <f>E4-30</f>
        <v>870</v>
      </c>
      <c r="H4" s="47">
        <f t="shared" ref="H4:H18" si="0">F4-30</f>
        <v>1420</v>
      </c>
      <c r="I4" s="47">
        <f>G4-15</f>
        <v>855</v>
      </c>
      <c r="J4" s="47">
        <f>H4-15</f>
        <v>1405</v>
      </c>
      <c r="K4" s="47">
        <v>2</v>
      </c>
      <c r="L4" s="47">
        <f>E4*F4*K4/1000000</f>
        <v>2.61</v>
      </c>
    </row>
    <row r="5" s="45" customFormat="1" ht="21" customHeight="1" spans="1:12">
      <c r="A5" s="47">
        <v>2</v>
      </c>
      <c r="B5" s="47"/>
      <c r="C5" s="48"/>
      <c r="D5" s="47" t="s">
        <v>20</v>
      </c>
      <c r="E5" s="47">
        <v>700</v>
      </c>
      <c r="F5" s="47">
        <v>1450</v>
      </c>
      <c r="G5" s="47">
        <f t="shared" ref="G5:G13" si="1">E5-30</f>
        <v>670</v>
      </c>
      <c r="H5" s="47">
        <f t="shared" si="0"/>
        <v>1420</v>
      </c>
      <c r="I5" s="47">
        <f>G5-15</f>
        <v>655</v>
      </c>
      <c r="J5" s="47">
        <f>H5-15</f>
        <v>1405</v>
      </c>
      <c r="K5" s="47">
        <v>3</v>
      </c>
      <c r="L5" s="47">
        <f t="shared" ref="L5:L18" si="2">E5*F5*K5/1000000</f>
        <v>3.045</v>
      </c>
    </row>
    <row r="6" s="45" customFormat="1" ht="21" customHeight="1" spans="1:12">
      <c r="A6" s="47">
        <v>3</v>
      </c>
      <c r="B6" s="47"/>
      <c r="C6" s="48"/>
      <c r="D6" s="47" t="s">
        <v>21</v>
      </c>
      <c r="E6" s="47">
        <v>800</v>
      </c>
      <c r="F6" s="47">
        <v>1450</v>
      </c>
      <c r="G6" s="47">
        <f t="shared" si="1"/>
        <v>770</v>
      </c>
      <c r="H6" s="47">
        <f t="shared" si="0"/>
        <v>1420</v>
      </c>
      <c r="I6" s="47">
        <f>G6-15</f>
        <v>755</v>
      </c>
      <c r="J6" s="47">
        <f>H6-15</f>
        <v>1405</v>
      </c>
      <c r="K6" s="47">
        <v>8</v>
      </c>
      <c r="L6" s="47">
        <f t="shared" si="2"/>
        <v>9.28</v>
      </c>
    </row>
    <row r="7" s="45" customFormat="1" ht="21" customHeight="1" spans="1:12">
      <c r="A7" s="47">
        <v>4</v>
      </c>
      <c r="B7" s="47"/>
      <c r="C7" s="48" t="s">
        <v>53</v>
      </c>
      <c r="D7" s="47" t="s">
        <v>23</v>
      </c>
      <c r="E7" s="47">
        <v>1500</v>
      </c>
      <c r="F7" s="47">
        <v>1450</v>
      </c>
      <c r="G7" s="47">
        <f t="shared" si="1"/>
        <v>1470</v>
      </c>
      <c r="H7" s="47">
        <f t="shared" si="0"/>
        <v>1420</v>
      </c>
      <c r="I7" s="47">
        <f>G7-15</f>
        <v>1455</v>
      </c>
      <c r="J7" s="47">
        <f>H7-15</f>
        <v>1405</v>
      </c>
      <c r="K7" s="47">
        <v>2</v>
      </c>
      <c r="L7" s="47">
        <f t="shared" si="2"/>
        <v>4.35</v>
      </c>
    </row>
    <row r="8" s="45" customFormat="1" ht="21" customHeight="1" spans="1:12">
      <c r="A8" s="47">
        <v>5</v>
      </c>
      <c r="B8" s="47"/>
      <c r="C8" s="48"/>
      <c r="D8" s="47" t="s">
        <v>24</v>
      </c>
      <c r="E8" s="47" t="s">
        <v>54</v>
      </c>
      <c r="F8" s="47">
        <v>2250</v>
      </c>
      <c r="G8" s="47" t="s">
        <v>55</v>
      </c>
      <c r="H8" s="47">
        <f t="shared" si="0"/>
        <v>2220</v>
      </c>
      <c r="I8" s="47" t="s">
        <v>56</v>
      </c>
      <c r="J8" s="47">
        <f t="shared" ref="J8:J11" si="3">H8-20</f>
        <v>2200</v>
      </c>
      <c r="K8" s="47">
        <v>2</v>
      </c>
      <c r="L8" s="47">
        <f>(2600+720)*F8*K8/1000000</f>
        <v>14.94</v>
      </c>
    </row>
    <row r="9" s="45" customFormat="1" ht="21" customHeight="1" spans="1:12">
      <c r="A9" s="47">
        <v>6</v>
      </c>
      <c r="B9" s="47"/>
      <c r="C9" s="48"/>
      <c r="D9" s="47" t="s">
        <v>25</v>
      </c>
      <c r="E9" s="47">
        <v>2000</v>
      </c>
      <c r="F9" s="47">
        <v>2250</v>
      </c>
      <c r="G9" s="47">
        <f t="shared" si="1"/>
        <v>1970</v>
      </c>
      <c r="H9" s="47">
        <f t="shared" si="0"/>
        <v>2220</v>
      </c>
      <c r="I9" s="47">
        <f t="shared" ref="I9:I11" si="4">G9-20</f>
        <v>1950</v>
      </c>
      <c r="J9" s="47">
        <f t="shared" si="3"/>
        <v>2200</v>
      </c>
      <c r="K9" s="47">
        <v>2</v>
      </c>
      <c r="L9" s="47">
        <f t="shared" si="2"/>
        <v>9</v>
      </c>
    </row>
    <row r="10" s="45" customFormat="1" ht="21" customHeight="1" spans="1:12">
      <c r="A10" s="47">
        <v>7</v>
      </c>
      <c r="B10" s="47"/>
      <c r="C10" s="48"/>
      <c r="D10" s="47" t="s">
        <v>26</v>
      </c>
      <c r="E10" s="47">
        <v>2700</v>
      </c>
      <c r="F10" s="47">
        <v>2250</v>
      </c>
      <c r="G10" s="47">
        <f t="shared" si="1"/>
        <v>2670</v>
      </c>
      <c r="H10" s="47">
        <f t="shared" si="0"/>
        <v>2220</v>
      </c>
      <c r="I10" s="47">
        <f t="shared" si="4"/>
        <v>2650</v>
      </c>
      <c r="J10" s="47">
        <f t="shared" si="3"/>
        <v>2200</v>
      </c>
      <c r="K10" s="47">
        <v>1</v>
      </c>
      <c r="L10" s="47">
        <f t="shared" si="2"/>
        <v>6.075</v>
      </c>
    </row>
    <row r="11" s="45" customFormat="1" ht="21" customHeight="1" spans="1:12">
      <c r="A11" s="47">
        <v>8</v>
      </c>
      <c r="B11" s="47"/>
      <c r="C11" s="48"/>
      <c r="D11" s="47" t="s">
        <v>27</v>
      </c>
      <c r="E11" s="47">
        <v>2900</v>
      </c>
      <c r="F11" s="47">
        <v>2250</v>
      </c>
      <c r="G11" s="47">
        <f t="shared" si="1"/>
        <v>2870</v>
      </c>
      <c r="H11" s="47">
        <f t="shared" si="0"/>
        <v>2220</v>
      </c>
      <c r="I11" s="47">
        <f t="shared" si="4"/>
        <v>2850</v>
      </c>
      <c r="J11" s="47">
        <f t="shared" si="3"/>
        <v>2200</v>
      </c>
      <c r="K11" s="47">
        <v>1</v>
      </c>
      <c r="L11" s="47">
        <f t="shared" si="2"/>
        <v>6.525</v>
      </c>
    </row>
    <row r="12" s="45" customFormat="1" ht="21" customHeight="1" spans="1:12">
      <c r="A12" s="47">
        <v>9</v>
      </c>
      <c r="B12" s="47"/>
      <c r="C12" s="48"/>
      <c r="D12" s="47" t="s">
        <v>28</v>
      </c>
      <c r="E12" s="47">
        <v>1800</v>
      </c>
      <c r="F12" s="47">
        <v>1450</v>
      </c>
      <c r="G12" s="47">
        <f t="shared" si="1"/>
        <v>1770</v>
      </c>
      <c r="H12" s="47">
        <f t="shared" si="0"/>
        <v>1420</v>
      </c>
      <c r="I12" s="47">
        <f>G12-15</f>
        <v>1755</v>
      </c>
      <c r="J12" s="47">
        <f>H12-15</f>
        <v>1405</v>
      </c>
      <c r="K12" s="47">
        <v>1</v>
      </c>
      <c r="L12" s="47">
        <f t="shared" si="2"/>
        <v>2.61</v>
      </c>
    </row>
    <row r="13" s="45" customFormat="1" ht="21" customHeight="1" spans="1:12">
      <c r="A13" s="47">
        <v>10</v>
      </c>
      <c r="B13" s="47"/>
      <c r="C13" s="48"/>
      <c r="D13" s="47" t="s">
        <v>29</v>
      </c>
      <c r="E13" s="47">
        <v>1800</v>
      </c>
      <c r="F13" s="47">
        <v>1450</v>
      </c>
      <c r="G13" s="47">
        <f t="shared" si="1"/>
        <v>1770</v>
      </c>
      <c r="H13" s="47">
        <f t="shared" si="0"/>
        <v>1420</v>
      </c>
      <c r="I13" s="47">
        <f>G13-15</f>
        <v>1755</v>
      </c>
      <c r="J13" s="47">
        <f>H13-15</f>
        <v>1405</v>
      </c>
      <c r="K13" s="47">
        <v>2</v>
      </c>
      <c r="L13" s="47">
        <f t="shared" si="2"/>
        <v>5.22</v>
      </c>
    </row>
    <row r="14" s="45" customFormat="1" ht="21" customHeight="1" spans="1:12">
      <c r="A14" s="47">
        <v>11</v>
      </c>
      <c r="B14" s="47"/>
      <c r="C14" s="48"/>
      <c r="D14" s="47" t="s">
        <v>30</v>
      </c>
      <c r="E14" s="47" t="s">
        <v>57</v>
      </c>
      <c r="F14" s="47">
        <v>2250</v>
      </c>
      <c r="G14" s="47" t="s">
        <v>58</v>
      </c>
      <c r="H14" s="47">
        <f t="shared" si="0"/>
        <v>2220</v>
      </c>
      <c r="I14" s="47" t="s">
        <v>59</v>
      </c>
      <c r="J14" s="47">
        <f t="shared" ref="J14:J18" si="5">H14-20</f>
        <v>2200</v>
      </c>
      <c r="K14" s="47">
        <v>1</v>
      </c>
      <c r="L14" s="47">
        <f>(6270+1350)*F14*K14/1000000</f>
        <v>17.145</v>
      </c>
    </row>
    <row r="15" s="45" customFormat="1" ht="21" customHeight="1" spans="1:12">
      <c r="A15" s="47">
        <v>12</v>
      </c>
      <c r="B15" s="47"/>
      <c r="C15" s="48"/>
      <c r="D15" s="47" t="s">
        <v>31</v>
      </c>
      <c r="E15" s="47">
        <v>2500</v>
      </c>
      <c r="F15" s="47">
        <v>2250</v>
      </c>
      <c r="G15" s="47">
        <f t="shared" ref="G15:G18" si="6">E15-30</f>
        <v>2470</v>
      </c>
      <c r="H15" s="47">
        <f t="shared" si="0"/>
        <v>2220</v>
      </c>
      <c r="I15" s="47">
        <f t="shared" ref="I15:I17" si="7">G15-20</f>
        <v>2450</v>
      </c>
      <c r="J15" s="47">
        <f t="shared" si="5"/>
        <v>2200</v>
      </c>
      <c r="K15" s="47">
        <v>1</v>
      </c>
      <c r="L15" s="47">
        <f t="shared" si="2"/>
        <v>5.625</v>
      </c>
    </row>
    <row r="16" s="45" customFormat="1" ht="21" customHeight="1" spans="1:12">
      <c r="A16" s="47">
        <v>13</v>
      </c>
      <c r="B16" s="47"/>
      <c r="C16" s="48"/>
      <c r="D16" s="47" t="s">
        <v>32</v>
      </c>
      <c r="E16" s="47">
        <v>1200</v>
      </c>
      <c r="F16" s="47">
        <v>1450</v>
      </c>
      <c r="G16" s="47">
        <f t="shared" si="6"/>
        <v>1170</v>
      </c>
      <c r="H16" s="47">
        <f t="shared" si="0"/>
        <v>1420</v>
      </c>
      <c r="I16" s="47">
        <f>G16-15</f>
        <v>1155</v>
      </c>
      <c r="J16" s="47">
        <f>H16-15</f>
        <v>1405</v>
      </c>
      <c r="K16" s="47">
        <v>1</v>
      </c>
      <c r="L16" s="47">
        <f t="shared" si="2"/>
        <v>1.74</v>
      </c>
    </row>
    <row r="17" s="45" customFormat="1" ht="21" customHeight="1" spans="1:12">
      <c r="A17" s="47">
        <v>14</v>
      </c>
      <c r="B17" s="47"/>
      <c r="C17" s="48"/>
      <c r="D17" s="47" t="s">
        <v>33</v>
      </c>
      <c r="E17" s="47">
        <v>1500</v>
      </c>
      <c r="F17" s="47">
        <v>2350</v>
      </c>
      <c r="G17" s="47">
        <f t="shared" si="6"/>
        <v>1470</v>
      </c>
      <c r="H17" s="47">
        <f t="shared" si="0"/>
        <v>2320</v>
      </c>
      <c r="I17" s="47">
        <f>G17-15</f>
        <v>1455</v>
      </c>
      <c r="J17" s="47">
        <f t="shared" si="5"/>
        <v>2300</v>
      </c>
      <c r="K17" s="47">
        <v>1</v>
      </c>
      <c r="L17" s="47">
        <f t="shared" si="2"/>
        <v>3.525</v>
      </c>
    </row>
    <row r="18" s="45" customFormat="1" ht="30" customHeight="1" spans="1:12">
      <c r="A18" s="47">
        <v>15</v>
      </c>
      <c r="B18" s="47"/>
      <c r="C18" s="48" t="s">
        <v>60</v>
      </c>
      <c r="D18" s="47" t="s">
        <v>35</v>
      </c>
      <c r="E18" s="47">
        <v>920</v>
      </c>
      <c r="F18" s="47">
        <v>2250</v>
      </c>
      <c r="G18" s="47">
        <f t="shared" si="6"/>
        <v>890</v>
      </c>
      <c r="H18" s="47">
        <f t="shared" si="0"/>
        <v>2220</v>
      </c>
      <c r="I18" s="47">
        <f>G18-15</f>
        <v>875</v>
      </c>
      <c r="J18" s="47">
        <f t="shared" si="5"/>
        <v>2200</v>
      </c>
      <c r="K18" s="47">
        <v>1</v>
      </c>
      <c r="L18" s="47">
        <f t="shared" si="2"/>
        <v>2.07</v>
      </c>
    </row>
    <row r="19" ht="18" customHeight="1" spans="1:1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>
        <f>SUM(L4:L18)</f>
        <v>93.76</v>
      </c>
    </row>
  </sheetData>
  <mergeCells count="13">
    <mergeCell ref="A1:L1"/>
    <mergeCell ref="E2:F2"/>
    <mergeCell ref="G2:H2"/>
    <mergeCell ref="I2:J2"/>
    <mergeCell ref="A2:A3"/>
    <mergeCell ref="B2:B3"/>
    <mergeCell ref="B4:B18"/>
    <mergeCell ref="C2:C3"/>
    <mergeCell ref="C4:C6"/>
    <mergeCell ref="C7:C17"/>
    <mergeCell ref="D2:D3"/>
    <mergeCell ref="K2:K3"/>
    <mergeCell ref="L2:L3"/>
  </mergeCells>
  <pageMargins left="0.511805555555556" right="0.511805555555556" top="0.984027777777778" bottom="0.786805555555556" header="0.298611111111111" footer="0.298611111111111"/>
  <pageSetup paperSize="9" scale="8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5" sqref="D5"/>
    </sheetView>
  </sheetViews>
  <sheetFormatPr defaultColWidth="9" defaultRowHeight="14.4" outlineLevelCol="3"/>
  <cols>
    <col min="2" max="2" width="30.8796296296296" customWidth="1"/>
    <col min="4" max="4" width="12.6296296296296" style="32"/>
  </cols>
  <sheetData>
    <row r="1" ht="25" customHeight="1"/>
    <row r="2" ht="25" customHeight="1" spans="1:4">
      <c r="A2" s="33" t="s">
        <v>1</v>
      </c>
      <c r="B2" s="33" t="s">
        <v>61</v>
      </c>
      <c r="C2" s="33" t="s">
        <v>62</v>
      </c>
      <c r="D2" s="34" t="s">
        <v>63</v>
      </c>
    </row>
    <row r="3" ht="25" customHeight="1" spans="1:4">
      <c r="A3" s="33">
        <v>1</v>
      </c>
      <c r="B3" s="35" t="s">
        <v>64</v>
      </c>
      <c r="C3" s="33" t="s">
        <v>65</v>
      </c>
      <c r="D3" s="34">
        <v>172.566371681416</v>
      </c>
    </row>
    <row r="4" ht="25" customHeight="1" spans="1:4">
      <c r="A4" s="33">
        <v>2</v>
      </c>
      <c r="B4" s="36" t="s">
        <v>66</v>
      </c>
      <c r="C4" s="33" t="s">
        <v>65</v>
      </c>
      <c r="D4" s="34">
        <v>250.442477876106</v>
      </c>
    </row>
    <row r="5" ht="25" customHeight="1" spans="1:4">
      <c r="A5" s="33">
        <v>3</v>
      </c>
      <c r="B5" s="37" t="s">
        <v>67</v>
      </c>
      <c r="C5" s="33" t="s">
        <v>65</v>
      </c>
      <c r="D5" s="34">
        <v>154.867256637168</v>
      </c>
    </row>
    <row r="6" ht="25" customHeight="1" spans="1:4">
      <c r="A6" s="33">
        <v>4</v>
      </c>
      <c r="B6" s="38" t="s">
        <v>68</v>
      </c>
      <c r="C6" s="33" t="s">
        <v>65</v>
      </c>
      <c r="D6" s="34">
        <v>141.592920353982</v>
      </c>
    </row>
    <row r="7" ht="25" customHeight="1" spans="1:4">
      <c r="A7" s="33">
        <v>5</v>
      </c>
      <c r="B7" s="38" t="s">
        <v>69</v>
      </c>
      <c r="C7" s="33" t="s">
        <v>65</v>
      </c>
      <c r="D7" s="34">
        <v>170.796460176991</v>
      </c>
    </row>
    <row r="8" ht="25" customHeight="1" spans="1:4">
      <c r="A8" s="33">
        <v>6</v>
      </c>
      <c r="B8" s="38" t="s">
        <v>70</v>
      </c>
      <c r="C8" s="33" t="s">
        <v>65</v>
      </c>
      <c r="D8" s="34">
        <v>250.442477876106</v>
      </c>
    </row>
    <row r="9" ht="25" customHeight="1" spans="1:4">
      <c r="A9" s="39">
        <v>7</v>
      </c>
      <c r="B9" s="40" t="s">
        <v>71</v>
      </c>
      <c r="C9" s="33" t="s">
        <v>65</v>
      </c>
      <c r="D9" s="34">
        <v>185.840707964602</v>
      </c>
    </row>
    <row r="10" ht="25" customHeight="1" spans="1:4">
      <c r="A10" s="33">
        <v>8</v>
      </c>
      <c r="B10" s="41" t="s">
        <v>72</v>
      </c>
      <c r="C10" s="4" t="s">
        <v>73</v>
      </c>
      <c r="D10" s="34">
        <v>24.8230088495575</v>
      </c>
    </row>
    <row r="11" ht="25" customHeight="1" spans="1:4">
      <c r="A11" s="33">
        <v>9</v>
      </c>
      <c r="B11" s="41" t="s">
        <v>74</v>
      </c>
      <c r="C11" s="4" t="s">
        <v>73</v>
      </c>
      <c r="D11" s="34">
        <v>23.7610619469027</v>
      </c>
    </row>
    <row r="12" ht="25" customHeight="1" spans="1:4">
      <c r="A12" s="33">
        <v>10</v>
      </c>
      <c r="B12" s="41" t="s">
        <v>75</v>
      </c>
      <c r="C12" s="4" t="s">
        <v>73</v>
      </c>
      <c r="D12" s="34">
        <v>22.1681415929204</v>
      </c>
    </row>
    <row r="13" ht="25" customHeight="1" spans="1:4">
      <c r="A13" s="33">
        <v>11</v>
      </c>
      <c r="B13" s="42" t="s">
        <v>76</v>
      </c>
      <c r="C13" s="43" t="s">
        <v>77</v>
      </c>
      <c r="D13" s="34">
        <v>77.8761061946903</v>
      </c>
    </row>
    <row r="14" ht="25" customHeight="1" spans="1:4">
      <c r="A14" s="33">
        <v>12</v>
      </c>
      <c r="B14" s="42" t="s">
        <v>78</v>
      </c>
      <c r="C14" s="43" t="s">
        <v>77</v>
      </c>
      <c r="D14" s="34">
        <v>75.2212389380531</v>
      </c>
    </row>
    <row r="15" ht="25" customHeight="1" spans="1:4">
      <c r="A15" s="33">
        <v>13</v>
      </c>
      <c r="B15" s="41" t="s">
        <v>79</v>
      </c>
      <c r="C15" s="4" t="s">
        <v>80</v>
      </c>
      <c r="D15" s="34">
        <v>9.38</v>
      </c>
    </row>
    <row r="16" ht="25" customHeight="1" spans="1:4">
      <c r="A16" s="39">
        <v>14</v>
      </c>
      <c r="B16" s="41" t="s">
        <v>81</v>
      </c>
      <c r="C16" s="4" t="s">
        <v>80</v>
      </c>
      <c r="D16" s="34">
        <v>23.01</v>
      </c>
    </row>
    <row r="17" ht="30" customHeight="1" spans="1:4">
      <c r="A17" s="33">
        <v>15</v>
      </c>
      <c r="B17" s="41" t="s">
        <v>82</v>
      </c>
      <c r="C17" s="4" t="s">
        <v>83</v>
      </c>
      <c r="D17" s="34">
        <v>1.08</v>
      </c>
    </row>
    <row r="18" ht="24" customHeight="1"/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topLeftCell="A9" workbookViewId="0">
      <selection activeCell="B16" sqref="B16:G16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1.6296296296296" style="2" customWidth="1"/>
    <col min="4" max="4" width="7.25" style="2" customWidth="1"/>
    <col min="5" max="5" width="10.6296296296296" style="1" customWidth="1"/>
    <col min="6" max="6" width="8.87962962962963" style="2" customWidth="1"/>
    <col min="7" max="7" width="11.75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52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">
        <v>19</v>
      </c>
      <c r="C3" s="4"/>
      <c r="D3" s="4"/>
      <c r="E3" s="4" t="s">
        <v>89</v>
      </c>
      <c r="F3" s="5" t="s">
        <v>90</v>
      </c>
      <c r="G3" s="5"/>
      <c r="H3" s="4"/>
      <c r="I3" s="4"/>
    </row>
    <row r="4" s="1" customFormat="1" customHeight="1" spans="1:9">
      <c r="A4" s="5" t="s">
        <v>91</v>
      </c>
      <c r="B4" s="4">
        <v>900</v>
      </c>
      <c r="C4" s="5" t="s">
        <v>92</v>
      </c>
      <c r="D4" s="4">
        <v>1450</v>
      </c>
      <c r="E4" s="4" t="s">
        <v>93</v>
      </c>
      <c r="F4" s="6">
        <f>B4*D4/1000000</f>
        <v>1.305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f>855*1405/1000000</f>
        <v>1.201275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366.685571058625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11.3164729141953</v>
      </c>
      <c r="F8" s="13">
        <v>0.16</v>
      </c>
      <c r="G8" s="6">
        <f>材料单价!D10</f>
        <v>24.8230088495575</v>
      </c>
      <c r="H8" s="6">
        <f>E8*(1+F8)*G8</f>
        <v>325.854332462023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0.969959418118249</v>
      </c>
      <c r="F9" s="13">
        <v>0.16</v>
      </c>
      <c r="G9" s="6">
        <f>材料单价!D11</f>
        <v>23.7610619469027</v>
      </c>
      <c r="H9" s="6">
        <f t="shared" ref="H8:H11" si="0">E9*(1+F9)*G9</f>
        <v>26.7348283510717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0.548177561341075</v>
      </c>
      <c r="F10" s="13">
        <v>0.16</v>
      </c>
      <c r="G10" s="6">
        <f>材料单价!D12</f>
        <v>22.1681415929204</v>
      </c>
      <c r="H10" s="6">
        <f t="shared" si="0"/>
        <v>14.0964102455301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64.8278755444759</v>
      </c>
      <c r="I12" s="23"/>
    </row>
    <row r="13" s="1" customFormat="1" customHeight="1" spans="1:9">
      <c r="A13" s="4">
        <v>2.1</v>
      </c>
      <c r="B13" s="4" t="s">
        <v>76</v>
      </c>
      <c r="C13" s="4"/>
      <c r="D13" s="4" t="s">
        <v>77</v>
      </c>
      <c r="E13" s="6">
        <v>0.832448856423383</v>
      </c>
      <c r="F13" s="13">
        <v>0</v>
      </c>
      <c r="G13" s="6">
        <f>材料单价!D13</f>
        <v>77.8761061946903</v>
      </c>
      <c r="H13" s="6">
        <f t="shared" ref="H13:H21" si="1">E13*(1+F13)*G13</f>
        <v>64.8278755444759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</f>
        <v>117.486301888314</v>
      </c>
      <c r="I14" s="23"/>
    </row>
    <row r="15" s="1" customFormat="1" customHeight="1" spans="1:9">
      <c r="A15" s="4">
        <v>3.1</v>
      </c>
      <c r="B15" s="4" t="s">
        <v>67</v>
      </c>
      <c r="C15" s="4"/>
      <c r="D15" s="4" t="s">
        <v>109</v>
      </c>
      <c r="E15" s="6">
        <v>0.736529936941999</v>
      </c>
      <c r="F15" s="13">
        <v>0.03</v>
      </c>
      <c r="G15" s="6">
        <f>材料单价!D5</f>
        <v>154.867256637168</v>
      </c>
      <c r="H15" s="6">
        <f t="shared" si="1"/>
        <v>117.486301888314</v>
      </c>
      <c r="I15" s="4" t="s">
        <v>110</v>
      </c>
    </row>
    <row r="16" s="1" customFormat="1" customHeight="1" spans="1:9">
      <c r="A16" s="9">
        <v>4</v>
      </c>
      <c r="B16" s="9" t="s">
        <v>111</v>
      </c>
      <c r="C16" s="9"/>
      <c r="D16" s="9"/>
      <c r="E16" s="9"/>
      <c r="F16" s="9"/>
      <c r="G16" s="9"/>
      <c r="H16" s="10">
        <f>SUM(H17:H21)</f>
        <v>36.2014164949741</v>
      </c>
      <c r="I16" s="23" t="s">
        <v>112</v>
      </c>
    </row>
    <row r="17" s="1" customFormat="1" customHeight="1" spans="1:9">
      <c r="A17" s="4">
        <v>4.1</v>
      </c>
      <c r="B17" s="4" t="s">
        <v>113</v>
      </c>
      <c r="C17" s="4"/>
      <c r="D17" s="4" t="s">
        <v>80</v>
      </c>
      <c r="E17" s="6"/>
      <c r="F17" s="13">
        <v>0.03</v>
      </c>
      <c r="G17" s="6"/>
      <c r="H17" s="6">
        <f t="shared" si="1"/>
        <v>0</v>
      </c>
      <c r="I17" s="4" t="s">
        <v>114</v>
      </c>
    </row>
    <row r="18" s="1" customFormat="1" customHeight="1" spans="1:9">
      <c r="A18" s="4">
        <v>4.2</v>
      </c>
      <c r="B18" s="4" t="s">
        <v>79</v>
      </c>
      <c r="C18" s="4"/>
      <c r="D18" s="4" t="s">
        <v>80</v>
      </c>
      <c r="E18" s="6">
        <v>3.21380755169854</v>
      </c>
      <c r="F18" s="13">
        <v>0.03</v>
      </c>
      <c r="G18" s="6">
        <f>材料单价!D15</f>
        <v>9.38</v>
      </c>
      <c r="H18" s="6">
        <f t="shared" si="1"/>
        <v>31.0498802799803</v>
      </c>
      <c r="I18" s="4" t="s">
        <v>114</v>
      </c>
    </row>
    <row r="19" s="1" customFormat="1" customHeight="1" spans="1:9">
      <c r="A19" s="4">
        <v>4.3</v>
      </c>
      <c r="B19" s="4" t="s">
        <v>81</v>
      </c>
      <c r="C19" s="4"/>
      <c r="D19" s="4" t="s">
        <v>80</v>
      </c>
      <c r="E19" s="6">
        <v>0.217361645843883</v>
      </c>
      <c r="F19" s="13">
        <v>0.03</v>
      </c>
      <c r="G19" s="6">
        <f>材料单价!D16</f>
        <v>23.01</v>
      </c>
      <c r="H19" s="6">
        <f t="shared" si="1"/>
        <v>5.15153621499378</v>
      </c>
      <c r="I19" s="4" t="s">
        <v>115</v>
      </c>
    </row>
    <row r="20" s="1" customFormat="1" customHeight="1" spans="1:9">
      <c r="A20" s="4">
        <v>4.4</v>
      </c>
      <c r="B20" s="4" t="s">
        <v>116</v>
      </c>
      <c r="C20" s="4"/>
      <c r="D20" s="4" t="s">
        <v>80</v>
      </c>
      <c r="E20" s="6"/>
      <c r="F20" s="13">
        <v>0</v>
      </c>
      <c r="G20" s="6">
        <v>0</v>
      </c>
      <c r="H20" s="6">
        <f t="shared" si="1"/>
        <v>0</v>
      </c>
      <c r="I20" s="4"/>
    </row>
    <row r="21" s="1" customFormat="1" customHeight="1" spans="1:9">
      <c r="A21" s="4">
        <v>4.5</v>
      </c>
      <c r="B21" s="4" t="s">
        <v>117</v>
      </c>
      <c r="C21" s="4"/>
      <c r="D21" s="4" t="s">
        <v>83</v>
      </c>
      <c r="E21" s="6"/>
      <c r="F21" s="13">
        <v>0</v>
      </c>
      <c r="G21" s="6">
        <v>7.07964601769912</v>
      </c>
      <c r="H21" s="6">
        <f t="shared" si="1"/>
        <v>0</v>
      </c>
      <c r="I21" s="7"/>
    </row>
    <row r="22" s="1" customFormat="1" customHeight="1" spans="1:9">
      <c r="A22" s="9">
        <v>5</v>
      </c>
      <c r="B22" s="9" t="s">
        <v>118</v>
      </c>
      <c r="C22" s="9"/>
      <c r="D22" s="9"/>
      <c r="E22" s="9"/>
      <c r="F22" s="9"/>
      <c r="G22" s="9"/>
      <c r="H22" s="10">
        <f>SUM(H23:H27)</f>
        <v>17.0822685896235</v>
      </c>
      <c r="I22" s="23" t="s">
        <v>112</v>
      </c>
    </row>
    <row r="23" s="1" customFormat="1" customHeight="1" spans="1:9">
      <c r="A23" s="4">
        <v>5.1</v>
      </c>
      <c r="B23" s="4" t="s">
        <v>82</v>
      </c>
      <c r="C23" s="4"/>
      <c r="D23" s="4" t="s">
        <v>83</v>
      </c>
      <c r="E23" s="6">
        <v>7.26561361886329</v>
      </c>
      <c r="F23" s="13">
        <v>0.03</v>
      </c>
      <c r="G23" s="6">
        <f>材料单价!D17</f>
        <v>1.08</v>
      </c>
      <c r="H23" s="6">
        <f t="shared" ref="H23:H33" si="2">E23*(1+F23)*G23</f>
        <v>8.08226858962353</v>
      </c>
      <c r="I23" s="4" t="s">
        <v>119</v>
      </c>
    </row>
    <row r="24" s="1" customFormat="1" customHeight="1" spans="1:9">
      <c r="A24" s="4">
        <v>5.2</v>
      </c>
      <c r="B24" s="4" t="s">
        <v>120</v>
      </c>
      <c r="C24" s="4"/>
      <c r="D24" s="4" t="s">
        <v>83</v>
      </c>
      <c r="E24" s="6"/>
      <c r="F24" s="13">
        <v>0.03</v>
      </c>
      <c r="G24" s="6">
        <v>0.0973451327433628</v>
      </c>
      <c r="H24" s="6">
        <f t="shared" si="2"/>
        <v>0</v>
      </c>
      <c r="I24" s="4"/>
    </row>
    <row r="25" s="1" customFormat="1" customHeight="1" spans="1:9">
      <c r="A25" s="4">
        <v>5.3</v>
      </c>
      <c r="B25" s="4" t="s">
        <v>121</v>
      </c>
      <c r="C25" s="4"/>
      <c r="D25" s="4" t="s">
        <v>122</v>
      </c>
      <c r="E25" s="6"/>
      <c r="F25" s="13">
        <v>0</v>
      </c>
      <c r="G25" s="6">
        <v>0</v>
      </c>
      <c r="H25" s="6">
        <f t="shared" si="2"/>
        <v>0</v>
      </c>
      <c r="I25" s="7" t="s">
        <v>112</v>
      </c>
    </row>
    <row r="26" s="1" customFormat="1" customHeight="1" spans="1:9">
      <c r="A26" s="4">
        <v>5.4</v>
      </c>
      <c r="B26" s="4" t="s">
        <v>123</v>
      </c>
      <c r="C26" s="4"/>
      <c r="D26" s="4" t="s">
        <v>122</v>
      </c>
      <c r="E26" s="6"/>
      <c r="F26" s="13">
        <v>0</v>
      </c>
      <c r="G26" s="6">
        <v>0</v>
      </c>
      <c r="H26" s="6">
        <f t="shared" si="2"/>
        <v>0</v>
      </c>
      <c r="I26" s="4"/>
    </row>
    <row r="27" s="1" customFormat="1" customHeight="1" spans="1:9">
      <c r="A27" s="4">
        <v>5.5</v>
      </c>
      <c r="B27" s="4" t="s">
        <v>124</v>
      </c>
      <c r="C27" s="4"/>
      <c r="D27" s="4" t="s">
        <v>109</v>
      </c>
      <c r="E27" s="6">
        <v>1</v>
      </c>
      <c r="F27" s="13">
        <v>0</v>
      </c>
      <c r="G27" s="6">
        <v>9</v>
      </c>
      <c r="H27" s="6">
        <f t="shared" si="2"/>
        <v>9</v>
      </c>
      <c r="I27" s="4"/>
    </row>
    <row r="28" s="1" customFormat="1" customHeight="1" spans="1:9">
      <c r="A28" s="18">
        <v>6</v>
      </c>
      <c r="B28" s="19" t="s">
        <v>125</v>
      </c>
      <c r="C28" s="19"/>
      <c r="D28" s="19" t="s">
        <v>109</v>
      </c>
      <c r="E28" s="20">
        <v>1</v>
      </c>
      <c r="F28" s="20">
        <v>0</v>
      </c>
      <c r="G28" s="20">
        <v>32</v>
      </c>
      <c r="H28" s="10">
        <f t="shared" si="2"/>
        <v>32</v>
      </c>
      <c r="I28" s="23" t="s">
        <v>112</v>
      </c>
    </row>
    <row r="29" s="1" customFormat="1" customHeight="1" spans="1:9">
      <c r="A29" s="9">
        <v>7</v>
      </c>
      <c r="B29" s="19" t="s">
        <v>126</v>
      </c>
      <c r="C29" s="19"/>
      <c r="D29" s="19" t="s">
        <v>109</v>
      </c>
      <c r="E29" s="20">
        <v>1</v>
      </c>
      <c r="F29" s="20">
        <v>0</v>
      </c>
      <c r="G29" s="20">
        <v>65</v>
      </c>
      <c r="H29" s="10">
        <f t="shared" si="2"/>
        <v>65</v>
      </c>
      <c r="I29" s="23" t="s">
        <v>112</v>
      </c>
    </row>
    <row r="30" s="1" customFormat="1" customHeight="1" spans="1:9">
      <c r="A30" s="9">
        <v>8</v>
      </c>
      <c r="B30" s="19" t="s">
        <v>127</v>
      </c>
      <c r="C30" s="19"/>
      <c r="D30" s="19" t="s">
        <v>109</v>
      </c>
      <c r="E30" s="20">
        <v>1</v>
      </c>
      <c r="F30" s="20">
        <v>0</v>
      </c>
      <c r="G30" s="20">
        <v>6</v>
      </c>
      <c r="H30" s="10">
        <f t="shared" si="2"/>
        <v>6</v>
      </c>
      <c r="I30" s="23" t="s">
        <v>112</v>
      </c>
    </row>
    <row r="31" s="1" customFormat="1" customHeight="1" spans="1:9">
      <c r="A31" s="19">
        <v>9</v>
      </c>
      <c r="B31" s="19" t="s">
        <v>128</v>
      </c>
      <c r="C31" s="19"/>
      <c r="D31" s="19" t="s">
        <v>109</v>
      </c>
      <c r="E31" s="20">
        <v>1</v>
      </c>
      <c r="F31" s="20">
        <v>0</v>
      </c>
      <c r="G31" s="20">
        <v>2</v>
      </c>
      <c r="H31" s="10">
        <f t="shared" si="2"/>
        <v>2</v>
      </c>
      <c r="I31" s="23" t="s">
        <v>112</v>
      </c>
    </row>
    <row r="32" s="1" customFormat="1" customHeight="1" spans="1:9">
      <c r="A32" s="19">
        <v>10</v>
      </c>
      <c r="B32" s="19" t="s">
        <v>129</v>
      </c>
      <c r="C32" s="19"/>
      <c r="D32" s="19" t="s">
        <v>109</v>
      </c>
      <c r="E32" s="20">
        <v>1</v>
      </c>
      <c r="F32" s="20">
        <v>0</v>
      </c>
      <c r="G32" s="20">
        <v>8</v>
      </c>
      <c r="H32" s="10">
        <f t="shared" si="2"/>
        <v>8</v>
      </c>
      <c r="I32" s="23" t="s">
        <v>112</v>
      </c>
    </row>
    <row r="33" s="1" customFormat="1" customHeight="1" spans="1:9">
      <c r="A33" s="19">
        <v>11</v>
      </c>
      <c r="B33" s="19" t="s">
        <v>130</v>
      </c>
      <c r="C33" s="19"/>
      <c r="D33" s="19" t="s">
        <v>109</v>
      </c>
      <c r="E33" s="20">
        <v>1</v>
      </c>
      <c r="F33" s="20">
        <v>0</v>
      </c>
      <c r="G33" s="20">
        <v>9</v>
      </c>
      <c r="H33" s="10">
        <f t="shared" si="2"/>
        <v>9</v>
      </c>
      <c r="I33" s="23" t="s">
        <v>112</v>
      </c>
    </row>
    <row r="34" s="1" customFormat="1" customHeight="1" spans="1:9">
      <c r="A34" s="19">
        <v>12</v>
      </c>
      <c r="B34" s="21" t="s">
        <v>131</v>
      </c>
      <c r="C34" s="22"/>
      <c r="D34" s="19" t="s">
        <v>132</v>
      </c>
      <c r="E34" s="21" t="s">
        <v>133</v>
      </c>
      <c r="F34" s="22"/>
      <c r="G34" s="23"/>
      <c r="H34" s="10">
        <f>SUM(H28:H33,H22,H16,H14,H12,H7)</f>
        <v>724.283433576013</v>
      </c>
      <c r="I34" s="26" t="s">
        <v>134</v>
      </c>
    </row>
    <row r="35" s="1" customFormat="1" customHeight="1" spans="1:9">
      <c r="A35" s="19">
        <v>13</v>
      </c>
      <c r="B35" s="21" t="s">
        <v>135</v>
      </c>
      <c r="C35" s="22"/>
      <c r="D35" s="19" t="s">
        <v>132</v>
      </c>
      <c r="E35" s="21" t="s">
        <v>136</v>
      </c>
      <c r="F35" s="22"/>
      <c r="G35" s="24">
        <v>0.085</v>
      </c>
      <c r="H35" s="10">
        <f>H34*G35</f>
        <v>61.5640918539611</v>
      </c>
      <c r="I35" s="27"/>
    </row>
    <row r="36" s="1" customFormat="1" customHeight="1" spans="1:9">
      <c r="A36" s="19">
        <v>14</v>
      </c>
      <c r="B36" s="21" t="s">
        <v>137</v>
      </c>
      <c r="C36" s="22"/>
      <c r="D36" s="19" t="s">
        <v>132</v>
      </c>
      <c r="E36" s="21" t="s">
        <v>138</v>
      </c>
      <c r="F36" s="22"/>
      <c r="G36" s="23"/>
      <c r="H36" s="10">
        <f>H34+H35</f>
        <v>785.847525429974</v>
      </c>
      <c r="I36" s="28">
        <f>H36</f>
        <v>785.847525429974</v>
      </c>
    </row>
    <row r="46" ht="28" customHeight="1"/>
    <row r="47" ht="28" customHeight="1"/>
  </sheetData>
  <mergeCells count="45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G16"/>
    <mergeCell ref="B17:C17"/>
    <mergeCell ref="B18:C18"/>
    <mergeCell ref="B19:C19"/>
    <mergeCell ref="B20:C20"/>
    <mergeCell ref="B21:C21"/>
    <mergeCell ref="B22:G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E34:F34"/>
    <mergeCell ref="B35:C35"/>
    <mergeCell ref="E35:F35"/>
    <mergeCell ref="B36:C36"/>
    <mergeCell ref="E36:F36"/>
    <mergeCell ref="A4:A5"/>
    <mergeCell ref="B4:B5"/>
    <mergeCell ref="C4:C5"/>
    <mergeCell ref="D4:D5"/>
    <mergeCell ref="E4:E5"/>
    <mergeCell ref="I34:I35"/>
    <mergeCell ref="H2:I5"/>
  </mergeCells>
  <pageMargins left="0.75" right="0.75" top="1" bottom="1" header="0.5" footer="0.5"/>
  <pageSetup paperSize="9" scale="85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B16" sqref="B16:G16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52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">
        <v>20</v>
      </c>
      <c r="C3" s="4"/>
      <c r="D3" s="4"/>
      <c r="E3" s="4" t="s">
        <v>89</v>
      </c>
      <c r="F3" s="5" t="s">
        <v>90</v>
      </c>
      <c r="G3" s="5"/>
      <c r="H3" s="4"/>
      <c r="I3" s="4"/>
    </row>
    <row r="4" s="1" customFormat="1" customHeight="1" spans="1:9">
      <c r="A4" s="5" t="s">
        <v>91</v>
      </c>
      <c r="B4" s="4">
        <v>700</v>
      </c>
      <c r="C4" s="5" t="s">
        <v>92</v>
      </c>
      <c r="D4" s="4">
        <v>1450</v>
      </c>
      <c r="E4" s="4" t="s">
        <v>93</v>
      </c>
      <c r="F4" s="6">
        <f>B4*D4/1000000</f>
        <v>1.015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0.920275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436.987746315729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13.4360772595148</v>
      </c>
      <c r="F8" s="13">
        <v>0.16</v>
      </c>
      <c r="G8" s="6">
        <f>'C0915上悬'!$G$8</f>
        <v>24.8230088495575</v>
      </c>
      <c r="H8" s="6">
        <f t="shared" ref="H8:H11" si="0">E8*(1+F8)*G8</f>
        <v>386.887683070878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1.15007796582543</v>
      </c>
      <c r="F9" s="13">
        <v>0.16</v>
      </c>
      <c r="G9" s="6">
        <f>'C0915上悬'!$G$9</f>
        <v>23.7610619469027</v>
      </c>
      <c r="H9" s="6">
        <f t="shared" si="0"/>
        <v>31.6994055961052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0.715560022819266</v>
      </c>
      <c r="F10" s="13">
        <v>0.16</v>
      </c>
      <c r="G10" s="6">
        <f>'C0915上悬'!$G$10</f>
        <v>22.1681415929204</v>
      </c>
      <c r="H10" s="6">
        <f t="shared" si="0"/>
        <v>18.4006576487454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84.6226467030942</v>
      </c>
      <c r="I12" s="23"/>
    </row>
    <row r="13" s="1" customFormat="1" customHeight="1" spans="1:9">
      <c r="A13" s="4">
        <v>2.1</v>
      </c>
      <c r="B13" s="4" t="s">
        <v>76</v>
      </c>
      <c r="C13" s="4"/>
      <c r="D13" s="4" t="s">
        <v>77</v>
      </c>
      <c r="E13" s="6">
        <v>1.08663171334655</v>
      </c>
      <c r="F13" s="13">
        <v>0</v>
      </c>
      <c r="G13" s="6">
        <f>'C0915上悬'!$G$13</f>
        <v>77.8761061946903</v>
      </c>
      <c r="H13" s="6">
        <f t="shared" ref="H13:H21" si="1">E13*(1+F13)*G13</f>
        <v>84.6226467030942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</f>
        <v>109.85360402323</v>
      </c>
      <c r="I14" s="23"/>
    </row>
    <row r="15" s="1" customFormat="1" customHeight="1" spans="1:9">
      <c r="A15" s="4">
        <v>3.1</v>
      </c>
      <c r="B15" s="4" t="s">
        <v>67</v>
      </c>
      <c r="C15" s="4"/>
      <c r="D15" s="4" t="s">
        <v>109</v>
      </c>
      <c r="E15" s="6">
        <v>0.688680014126212</v>
      </c>
      <c r="F15" s="13">
        <v>0.03</v>
      </c>
      <c r="G15" s="6">
        <f>'C0915上悬'!$G$15</f>
        <v>154.867256637168</v>
      </c>
      <c r="H15" s="6">
        <f t="shared" si="1"/>
        <v>109.85360402323</v>
      </c>
      <c r="I15" s="4" t="s">
        <v>110</v>
      </c>
    </row>
    <row r="16" s="1" customFormat="1" customHeight="1" spans="1:9">
      <c r="A16" s="9">
        <v>4</v>
      </c>
      <c r="B16" s="9" t="s">
        <v>111</v>
      </c>
      <c r="C16" s="9"/>
      <c r="D16" s="9"/>
      <c r="E16" s="9"/>
      <c r="F16" s="9"/>
      <c r="G16" s="9"/>
      <c r="H16" s="10">
        <f>SUM(H17:H21)</f>
        <v>43.1835229686778</v>
      </c>
      <c r="I16" s="23" t="s">
        <v>112</v>
      </c>
    </row>
    <row r="17" s="1" customFormat="1" customHeight="1" spans="1:9">
      <c r="A17" s="4">
        <v>4.1</v>
      </c>
      <c r="B17" s="4" t="s">
        <v>113</v>
      </c>
      <c r="C17" s="4"/>
      <c r="D17" s="4" t="s">
        <v>80</v>
      </c>
      <c r="E17" s="6"/>
      <c r="F17" s="13">
        <v>0.03</v>
      </c>
      <c r="G17" s="6">
        <f>'C0915上悬'!$G$17</f>
        <v>0</v>
      </c>
      <c r="H17" s="6">
        <f t="shared" si="1"/>
        <v>0</v>
      </c>
      <c r="I17" s="4" t="s">
        <v>114</v>
      </c>
    </row>
    <row r="18" s="1" customFormat="1" customHeight="1" spans="1:9">
      <c r="A18" s="4">
        <v>4.2</v>
      </c>
      <c r="B18" s="4" t="s">
        <v>79</v>
      </c>
      <c r="C18" s="4"/>
      <c r="D18" s="4" t="s">
        <v>80</v>
      </c>
      <c r="E18" s="6">
        <v>3.83291226354441</v>
      </c>
      <c r="F18" s="13">
        <v>0.03</v>
      </c>
      <c r="G18" s="6">
        <f>'C0915上悬'!$G$18</f>
        <v>9.38</v>
      </c>
      <c r="H18" s="6">
        <f t="shared" si="1"/>
        <v>37.031298543008</v>
      </c>
      <c r="I18" s="4" t="s">
        <v>114</v>
      </c>
    </row>
    <row r="19" s="1" customFormat="1" customHeight="1" spans="1:9">
      <c r="A19" s="4">
        <v>4.3</v>
      </c>
      <c r="B19" s="4" t="s">
        <v>81</v>
      </c>
      <c r="C19" s="4"/>
      <c r="D19" s="4" t="s">
        <v>80</v>
      </c>
      <c r="E19" s="6">
        <v>0.259584242632788</v>
      </c>
      <c r="F19" s="13">
        <v>0.03</v>
      </c>
      <c r="G19" s="6">
        <f>'C0915上悬'!$G$19</f>
        <v>23.01</v>
      </c>
      <c r="H19" s="6">
        <f t="shared" si="1"/>
        <v>6.15222442566987</v>
      </c>
      <c r="I19" s="4" t="s">
        <v>115</v>
      </c>
    </row>
    <row r="20" s="1" customFormat="1" customHeight="1" spans="1:9">
      <c r="A20" s="4">
        <v>4.4</v>
      </c>
      <c r="B20" s="4" t="s">
        <v>116</v>
      </c>
      <c r="C20" s="4"/>
      <c r="D20" s="4" t="s">
        <v>80</v>
      </c>
      <c r="E20" s="6"/>
      <c r="F20" s="13">
        <v>0</v>
      </c>
      <c r="G20" s="6">
        <f>'C0915上悬'!$G$20</f>
        <v>0</v>
      </c>
      <c r="H20" s="6">
        <f t="shared" si="1"/>
        <v>0</v>
      </c>
      <c r="I20" s="4"/>
    </row>
    <row r="21" s="1" customFormat="1" customHeight="1" spans="1:9">
      <c r="A21" s="4">
        <v>4.5</v>
      </c>
      <c r="B21" s="4" t="s">
        <v>117</v>
      </c>
      <c r="C21" s="4"/>
      <c r="D21" s="4" t="s">
        <v>83</v>
      </c>
      <c r="E21" s="6"/>
      <c r="F21" s="13">
        <v>0</v>
      </c>
      <c r="G21" s="6">
        <f>'C0915上悬'!$G$21</f>
        <v>7.07964601769912</v>
      </c>
      <c r="H21" s="6">
        <f t="shared" si="1"/>
        <v>0</v>
      </c>
      <c r="I21" s="7"/>
    </row>
    <row r="22" s="1" customFormat="1" customHeight="1" spans="1:9">
      <c r="A22" s="9">
        <v>5</v>
      </c>
      <c r="B22" s="9" t="s">
        <v>118</v>
      </c>
      <c r="C22" s="9"/>
      <c r="D22" s="9"/>
      <c r="E22" s="9"/>
      <c r="F22" s="9"/>
      <c r="G22" s="9"/>
      <c r="H22" s="10">
        <f>SUM(H23:H27)</f>
        <v>18.5831215669229</v>
      </c>
      <c r="I22" s="23" t="s">
        <v>112</v>
      </c>
    </row>
    <row r="23" s="1" customFormat="1" customHeight="1" spans="1:9">
      <c r="A23" s="4">
        <v>5.1</v>
      </c>
      <c r="B23" s="4" t="s">
        <v>82</v>
      </c>
      <c r="C23" s="4"/>
      <c r="D23" s="4" t="s">
        <v>83</v>
      </c>
      <c r="E23" s="6">
        <v>8.61481622341148</v>
      </c>
      <c r="F23" s="13">
        <v>0.03</v>
      </c>
      <c r="G23" s="6">
        <f>'C0915上悬'!$G$23</f>
        <v>1.08</v>
      </c>
      <c r="H23" s="6">
        <f t="shared" ref="H23:H33" si="2">E23*(1+F23)*G23</f>
        <v>9.58312156692293</v>
      </c>
      <c r="I23" s="4" t="s">
        <v>119</v>
      </c>
    </row>
    <row r="24" s="1" customFormat="1" customHeight="1" spans="1:9">
      <c r="A24" s="4">
        <v>5.2</v>
      </c>
      <c r="B24" s="4" t="s">
        <v>120</v>
      </c>
      <c r="C24" s="4"/>
      <c r="D24" s="4" t="s">
        <v>83</v>
      </c>
      <c r="E24" s="6"/>
      <c r="F24" s="13">
        <v>0.03</v>
      </c>
      <c r="G24" s="6">
        <f>'C0915上悬'!$G$24</f>
        <v>0.0973451327433628</v>
      </c>
      <c r="H24" s="6">
        <f t="shared" si="2"/>
        <v>0</v>
      </c>
      <c r="I24" s="4"/>
    </row>
    <row r="25" s="1" customFormat="1" customHeight="1" spans="1:9">
      <c r="A25" s="4">
        <v>5.3</v>
      </c>
      <c r="B25" s="4" t="s">
        <v>121</v>
      </c>
      <c r="C25" s="4"/>
      <c r="D25" s="4" t="s">
        <v>122</v>
      </c>
      <c r="E25" s="6"/>
      <c r="F25" s="13">
        <v>0</v>
      </c>
      <c r="G25" s="6">
        <f>'C0915上悬'!$G$25</f>
        <v>0</v>
      </c>
      <c r="H25" s="6">
        <f t="shared" si="2"/>
        <v>0</v>
      </c>
      <c r="I25" s="7" t="s">
        <v>112</v>
      </c>
    </row>
    <row r="26" s="1" customFormat="1" customHeight="1" spans="1:9">
      <c r="A26" s="4">
        <v>5.4</v>
      </c>
      <c r="B26" s="4" t="s">
        <v>123</v>
      </c>
      <c r="C26" s="4"/>
      <c r="D26" s="4" t="s">
        <v>122</v>
      </c>
      <c r="E26" s="6"/>
      <c r="F26" s="13">
        <v>0</v>
      </c>
      <c r="G26" s="6">
        <f>'C0915上悬'!$G$26</f>
        <v>0</v>
      </c>
      <c r="H26" s="6">
        <f t="shared" si="2"/>
        <v>0</v>
      </c>
      <c r="I26" s="4"/>
    </row>
    <row r="27" s="1" customFormat="1" customHeight="1" spans="1:9">
      <c r="A27" s="4">
        <v>5.5</v>
      </c>
      <c r="B27" s="4" t="s">
        <v>124</v>
      </c>
      <c r="C27" s="4"/>
      <c r="D27" s="4" t="s">
        <v>109</v>
      </c>
      <c r="E27" s="6">
        <v>1</v>
      </c>
      <c r="F27" s="13">
        <v>0</v>
      </c>
      <c r="G27" s="6">
        <f>'C0915上悬'!$G$27</f>
        <v>9</v>
      </c>
      <c r="H27" s="6">
        <f t="shared" si="2"/>
        <v>9</v>
      </c>
      <c r="I27" s="4"/>
    </row>
    <row r="28" s="1" customFormat="1" customHeight="1" spans="1:9">
      <c r="A28" s="18">
        <v>6</v>
      </c>
      <c r="B28" s="19" t="s">
        <v>125</v>
      </c>
      <c r="C28" s="19"/>
      <c r="D28" s="19" t="s">
        <v>109</v>
      </c>
      <c r="E28" s="20">
        <v>1</v>
      </c>
      <c r="F28" s="20">
        <v>0</v>
      </c>
      <c r="G28" s="20">
        <f>'C0915上悬'!$G$28</f>
        <v>32</v>
      </c>
      <c r="H28" s="10">
        <f t="shared" si="2"/>
        <v>32</v>
      </c>
      <c r="I28" s="23" t="s">
        <v>112</v>
      </c>
    </row>
    <row r="29" s="1" customFormat="1" customHeight="1" spans="1:9">
      <c r="A29" s="9">
        <v>7</v>
      </c>
      <c r="B29" s="19" t="s">
        <v>126</v>
      </c>
      <c r="C29" s="19"/>
      <c r="D29" s="19" t="s">
        <v>109</v>
      </c>
      <c r="E29" s="20">
        <v>1</v>
      </c>
      <c r="F29" s="20">
        <v>0</v>
      </c>
      <c r="G29" s="20">
        <f>'C0915上悬'!$G$29</f>
        <v>65</v>
      </c>
      <c r="H29" s="10">
        <f t="shared" si="2"/>
        <v>65</v>
      </c>
      <c r="I29" s="23" t="s">
        <v>112</v>
      </c>
    </row>
    <row r="30" s="1" customFormat="1" customHeight="1" spans="1:9">
      <c r="A30" s="9">
        <v>8</v>
      </c>
      <c r="B30" s="19" t="s">
        <v>127</v>
      </c>
      <c r="C30" s="19"/>
      <c r="D30" s="19" t="s">
        <v>109</v>
      </c>
      <c r="E30" s="20">
        <v>1</v>
      </c>
      <c r="F30" s="20">
        <v>0</v>
      </c>
      <c r="G30" s="20">
        <f>'C0915上悬'!$G$30</f>
        <v>6</v>
      </c>
      <c r="H30" s="10">
        <f t="shared" si="2"/>
        <v>6</v>
      </c>
      <c r="I30" s="23" t="s">
        <v>112</v>
      </c>
    </row>
    <row r="31" s="1" customFormat="1" customHeight="1" spans="1:9">
      <c r="A31" s="19">
        <v>9</v>
      </c>
      <c r="B31" s="19" t="s">
        <v>128</v>
      </c>
      <c r="C31" s="19"/>
      <c r="D31" s="19" t="s">
        <v>109</v>
      </c>
      <c r="E31" s="20">
        <v>1</v>
      </c>
      <c r="F31" s="20">
        <v>0</v>
      </c>
      <c r="G31" s="20">
        <f>'C0915上悬'!$G$31</f>
        <v>2</v>
      </c>
      <c r="H31" s="10">
        <f t="shared" si="2"/>
        <v>2</v>
      </c>
      <c r="I31" s="23" t="s">
        <v>112</v>
      </c>
    </row>
    <row r="32" s="1" customFormat="1" customHeight="1" spans="1:9">
      <c r="A32" s="19">
        <v>10</v>
      </c>
      <c r="B32" s="19" t="s">
        <v>129</v>
      </c>
      <c r="C32" s="19"/>
      <c r="D32" s="19" t="s">
        <v>109</v>
      </c>
      <c r="E32" s="20">
        <v>1</v>
      </c>
      <c r="F32" s="20">
        <v>0</v>
      </c>
      <c r="G32" s="20">
        <f>'C0915上悬'!$G$32</f>
        <v>8</v>
      </c>
      <c r="H32" s="10">
        <f t="shared" si="2"/>
        <v>8</v>
      </c>
      <c r="I32" s="23" t="s">
        <v>112</v>
      </c>
    </row>
    <row r="33" s="1" customFormat="1" customHeight="1" spans="1:9">
      <c r="A33" s="19">
        <v>11</v>
      </c>
      <c r="B33" s="19" t="s">
        <v>130</v>
      </c>
      <c r="C33" s="19"/>
      <c r="D33" s="19" t="s">
        <v>109</v>
      </c>
      <c r="E33" s="20">
        <v>1</v>
      </c>
      <c r="F33" s="20">
        <v>0</v>
      </c>
      <c r="G33" s="20">
        <f>'C0915上悬'!$G$33</f>
        <v>9</v>
      </c>
      <c r="H33" s="10">
        <f t="shared" si="2"/>
        <v>9</v>
      </c>
      <c r="I33" s="23" t="s">
        <v>112</v>
      </c>
    </row>
    <row r="34" s="1" customFormat="1" customHeight="1" spans="1:9">
      <c r="A34" s="19">
        <v>12</v>
      </c>
      <c r="B34" s="21" t="s">
        <v>131</v>
      </c>
      <c r="C34" s="22"/>
      <c r="D34" s="19" t="s">
        <v>132</v>
      </c>
      <c r="E34" s="21" t="s">
        <v>133</v>
      </c>
      <c r="F34" s="22"/>
      <c r="G34" s="23"/>
      <c r="H34" s="10">
        <f>SUM(H28:H33,H22,H16,H14,H12,H7)</f>
        <v>815.230641577653</v>
      </c>
      <c r="I34" s="26" t="s">
        <v>134</v>
      </c>
    </row>
    <row r="35" s="1" customFormat="1" customHeight="1" spans="1:9">
      <c r="A35" s="19">
        <v>13</v>
      </c>
      <c r="B35" s="21" t="s">
        <v>135</v>
      </c>
      <c r="C35" s="22"/>
      <c r="D35" s="19" t="s">
        <v>132</v>
      </c>
      <c r="E35" s="21" t="s">
        <v>136</v>
      </c>
      <c r="F35" s="22"/>
      <c r="G35" s="24">
        <f>'C0915上悬'!$G$35</f>
        <v>0.085</v>
      </c>
      <c r="H35" s="10">
        <f>H34*G35</f>
        <v>69.2946045341005</v>
      </c>
      <c r="I35" s="27"/>
    </row>
    <row r="36" s="1" customFormat="1" customHeight="1" spans="1:9">
      <c r="A36" s="19">
        <v>14</v>
      </c>
      <c r="B36" s="21" t="s">
        <v>137</v>
      </c>
      <c r="C36" s="22"/>
      <c r="D36" s="19" t="s">
        <v>132</v>
      </c>
      <c r="E36" s="21" t="s">
        <v>138</v>
      </c>
      <c r="F36" s="22"/>
      <c r="G36" s="23"/>
      <c r="H36" s="10">
        <f>H34+H35</f>
        <v>884.525246111754</v>
      </c>
      <c r="I36" s="28">
        <f>H36</f>
        <v>884.525246111754</v>
      </c>
    </row>
    <row r="46" ht="28" customHeight="1"/>
    <row r="47" ht="28" customHeight="1"/>
  </sheetData>
  <mergeCells count="45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G16"/>
    <mergeCell ref="B17:C17"/>
    <mergeCell ref="B18:C18"/>
    <mergeCell ref="B19:C19"/>
    <mergeCell ref="B20:C20"/>
    <mergeCell ref="B21:C21"/>
    <mergeCell ref="B22:G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E34:F34"/>
    <mergeCell ref="B35:C35"/>
    <mergeCell ref="E35:F35"/>
    <mergeCell ref="B36:C36"/>
    <mergeCell ref="E36:F36"/>
    <mergeCell ref="A4:A5"/>
    <mergeCell ref="B4:B5"/>
    <mergeCell ref="C4:C5"/>
    <mergeCell ref="D4:D5"/>
    <mergeCell ref="E4:E5"/>
    <mergeCell ref="I34:I35"/>
    <mergeCell ref="H2:I5"/>
  </mergeCells>
  <pageMargins left="0.75" right="0.75" top="1" bottom="1" header="0.5" footer="0.5"/>
  <pageSetup paperSize="9" scale="74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B16" sqref="B16:G16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52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">
        <v>21</v>
      </c>
      <c r="C3" s="4"/>
      <c r="D3" s="4"/>
      <c r="E3" s="4" t="s">
        <v>89</v>
      </c>
      <c r="F3" s="5" t="s">
        <v>90</v>
      </c>
      <c r="G3" s="5"/>
      <c r="H3" s="4"/>
      <c r="I3" s="4"/>
    </row>
    <row r="4" s="1" customFormat="1" customHeight="1" spans="1:9">
      <c r="A4" s="5" t="s">
        <v>91</v>
      </c>
      <c r="B4" s="4">
        <v>800</v>
      </c>
      <c r="C4" s="5" t="s">
        <v>92</v>
      </c>
      <c r="D4" s="4">
        <v>1450</v>
      </c>
      <c r="E4" s="4" t="s">
        <v>93</v>
      </c>
      <c r="F4" s="6">
        <f>B4*D4/1000000</f>
        <v>1.16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1.060775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394.077363961022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12.2350979236879</v>
      </c>
      <c r="F8" s="13">
        <v>0.16</v>
      </c>
      <c r="G8" s="6">
        <f>'C0915上悬'!$G$8</f>
        <v>24.8230088495575</v>
      </c>
      <c r="H8" s="6">
        <f t="shared" ref="H8:H11" si="0">E8*(1+F8)*G8</f>
        <v>352.305855080492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0.936334283896208</v>
      </c>
      <c r="F9" s="13">
        <v>0.16</v>
      </c>
      <c r="G9" s="6">
        <f>'C0915上悬'!$G$9</f>
        <v>23.7610619469027</v>
      </c>
      <c r="H9" s="6">
        <f t="shared" si="0"/>
        <v>25.8080244302932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0.620783860856449</v>
      </c>
      <c r="F10" s="13">
        <v>0.16</v>
      </c>
      <c r="G10" s="6">
        <f>'C0915上悬'!$G$10</f>
        <v>22.1681415929204</v>
      </c>
      <c r="H10" s="6">
        <f t="shared" si="0"/>
        <v>15.963484450236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73.4143491265257</v>
      </c>
      <c r="I12" s="23"/>
    </row>
    <row r="13" s="1" customFormat="1" customHeight="1" spans="1:9">
      <c r="A13" s="4">
        <v>2.1</v>
      </c>
      <c r="B13" s="4" t="s">
        <v>76</v>
      </c>
      <c r="C13" s="4"/>
      <c r="D13" s="4" t="s">
        <v>77</v>
      </c>
      <c r="E13" s="6">
        <v>0.942706983101977</v>
      </c>
      <c r="F13" s="13">
        <v>0</v>
      </c>
      <c r="G13" s="6">
        <f>'C0915上悬'!$G$13</f>
        <v>77.8761061946903</v>
      </c>
      <c r="H13" s="6">
        <f t="shared" ref="H13:H21" si="1">E13*(1+F13)*G13</f>
        <v>73.4143491265257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</f>
        <v>111.393505499715</v>
      </c>
      <c r="I14" s="23"/>
    </row>
    <row r="15" s="1" customFormat="1" customHeight="1" spans="1:9">
      <c r="A15" s="4">
        <v>3.1</v>
      </c>
      <c r="B15" s="4" t="s">
        <v>67</v>
      </c>
      <c r="C15" s="4"/>
      <c r="D15" s="4" t="s">
        <v>109</v>
      </c>
      <c r="E15" s="6">
        <v>0.698333765407367</v>
      </c>
      <c r="F15" s="13">
        <v>0.03</v>
      </c>
      <c r="G15" s="6">
        <f>'C0915上悬'!$G$15</f>
        <v>154.867256637168</v>
      </c>
      <c r="H15" s="6">
        <f t="shared" si="1"/>
        <v>111.393505499715</v>
      </c>
      <c r="I15" s="4" t="s">
        <v>110</v>
      </c>
    </row>
    <row r="16" s="1" customFormat="1" customHeight="1" spans="1:9">
      <c r="A16" s="9">
        <v>4</v>
      </c>
      <c r="B16" s="9" t="s">
        <v>111</v>
      </c>
      <c r="C16" s="9"/>
      <c r="D16" s="9"/>
      <c r="E16" s="9"/>
      <c r="F16" s="9"/>
      <c r="G16" s="9"/>
      <c r="H16" s="10">
        <f>SUM(H17:H21)</f>
        <v>23.297601581391</v>
      </c>
      <c r="I16" s="23" t="s">
        <v>112</v>
      </c>
    </row>
    <row r="17" s="1" customFormat="1" customHeight="1" spans="1:9">
      <c r="A17" s="4">
        <v>4.1</v>
      </c>
      <c r="B17" s="4" t="s">
        <v>113</v>
      </c>
      <c r="C17" s="4"/>
      <c r="D17" s="4" t="s">
        <v>80</v>
      </c>
      <c r="E17" s="6"/>
      <c r="F17" s="13">
        <v>0.03</v>
      </c>
      <c r="G17" s="6">
        <f>'C0915上悬'!$G$17</f>
        <v>0</v>
      </c>
      <c r="H17" s="6">
        <f t="shared" si="1"/>
        <v>0</v>
      </c>
      <c r="I17" s="4" t="s">
        <v>114</v>
      </c>
    </row>
    <row r="18" s="1" customFormat="1" customHeight="1" spans="1:9">
      <c r="A18" s="4">
        <v>4.2</v>
      </c>
      <c r="B18" s="4" t="s">
        <v>79</v>
      </c>
      <c r="C18" s="4"/>
      <c r="D18" s="4" t="s">
        <v>80</v>
      </c>
      <c r="E18" s="6">
        <v>0.698333765407367</v>
      </c>
      <c r="F18" s="13">
        <v>0.03</v>
      </c>
      <c r="G18" s="6">
        <f>'C0915上悬'!$G$18</f>
        <v>9.38</v>
      </c>
      <c r="H18" s="6">
        <f t="shared" si="1"/>
        <v>6.74688184110674</v>
      </c>
      <c r="I18" s="4" t="s">
        <v>114</v>
      </c>
    </row>
    <row r="19" s="1" customFormat="1" customHeight="1" spans="1:9">
      <c r="A19" s="4">
        <v>4.3</v>
      </c>
      <c r="B19" s="4" t="s">
        <v>81</v>
      </c>
      <c r="C19" s="4"/>
      <c r="D19" s="4" t="s">
        <v>80</v>
      </c>
      <c r="E19" s="6">
        <v>0.698333765407367</v>
      </c>
      <c r="F19" s="13">
        <v>0.03</v>
      </c>
      <c r="G19" s="6">
        <f>'C0915上悬'!$G$19</f>
        <v>23.01</v>
      </c>
      <c r="H19" s="6">
        <f t="shared" si="1"/>
        <v>16.5507197402842</v>
      </c>
      <c r="I19" s="4" t="s">
        <v>115</v>
      </c>
    </row>
    <row r="20" s="1" customFormat="1" customHeight="1" spans="1:9">
      <c r="A20" s="4">
        <v>4.4</v>
      </c>
      <c r="B20" s="4" t="s">
        <v>116</v>
      </c>
      <c r="C20" s="4"/>
      <c r="D20" s="4" t="s">
        <v>80</v>
      </c>
      <c r="E20" s="6"/>
      <c r="F20" s="13">
        <v>0</v>
      </c>
      <c r="G20" s="6">
        <f>'C0915上悬'!$G$20</f>
        <v>0</v>
      </c>
      <c r="H20" s="6">
        <f t="shared" si="1"/>
        <v>0</v>
      </c>
      <c r="I20" s="4"/>
    </row>
    <row r="21" s="1" customFormat="1" customHeight="1" spans="1:9">
      <c r="A21" s="4">
        <v>4.5</v>
      </c>
      <c r="B21" s="4" t="s">
        <v>117</v>
      </c>
      <c r="C21" s="4"/>
      <c r="D21" s="4" t="s">
        <v>83</v>
      </c>
      <c r="E21" s="6"/>
      <c r="F21" s="13">
        <v>0</v>
      </c>
      <c r="G21" s="6">
        <f>'C0915上悬'!$G$21</f>
        <v>7.07964601769912</v>
      </c>
      <c r="H21" s="6">
        <f t="shared" si="1"/>
        <v>0</v>
      </c>
      <c r="I21" s="7"/>
    </row>
    <row r="22" s="1" customFormat="1" customHeight="1" spans="1:9">
      <c r="A22" s="9">
        <v>5</v>
      </c>
      <c r="B22" s="9" t="s">
        <v>118</v>
      </c>
      <c r="C22" s="9"/>
      <c r="D22" s="9"/>
      <c r="E22" s="9"/>
      <c r="F22" s="9"/>
      <c r="G22" s="9"/>
      <c r="H22" s="10">
        <f>SUM(H23:H27)</f>
        <v>17.733300841366</v>
      </c>
      <c r="I22" s="23" t="s">
        <v>112</v>
      </c>
    </row>
    <row r="23" s="1" customFormat="1" customHeight="1" spans="1:9">
      <c r="A23" s="4">
        <v>5.1</v>
      </c>
      <c r="B23" s="4" t="s">
        <v>82</v>
      </c>
      <c r="C23" s="4"/>
      <c r="D23" s="4" t="s">
        <v>83</v>
      </c>
      <c r="E23" s="6">
        <v>7.85086375527327</v>
      </c>
      <c r="F23" s="13">
        <v>0.03</v>
      </c>
      <c r="G23" s="6">
        <f>'C0915上悬'!$G$23</f>
        <v>1.08</v>
      </c>
      <c r="H23" s="6">
        <f t="shared" ref="H23:H33" si="2">E23*(1+F23)*G23</f>
        <v>8.73330084136599</v>
      </c>
      <c r="I23" s="4" t="s">
        <v>119</v>
      </c>
    </row>
    <row r="24" s="1" customFormat="1" customHeight="1" spans="1:9">
      <c r="A24" s="4">
        <v>5.2</v>
      </c>
      <c r="B24" s="4" t="s">
        <v>120</v>
      </c>
      <c r="C24" s="4"/>
      <c r="D24" s="4" t="s">
        <v>83</v>
      </c>
      <c r="E24" s="6"/>
      <c r="F24" s="13">
        <v>0.03</v>
      </c>
      <c r="G24" s="6">
        <f>'C0915上悬'!$G$24</f>
        <v>0.0973451327433628</v>
      </c>
      <c r="H24" s="6">
        <f t="shared" si="2"/>
        <v>0</v>
      </c>
      <c r="I24" s="4"/>
    </row>
    <row r="25" s="1" customFormat="1" customHeight="1" spans="1:9">
      <c r="A25" s="4">
        <v>5.3</v>
      </c>
      <c r="B25" s="4" t="s">
        <v>121</v>
      </c>
      <c r="C25" s="4"/>
      <c r="D25" s="4" t="s">
        <v>122</v>
      </c>
      <c r="E25" s="6"/>
      <c r="F25" s="13">
        <v>0</v>
      </c>
      <c r="G25" s="6">
        <f>'C0915上悬'!$G$25</f>
        <v>0</v>
      </c>
      <c r="H25" s="6">
        <f t="shared" si="2"/>
        <v>0</v>
      </c>
      <c r="I25" s="7" t="s">
        <v>112</v>
      </c>
    </row>
    <row r="26" s="1" customFormat="1" customHeight="1" spans="1:9">
      <c r="A26" s="4">
        <v>5.4</v>
      </c>
      <c r="B26" s="4" t="s">
        <v>123</v>
      </c>
      <c r="C26" s="4"/>
      <c r="D26" s="4" t="s">
        <v>122</v>
      </c>
      <c r="E26" s="6"/>
      <c r="F26" s="13">
        <v>0</v>
      </c>
      <c r="G26" s="6">
        <f>'C0915上悬'!$G$26</f>
        <v>0</v>
      </c>
      <c r="H26" s="6">
        <f t="shared" si="2"/>
        <v>0</v>
      </c>
      <c r="I26" s="4"/>
    </row>
    <row r="27" s="1" customFormat="1" customHeight="1" spans="1:9">
      <c r="A27" s="4">
        <v>5.5</v>
      </c>
      <c r="B27" s="4" t="s">
        <v>124</v>
      </c>
      <c r="C27" s="4"/>
      <c r="D27" s="4" t="s">
        <v>109</v>
      </c>
      <c r="E27" s="6">
        <v>1</v>
      </c>
      <c r="F27" s="13">
        <v>0</v>
      </c>
      <c r="G27" s="6">
        <f>'C0915上悬'!$G$27</f>
        <v>9</v>
      </c>
      <c r="H27" s="6">
        <f t="shared" si="2"/>
        <v>9</v>
      </c>
      <c r="I27" s="4"/>
    </row>
    <row r="28" s="1" customFormat="1" customHeight="1" spans="1:9">
      <c r="A28" s="18">
        <v>6</v>
      </c>
      <c r="B28" s="19" t="s">
        <v>125</v>
      </c>
      <c r="C28" s="19"/>
      <c r="D28" s="19" t="s">
        <v>109</v>
      </c>
      <c r="E28" s="20">
        <v>1</v>
      </c>
      <c r="F28" s="20">
        <v>0</v>
      </c>
      <c r="G28" s="20">
        <f>'C0915上悬'!$G$28</f>
        <v>32</v>
      </c>
      <c r="H28" s="10">
        <f t="shared" si="2"/>
        <v>32</v>
      </c>
      <c r="I28" s="23" t="s">
        <v>112</v>
      </c>
    </row>
    <row r="29" s="1" customFormat="1" customHeight="1" spans="1:9">
      <c r="A29" s="9">
        <v>7</v>
      </c>
      <c r="B29" s="19" t="s">
        <v>126</v>
      </c>
      <c r="C29" s="19"/>
      <c r="D29" s="19" t="s">
        <v>109</v>
      </c>
      <c r="E29" s="20">
        <v>1</v>
      </c>
      <c r="F29" s="20">
        <v>0</v>
      </c>
      <c r="G29" s="20">
        <f>'C0915上悬'!$G$29</f>
        <v>65</v>
      </c>
      <c r="H29" s="10">
        <f t="shared" si="2"/>
        <v>65</v>
      </c>
      <c r="I29" s="23" t="s">
        <v>112</v>
      </c>
    </row>
    <row r="30" s="1" customFormat="1" customHeight="1" spans="1:9">
      <c r="A30" s="9">
        <v>8</v>
      </c>
      <c r="B30" s="19" t="s">
        <v>127</v>
      </c>
      <c r="C30" s="19"/>
      <c r="D30" s="19" t="s">
        <v>109</v>
      </c>
      <c r="E30" s="20">
        <v>1</v>
      </c>
      <c r="F30" s="20">
        <v>0</v>
      </c>
      <c r="G30" s="20">
        <f>'C0915上悬'!$G$30</f>
        <v>6</v>
      </c>
      <c r="H30" s="10">
        <f t="shared" si="2"/>
        <v>6</v>
      </c>
      <c r="I30" s="23" t="s">
        <v>112</v>
      </c>
    </row>
    <row r="31" s="1" customFormat="1" customHeight="1" spans="1:9">
      <c r="A31" s="19">
        <v>9</v>
      </c>
      <c r="B31" s="19" t="s">
        <v>128</v>
      </c>
      <c r="C31" s="19"/>
      <c r="D31" s="19" t="s">
        <v>109</v>
      </c>
      <c r="E31" s="20">
        <v>1</v>
      </c>
      <c r="F31" s="20">
        <v>0</v>
      </c>
      <c r="G31" s="20">
        <f>'C0915上悬'!$G$31</f>
        <v>2</v>
      </c>
      <c r="H31" s="10">
        <f t="shared" si="2"/>
        <v>2</v>
      </c>
      <c r="I31" s="23" t="s">
        <v>112</v>
      </c>
    </row>
    <row r="32" s="1" customFormat="1" customHeight="1" spans="1:9">
      <c r="A32" s="19">
        <v>10</v>
      </c>
      <c r="B32" s="19" t="s">
        <v>129</v>
      </c>
      <c r="C32" s="19"/>
      <c r="D32" s="19" t="s">
        <v>109</v>
      </c>
      <c r="E32" s="20">
        <v>1</v>
      </c>
      <c r="F32" s="20">
        <v>0</v>
      </c>
      <c r="G32" s="20">
        <f>'C0915上悬'!$G$32</f>
        <v>8</v>
      </c>
      <c r="H32" s="10">
        <f t="shared" si="2"/>
        <v>8</v>
      </c>
      <c r="I32" s="23" t="s">
        <v>112</v>
      </c>
    </row>
    <row r="33" s="1" customFormat="1" customHeight="1" spans="1:9">
      <c r="A33" s="19">
        <v>11</v>
      </c>
      <c r="B33" s="19" t="s">
        <v>130</v>
      </c>
      <c r="C33" s="19"/>
      <c r="D33" s="19" t="s">
        <v>109</v>
      </c>
      <c r="E33" s="20">
        <v>1</v>
      </c>
      <c r="F33" s="20">
        <v>0</v>
      </c>
      <c r="G33" s="20">
        <f>'C0915上悬'!$G$33</f>
        <v>9</v>
      </c>
      <c r="H33" s="10">
        <f t="shared" si="2"/>
        <v>9</v>
      </c>
      <c r="I33" s="23" t="s">
        <v>112</v>
      </c>
    </row>
    <row r="34" s="1" customFormat="1" customHeight="1" spans="1:9">
      <c r="A34" s="19">
        <v>12</v>
      </c>
      <c r="B34" s="21" t="s">
        <v>131</v>
      </c>
      <c r="C34" s="22"/>
      <c r="D34" s="19" t="s">
        <v>132</v>
      </c>
      <c r="E34" s="21" t="s">
        <v>133</v>
      </c>
      <c r="F34" s="22"/>
      <c r="G34" s="23"/>
      <c r="H34" s="10">
        <f>SUM(H28:H33,H22,H16,H14,H12,H7)</f>
        <v>741.916121010019</v>
      </c>
      <c r="I34" s="26" t="s">
        <v>134</v>
      </c>
    </row>
    <row r="35" s="1" customFormat="1" customHeight="1" spans="1:9">
      <c r="A35" s="19">
        <v>13</v>
      </c>
      <c r="B35" s="21" t="s">
        <v>135</v>
      </c>
      <c r="C35" s="22"/>
      <c r="D35" s="19" t="s">
        <v>132</v>
      </c>
      <c r="E35" s="21" t="s">
        <v>136</v>
      </c>
      <c r="F35" s="22"/>
      <c r="G35" s="24">
        <f>'C0915上悬'!$G$35</f>
        <v>0.085</v>
      </c>
      <c r="H35" s="10">
        <f>H34*G35</f>
        <v>63.0628702858516</v>
      </c>
      <c r="I35" s="27"/>
    </row>
    <row r="36" s="1" customFormat="1" customHeight="1" spans="1:9">
      <c r="A36" s="19">
        <v>14</v>
      </c>
      <c r="B36" s="21" t="s">
        <v>137</v>
      </c>
      <c r="C36" s="22"/>
      <c r="D36" s="19" t="s">
        <v>132</v>
      </c>
      <c r="E36" s="21" t="s">
        <v>138</v>
      </c>
      <c r="F36" s="22"/>
      <c r="G36" s="23"/>
      <c r="H36" s="10">
        <f>H34+H35</f>
        <v>804.978991295871</v>
      </c>
      <c r="I36" s="28">
        <f>H36</f>
        <v>804.978991295871</v>
      </c>
    </row>
    <row r="46" ht="28" customHeight="1"/>
    <row r="47" ht="28" customHeight="1"/>
  </sheetData>
  <mergeCells count="45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G16"/>
    <mergeCell ref="B17:C17"/>
    <mergeCell ref="B18:C18"/>
    <mergeCell ref="B19:C19"/>
    <mergeCell ref="B20:C20"/>
    <mergeCell ref="B21:C21"/>
    <mergeCell ref="B22:G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E34:F34"/>
    <mergeCell ref="B35:C35"/>
    <mergeCell ref="E35:F35"/>
    <mergeCell ref="B36:C36"/>
    <mergeCell ref="E36:F36"/>
    <mergeCell ref="A4:A5"/>
    <mergeCell ref="B4:B5"/>
    <mergeCell ref="C4:C5"/>
    <mergeCell ref="D4:D5"/>
    <mergeCell ref="E4:E5"/>
    <mergeCell ref="I34:I35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8"/>
  <sheetViews>
    <sheetView view="pageBreakPreview" zoomScaleNormal="100" workbookViewId="0">
      <selection activeCell="F16" sqref="B16:G16"/>
    </sheetView>
  </sheetViews>
  <sheetFormatPr defaultColWidth="9" defaultRowHeight="20.1" customHeight="1"/>
  <cols>
    <col min="1" max="1" width="7.5" style="2" customWidth="1"/>
    <col min="2" max="2" width="11.9444444444444" style="2" customWidth="1"/>
    <col min="3" max="3" width="12.7777777777778" style="2" customWidth="1"/>
    <col min="4" max="4" width="7.25" style="2" customWidth="1"/>
    <col min="5" max="5" width="10.6296296296296" style="1" customWidth="1"/>
    <col min="6" max="6" width="11.6666666666667" style="2" customWidth="1"/>
    <col min="7" max="7" width="13.3333333333333" style="1" customWidth="1"/>
    <col min="8" max="8" width="9.2962962962963" style="1" customWidth="1"/>
    <col min="9" max="9" width="24.2962962962963" style="1" customWidth="1"/>
    <col min="10" max="16384" width="9" style="1"/>
  </cols>
  <sheetData>
    <row r="1" s="1" customFormat="1" ht="24" customHeight="1" spans="1:9">
      <c r="A1" s="3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4" t="s">
        <v>61</v>
      </c>
      <c r="B2" s="5" t="s">
        <v>53</v>
      </c>
      <c r="C2" s="5"/>
      <c r="D2" s="5"/>
      <c r="E2" s="4" t="s">
        <v>85</v>
      </c>
      <c r="F2" s="5" t="s">
        <v>86</v>
      </c>
      <c r="G2" s="5"/>
      <c r="H2" s="4" t="s">
        <v>87</v>
      </c>
      <c r="I2" s="4"/>
    </row>
    <row r="3" s="1" customFormat="1" customHeight="1" spans="1:9">
      <c r="A3" s="4" t="s">
        <v>88</v>
      </c>
      <c r="B3" s="4" t="str">
        <f>工程量统计!D7</f>
        <v>NC1515</v>
      </c>
      <c r="C3" s="4"/>
      <c r="D3" s="4"/>
      <c r="E3" s="4" t="s">
        <v>89</v>
      </c>
      <c r="F3" s="5" t="s">
        <v>139</v>
      </c>
      <c r="G3" s="5"/>
      <c r="H3" s="4"/>
      <c r="I3" s="4"/>
    </row>
    <row r="4" s="1" customFormat="1" customHeight="1" spans="1:9">
      <c r="A4" s="5" t="s">
        <v>91</v>
      </c>
      <c r="B4" s="4">
        <f>工程量统计!E7</f>
        <v>1500</v>
      </c>
      <c r="C4" s="5" t="s">
        <v>92</v>
      </c>
      <c r="D4" s="4">
        <f>工程量统计!F7</f>
        <v>1450</v>
      </c>
      <c r="E4" s="4" t="s">
        <v>93</v>
      </c>
      <c r="F4" s="6">
        <f>B4*D4/1000000</f>
        <v>2.175</v>
      </c>
      <c r="G4" s="7" t="s">
        <v>94</v>
      </c>
      <c r="H4" s="4"/>
      <c r="I4" s="4"/>
    </row>
    <row r="5" s="1" customFormat="1" customHeight="1" spans="1:9">
      <c r="A5" s="5"/>
      <c r="B5" s="4"/>
      <c r="C5" s="5"/>
      <c r="D5" s="4"/>
      <c r="E5" s="4"/>
      <c r="F5" s="6">
        <v>2.044275</v>
      </c>
      <c r="G5" s="8" t="s">
        <v>95</v>
      </c>
      <c r="H5" s="4"/>
      <c r="I5" s="4"/>
    </row>
    <row r="6" s="1" customFormat="1" customHeight="1" spans="1:9">
      <c r="A6" s="4" t="s">
        <v>1</v>
      </c>
      <c r="B6" s="4" t="s">
        <v>96</v>
      </c>
      <c r="C6" s="4"/>
      <c r="D6" s="4" t="s">
        <v>62</v>
      </c>
      <c r="E6" s="4" t="s">
        <v>97</v>
      </c>
      <c r="F6" s="4" t="s">
        <v>98</v>
      </c>
      <c r="G6" s="7" t="s">
        <v>99</v>
      </c>
      <c r="H6" s="7" t="s">
        <v>100</v>
      </c>
      <c r="I6" s="8" t="s">
        <v>101</v>
      </c>
    </row>
    <row r="7" s="1" customFormat="1" customHeight="1" spans="1:9">
      <c r="A7" s="9">
        <v>1</v>
      </c>
      <c r="B7" s="9" t="s">
        <v>102</v>
      </c>
      <c r="C7" s="9"/>
      <c r="D7" s="9"/>
      <c r="E7" s="9"/>
      <c r="F7" s="9"/>
      <c r="G7" s="9"/>
      <c r="H7" s="10">
        <f>SUM(H8:H11)</f>
        <v>338.213300147368</v>
      </c>
      <c r="I7" s="23"/>
    </row>
    <row r="8" s="1" customFormat="1" customHeight="1" spans="1:9">
      <c r="A8" s="4">
        <v>1.1</v>
      </c>
      <c r="B8" s="11" t="s">
        <v>72</v>
      </c>
      <c r="C8" s="12"/>
      <c r="D8" s="4" t="s">
        <v>103</v>
      </c>
      <c r="E8" s="6">
        <v>10.4858705898179</v>
      </c>
      <c r="F8" s="13">
        <v>0.16</v>
      </c>
      <c r="G8" s="6">
        <f>'C0915上悬'!$G$8</f>
        <v>24.8230088495575</v>
      </c>
      <c r="H8" s="6">
        <f t="shared" ref="H8:H11" si="0">E8*(1+F8)*G8</f>
        <v>301.937395797783</v>
      </c>
      <c r="I8" s="25" t="s">
        <v>104</v>
      </c>
    </row>
    <row r="9" s="1" customFormat="1" customHeight="1" spans="1:9">
      <c r="A9" s="4">
        <v>1.2</v>
      </c>
      <c r="B9" s="11" t="s">
        <v>74</v>
      </c>
      <c r="C9" s="12"/>
      <c r="D9" s="4" t="s">
        <v>103</v>
      </c>
      <c r="E9" s="6">
        <v>1.01558674835822</v>
      </c>
      <c r="F9" s="13">
        <v>0.16</v>
      </c>
      <c r="G9" s="6">
        <f>'C0915上悬'!$G$9</f>
        <v>23.7610619469027</v>
      </c>
      <c r="H9" s="6">
        <f t="shared" si="0"/>
        <v>27.9924467826241</v>
      </c>
      <c r="I9" s="4" t="s">
        <v>104</v>
      </c>
    </row>
    <row r="10" s="1" customFormat="1" customHeight="1" spans="1:9">
      <c r="A10" s="4">
        <v>1.3</v>
      </c>
      <c r="B10" s="4" t="s">
        <v>75</v>
      </c>
      <c r="C10" s="4"/>
      <c r="D10" s="4" t="s">
        <v>103</v>
      </c>
      <c r="E10" s="6">
        <v>0.322124958726199</v>
      </c>
      <c r="F10" s="13">
        <v>0.16</v>
      </c>
      <c r="G10" s="6">
        <f>'C0915上悬'!$G$10</f>
        <v>22.1681415929204</v>
      </c>
      <c r="H10" s="6">
        <f t="shared" si="0"/>
        <v>8.28345756696098</v>
      </c>
      <c r="I10" s="4" t="s">
        <v>104</v>
      </c>
    </row>
    <row r="11" s="1" customFormat="1" customHeight="1" spans="1:9">
      <c r="A11" s="4">
        <v>1.4</v>
      </c>
      <c r="B11" s="4" t="s">
        <v>105</v>
      </c>
      <c r="C11" s="4"/>
      <c r="D11" s="4" t="s">
        <v>103</v>
      </c>
      <c r="E11" s="6"/>
      <c r="F11" s="13">
        <v>0.06</v>
      </c>
      <c r="G11" s="6">
        <f>'C0915上悬'!$G$11</f>
        <v>4.60176991150443</v>
      </c>
      <c r="H11" s="6">
        <f t="shared" si="0"/>
        <v>0</v>
      </c>
      <c r="I11" s="4"/>
    </row>
    <row r="12" s="1" customFormat="1" customHeight="1" spans="1:9">
      <c r="A12" s="9">
        <v>2</v>
      </c>
      <c r="B12" s="9" t="s">
        <v>106</v>
      </c>
      <c r="C12" s="9"/>
      <c r="D12" s="9"/>
      <c r="E12" s="9"/>
      <c r="F12" s="9"/>
      <c r="G12" s="9"/>
      <c r="H12" s="10">
        <f>H13</f>
        <v>36.7960469790283</v>
      </c>
      <c r="I12" s="23"/>
    </row>
    <row r="13" s="1" customFormat="1" customHeight="1" spans="1:9">
      <c r="A13" s="4">
        <v>2.1</v>
      </c>
      <c r="B13" s="14" t="s">
        <v>78</v>
      </c>
      <c r="C13" s="14"/>
      <c r="D13" s="4" t="s">
        <v>77</v>
      </c>
      <c r="E13" s="6">
        <v>0.489170977485906</v>
      </c>
      <c r="F13" s="13">
        <v>0</v>
      </c>
      <c r="G13" s="6">
        <f>材料单价!D14</f>
        <v>75.2212389380531</v>
      </c>
      <c r="H13" s="6">
        <f t="shared" ref="H13:H16" si="1">E13*(1+F13)*G13</f>
        <v>36.7960469790283</v>
      </c>
      <c r="I13" s="4" t="s">
        <v>107</v>
      </c>
    </row>
    <row r="14" s="1" customFormat="1" customHeight="1" spans="1:9">
      <c r="A14" s="9">
        <v>3</v>
      </c>
      <c r="B14" s="9" t="s">
        <v>108</v>
      </c>
      <c r="C14" s="9"/>
      <c r="D14" s="9"/>
      <c r="E14" s="9"/>
      <c r="F14" s="9"/>
      <c r="G14" s="9"/>
      <c r="H14" s="10">
        <f>H15+H16</f>
        <v>135.673127148632</v>
      </c>
      <c r="I14" s="23"/>
    </row>
    <row r="15" s="1" customFormat="1" ht="32" customHeight="1" spans="1:9">
      <c r="A15" s="4">
        <v>3.1</v>
      </c>
      <c r="B15" s="30" t="s">
        <v>64</v>
      </c>
      <c r="C15" s="31"/>
      <c r="D15" s="4" t="s">
        <v>109</v>
      </c>
      <c r="E15" s="6">
        <v>0.763309104694819</v>
      </c>
      <c r="F15" s="13">
        <v>0.03</v>
      </c>
      <c r="G15" s="6">
        <f>NPC2023防火!$G$15</f>
        <v>172.566371681416</v>
      </c>
      <c r="H15" s="6">
        <f t="shared" si="1"/>
        <v>135.673127148632</v>
      </c>
      <c r="I15" s="4" t="s">
        <v>110</v>
      </c>
    </row>
    <row r="16" s="1" customFormat="1" ht="32" customHeight="1" spans="1:9">
      <c r="A16" s="4">
        <v>3.2</v>
      </c>
      <c r="B16" s="4"/>
      <c r="C16" s="4"/>
      <c r="D16" s="14"/>
      <c r="E16" s="16"/>
      <c r="F16" s="17"/>
      <c r="G16" s="6"/>
      <c r="H16" s="6"/>
      <c r="I16" s="4"/>
    </row>
    <row r="17" s="1" customFormat="1" customHeight="1" spans="1:9">
      <c r="A17" s="9">
        <v>4</v>
      </c>
      <c r="B17" s="9" t="s">
        <v>111</v>
      </c>
      <c r="C17" s="9"/>
      <c r="D17" s="9"/>
      <c r="E17" s="9"/>
      <c r="F17" s="9"/>
      <c r="G17" s="9"/>
      <c r="H17" s="10">
        <f>SUM(H18:H22)</f>
        <v>28.5141630586231</v>
      </c>
      <c r="I17" s="23" t="s">
        <v>112</v>
      </c>
    </row>
    <row r="18" s="1" customFormat="1" customHeight="1" spans="1:9">
      <c r="A18" s="4">
        <v>4.1</v>
      </c>
      <c r="B18" s="4" t="s">
        <v>113</v>
      </c>
      <c r="C18" s="4"/>
      <c r="D18" s="4" t="s">
        <v>80</v>
      </c>
      <c r="E18" s="6"/>
      <c r="F18" s="13">
        <v>0.03</v>
      </c>
      <c r="G18" s="6">
        <f>'C0915上悬'!$G$17</f>
        <v>0</v>
      </c>
      <c r="H18" s="6">
        <f t="shared" ref="H18:H22" si="2">E18*(1+F18)*G18</f>
        <v>0</v>
      </c>
      <c r="I18" s="4" t="s">
        <v>114</v>
      </c>
    </row>
    <row r="19" s="1" customFormat="1" customHeight="1" spans="1:9">
      <c r="A19" s="4">
        <v>4.2</v>
      </c>
      <c r="B19" s="4" t="s">
        <v>79</v>
      </c>
      <c r="C19" s="4"/>
      <c r="D19" s="4" t="s">
        <v>80</v>
      </c>
      <c r="E19" s="6">
        <v>2.55802179256705</v>
      </c>
      <c r="F19" s="13">
        <v>0.03</v>
      </c>
      <c r="G19" s="6">
        <f>'C0915上悬'!$G$18</f>
        <v>9.38</v>
      </c>
      <c r="H19" s="6">
        <f t="shared" si="2"/>
        <v>24.7140717467073</v>
      </c>
      <c r="I19" s="4" t="s">
        <v>114</v>
      </c>
    </row>
    <row r="20" s="1" customFormat="1" customHeight="1" spans="1:9">
      <c r="A20" s="4">
        <v>4.3</v>
      </c>
      <c r="B20" s="4" t="s">
        <v>81</v>
      </c>
      <c r="C20" s="4"/>
      <c r="D20" s="4" t="s">
        <v>80</v>
      </c>
      <c r="E20" s="6">
        <v>0.160339375953714</v>
      </c>
      <c r="F20" s="13">
        <v>0.03</v>
      </c>
      <c r="G20" s="6">
        <f>'C0915上悬'!$G$19</f>
        <v>23.01</v>
      </c>
      <c r="H20" s="6">
        <f t="shared" si="2"/>
        <v>3.80009131191581</v>
      </c>
      <c r="I20" s="4" t="s">
        <v>115</v>
      </c>
    </row>
    <row r="21" s="1" customFormat="1" customHeight="1" spans="1:9">
      <c r="A21" s="4">
        <v>4.4</v>
      </c>
      <c r="B21" s="4" t="s">
        <v>116</v>
      </c>
      <c r="C21" s="4"/>
      <c r="D21" s="4" t="s">
        <v>80</v>
      </c>
      <c r="E21" s="6"/>
      <c r="F21" s="13">
        <v>0</v>
      </c>
      <c r="G21" s="6">
        <f>'C0915上悬'!$G$20</f>
        <v>0</v>
      </c>
      <c r="H21" s="6">
        <f t="shared" si="2"/>
        <v>0</v>
      </c>
      <c r="I21" s="4"/>
    </row>
    <row r="22" s="1" customFormat="1" customHeight="1" spans="1:9">
      <c r="A22" s="4">
        <v>4.5</v>
      </c>
      <c r="B22" s="4" t="s">
        <v>117</v>
      </c>
      <c r="C22" s="4"/>
      <c r="D22" s="4" t="s">
        <v>83</v>
      </c>
      <c r="E22" s="6"/>
      <c r="F22" s="13">
        <v>0</v>
      </c>
      <c r="G22" s="6">
        <f>'C0915上悬'!$G$21</f>
        <v>7.07964601769912</v>
      </c>
      <c r="H22" s="6">
        <f t="shared" si="2"/>
        <v>0</v>
      </c>
      <c r="I22" s="7"/>
    </row>
    <row r="23" s="1" customFormat="1" customHeight="1" spans="1:9">
      <c r="A23" s="9">
        <v>5</v>
      </c>
      <c r="B23" s="9" t="s">
        <v>118</v>
      </c>
      <c r="C23" s="9"/>
      <c r="D23" s="9"/>
      <c r="E23" s="9"/>
      <c r="F23" s="9"/>
      <c r="G23" s="9"/>
      <c r="H23" s="10">
        <f>SUM(H24:H28)</f>
        <v>13.2976178449573</v>
      </c>
      <c r="I23" s="23" t="s">
        <v>112</v>
      </c>
    </row>
    <row r="24" s="1" customFormat="1" customHeight="1" spans="1:9">
      <c r="A24" s="4">
        <v>5.1</v>
      </c>
      <c r="B24" s="4" t="s">
        <v>82</v>
      </c>
      <c r="C24" s="4"/>
      <c r="D24" s="4" t="s">
        <v>83</v>
      </c>
      <c r="E24" s="6">
        <v>3.86337454598819</v>
      </c>
      <c r="F24" s="13">
        <v>0.03</v>
      </c>
      <c r="G24" s="6">
        <f>'C0915上悬'!$G$23</f>
        <v>1.08</v>
      </c>
      <c r="H24" s="6">
        <f t="shared" ref="H24:H34" si="3">E24*(1+F24)*G24</f>
        <v>4.29761784495726</v>
      </c>
      <c r="I24" s="4" t="s">
        <v>119</v>
      </c>
    </row>
    <row r="25" s="1" customFormat="1" customHeight="1" spans="1:9">
      <c r="A25" s="4">
        <v>5.2</v>
      </c>
      <c r="B25" s="4" t="s">
        <v>120</v>
      </c>
      <c r="C25" s="4"/>
      <c r="D25" s="4" t="s">
        <v>83</v>
      </c>
      <c r="E25" s="6"/>
      <c r="F25" s="13">
        <v>0.03</v>
      </c>
      <c r="G25" s="6">
        <f>'C0915上悬'!$G$24</f>
        <v>0.0973451327433628</v>
      </c>
      <c r="H25" s="6">
        <f t="shared" si="3"/>
        <v>0</v>
      </c>
      <c r="I25" s="4"/>
    </row>
    <row r="26" s="1" customFormat="1" customHeight="1" spans="1:9">
      <c r="A26" s="4">
        <v>5.3</v>
      </c>
      <c r="B26" s="4" t="s">
        <v>121</v>
      </c>
      <c r="C26" s="4"/>
      <c r="D26" s="4" t="s">
        <v>122</v>
      </c>
      <c r="E26" s="6"/>
      <c r="F26" s="13">
        <v>0</v>
      </c>
      <c r="G26" s="6">
        <f>'C0915上悬'!$G$25</f>
        <v>0</v>
      </c>
      <c r="H26" s="6">
        <f t="shared" si="3"/>
        <v>0</v>
      </c>
      <c r="I26" s="7" t="s">
        <v>112</v>
      </c>
    </row>
    <row r="27" s="1" customFormat="1" customHeight="1" spans="1:9">
      <c r="A27" s="4">
        <v>5.4</v>
      </c>
      <c r="B27" s="4" t="s">
        <v>123</v>
      </c>
      <c r="C27" s="4"/>
      <c r="D27" s="4" t="s">
        <v>122</v>
      </c>
      <c r="E27" s="6"/>
      <c r="F27" s="13">
        <v>0</v>
      </c>
      <c r="G27" s="6">
        <f>'C0915上悬'!$G$26</f>
        <v>0</v>
      </c>
      <c r="H27" s="6">
        <f t="shared" si="3"/>
        <v>0</v>
      </c>
      <c r="I27" s="4"/>
    </row>
    <row r="28" s="1" customFormat="1" customHeight="1" spans="1:9">
      <c r="A28" s="4">
        <v>5.5</v>
      </c>
      <c r="B28" s="4" t="s">
        <v>124</v>
      </c>
      <c r="C28" s="4"/>
      <c r="D28" s="4" t="s">
        <v>109</v>
      </c>
      <c r="E28" s="6">
        <v>1</v>
      </c>
      <c r="F28" s="13">
        <v>0</v>
      </c>
      <c r="G28" s="6">
        <f>'C0915上悬'!$G$27</f>
        <v>9</v>
      </c>
      <c r="H28" s="6">
        <f t="shared" si="3"/>
        <v>9</v>
      </c>
      <c r="I28" s="4"/>
    </row>
    <row r="29" s="1" customFormat="1" customHeight="1" spans="1:9">
      <c r="A29" s="18">
        <v>6</v>
      </c>
      <c r="B29" s="19" t="s">
        <v>125</v>
      </c>
      <c r="C29" s="19"/>
      <c r="D29" s="19" t="s">
        <v>109</v>
      </c>
      <c r="E29" s="20">
        <v>1</v>
      </c>
      <c r="F29" s="20">
        <v>0</v>
      </c>
      <c r="G29" s="20">
        <f>'C0915上悬'!$G$28</f>
        <v>32</v>
      </c>
      <c r="H29" s="10">
        <f t="shared" si="3"/>
        <v>32</v>
      </c>
      <c r="I29" s="23" t="s">
        <v>112</v>
      </c>
    </row>
    <row r="30" s="1" customFormat="1" customHeight="1" spans="1:9">
      <c r="A30" s="9">
        <v>7</v>
      </c>
      <c r="B30" s="19" t="s">
        <v>126</v>
      </c>
      <c r="C30" s="19"/>
      <c r="D30" s="19" t="s">
        <v>109</v>
      </c>
      <c r="E30" s="20">
        <v>1</v>
      </c>
      <c r="F30" s="20">
        <v>0</v>
      </c>
      <c r="G30" s="20">
        <f>'C0915上悬'!$G$29</f>
        <v>65</v>
      </c>
      <c r="H30" s="10">
        <f t="shared" si="3"/>
        <v>65</v>
      </c>
      <c r="I30" s="23" t="s">
        <v>112</v>
      </c>
    </row>
    <row r="31" s="1" customFormat="1" customHeight="1" spans="1:9">
      <c r="A31" s="9">
        <v>8</v>
      </c>
      <c r="B31" s="19" t="s">
        <v>127</v>
      </c>
      <c r="C31" s="19"/>
      <c r="D31" s="19" t="s">
        <v>109</v>
      </c>
      <c r="E31" s="20">
        <v>1</v>
      </c>
      <c r="F31" s="20">
        <v>0</v>
      </c>
      <c r="G31" s="20">
        <f>'C0915上悬'!$G$30</f>
        <v>6</v>
      </c>
      <c r="H31" s="10">
        <f t="shared" si="3"/>
        <v>6</v>
      </c>
      <c r="I31" s="23" t="s">
        <v>112</v>
      </c>
    </row>
    <row r="32" s="1" customFormat="1" customHeight="1" spans="1:9">
      <c r="A32" s="19">
        <v>9</v>
      </c>
      <c r="B32" s="19" t="s">
        <v>128</v>
      </c>
      <c r="C32" s="19"/>
      <c r="D32" s="19" t="s">
        <v>109</v>
      </c>
      <c r="E32" s="20">
        <v>1</v>
      </c>
      <c r="F32" s="20">
        <v>0</v>
      </c>
      <c r="G32" s="20">
        <f>'C0915上悬'!$G$31</f>
        <v>2</v>
      </c>
      <c r="H32" s="10">
        <f t="shared" si="3"/>
        <v>2</v>
      </c>
      <c r="I32" s="23" t="s">
        <v>112</v>
      </c>
    </row>
    <row r="33" s="1" customFormat="1" customHeight="1" spans="1:9">
      <c r="A33" s="19">
        <v>10</v>
      </c>
      <c r="B33" s="19" t="s">
        <v>129</v>
      </c>
      <c r="C33" s="19"/>
      <c r="D33" s="19" t="s">
        <v>109</v>
      </c>
      <c r="E33" s="20">
        <v>1</v>
      </c>
      <c r="F33" s="20">
        <v>0</v>
      </c>
      <c r="G33" s="20">
        <f>'C0915上悬'!$G$32</f>
        <v>8</v>
      </c>
      <c r="H33" s="10">
        <f t="shared" si="3"/>
        <v>8</v>
      </c>
      <c r="I33" s="23" t="s">
        <v>112</v>
      </c>
    </row>
    <row r="34" s="1" customFormat="1" customHeight="1" spans="1:9">
      <c r="A34" s="19">
        <v>11</v>
      </c>
      <c r="B34" s="19" t="s">
        <v>130</v>
      </c>
      <c r="C34" s="19"/>
      <c r="D34" s="19" t="s">
        <v>109</v>
      </c>
      <c r="E34" s="20">
        <v>1</v>
      </c>
      <c r="F34" s="20">
        <v>0</v>
      </c>
      <c r="G34" s="20">
        <f>'C0915上悬'!$G$33</f>
        <v>9</v>
      </c>
      <c r="H34" s="10">
        <f t="shared" si="3"/>
        <v>9</v>
      </c>
      <c r="I34" s="23" t="s">
        <v>112</v>
      </c>
    </row>
    <row r="35" s="1" customFormat="1" customHeight="1" spans="1:9">
      <c r="A35" s="19">
        <v>12</v>
      </c>
      <c r="B35" s="21" t="s">
        <v>131</v>
      </c>
      <c r="C35" s="22"/>
      <c r="D35" s="19" t="s">
        <v>132</v>
      </c>
      <c r="E35" s="21" t="s">
        <v>133</v>
      </c>
      <c r="F35" s="22"/>
      <c r="G35" s="23"/>
      <c r="H35" s="10">
        <f>SUM(H29:H34,H23,H17,H14,H12,H7)</f>
        <v>674.494255178609</v>
      </c>
      <c r="I35" s="26" t="s">
        <v>134</v>
      </c>
    </row>
    <row r="36" s="1" customFormat="1" customHeight="1" spans="1:9">
      <c r="A36" s="19">
        <v>13</v>
      </c>
      <c r="B36" s="21" t="s">
        <v>135</v>
      </c>
      <c r="C36" s="22"/>
      <c r="D36" s="19" t="s">
        <v>132</v>
      </c>
      <c r="E36" s="21" t="s">
        <v>136</v>
      </c>
      <c r="F36" s="22"/>
      <c r="G36" s="24">
        <v>0.085</v>
      </c>
      <c r="H36" s="10">
        <f>H35*G36</f>
        <v>57.3320116901817</v>
      </c>
      <c r="I36" s="27"/>
    </row>
    <row r="37" s="1" customFormat="1" customHeight="1" spans="1:9">
      <c r="A37" s="19">
        <v>14</v>
      </c>
      <c r="B37" s="21" t="s">
        <v>137</v>
      </c>
      <c r="C37" s="22"/>
      <c r="D37" s="19" t="s">
        <v>132</v>
      </c>
      <c r="E37" s="21" t="s">
        <v>138</v>
      </c>
      <c r="F37" s="22"/>
      <c r="G37" s="23"/>
      <c r="H37" s="10">
        <f>H35+H36</f>
        <v>731.82626686879</v>
      </c>
      <c r="I37" s="28">
        <f>H37</f>
        <v>731.82626686879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汇总表</vt:lpstr>
      <vt:lpstr>门窗工程清单</vt:lpstr>
      <vt:lpstr>栏杆工程</vt:lpstr>
      <vt:lpstr>工程量统计</vt:lpstr>
      <vt:lpstr>材料单价</vt:lpstr>
      <vt:lpstr>C0915上悬</vt:lpstr>
      <vt:lpstr>C0715上悬</vt:lpstr>
      <vt:lpstr>C0815上悬</vt:lpstr>
      <vt:lpstr>NC1515防火 </vt:lpstr>
      <vt:lpstr>NPC2023防火</vt:lpstr>
      <vt:lpstr>NC1815防火</vt:lpstr>
      <vt:lpstr>C2723平开</vt:lpstr>
      <vt:lpstr>C2923平开</vt:lpstr>
      <vt:lpstr>YTFC2平开</vt:lpstr>
      <vt:lpstr>C1815平开</vt:lpstr>
      <vt:lpstr>YTC3固定</vt:lpstr>
      <vt:lpstr>C1215平开</vt:lpstr>
      <vt:lpstr>C1524平开</vt:lpstr>
      <vt:lpstr>YTFC1平开</vt:lpstr>
      <vt:lpstr>ZJC3323平开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心生便是罪生时</cp:lastModifiedBy>
  <dcterms:created xsi:type="dcterms:W3CDTF">2023-05-12T11:15:00Z</dcterms:created>
  <dcterms:modified xsi:type="dcterms:W3CDTF">2025-03-05T11:01:02Z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46752EB0F607444A85FF1545584636BE_12</vt:lpwstr>
  </property>
</Properties>
</file>