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activeTab="1"/>
  </bookViews>
  <sheets>
    <sheet name="汇总表" sheetId="8" r:id="rId1"/>
    <sheet name="增建储藏室" sheetId="3" r:id="rId2"/>
    <sheet name="工程量" sheetId="9" r:id="rId3"/>
    <sheet name="计算底稿（基础层） (2)" sheetId="6"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3" hidden="1">'计算底稿（基础层） (2)'!$A$2:$O$96</definedName>
    <definedName name="_xlnm._FilterDatabase" localSheetId="1" hidden="1">增建储藏室!$3:$46</definedName>
    <definedName name="_xlnm.Print_Area" localSheetId="1">增建储藏室!$A$1:$M$46</definedName>
    <definedName name="B主筋锚长">[4]内围地梁钢筋说明!$C$17</definedName>
    <definedName name="POIUHB" hidden="1">[6]XLR_NoRangeSheet!$B$6</definedName>
    <definedName name="Q">"EVALUATE('汇总表（送招标中心稿）'!$J$4:$J$131)"</definedName>
    <definedName name="W">#REF!</definedName>
    <definedName name="W_mm">#REF!</definedName>
    <definedName name="XLRPARAMS_GCMC" hidden="1">[7]XLR_NoRangeSheet!$B$6</definedName>
    <definedName name="XLRPARAMS_GCMC_" hidden="1">[8]XLR_NoRangeSheet!$B$6</definedName>
    <definedName name="_000年.xls">#REF!</definedName>
    <definedName name="_001年.xls">#REF!</definedName>
    <definedName name="_002年.xls">#REF!</definedName>
    <definedName name="_1W200_">'[2]21'!$B$1:$B$802</definedName>
    <definedName name="_6.2____.44_1.27__2_1.65_7__2___2_3__2_4_7__.1__.05">#REF!</definedName>
    <definedName name="_Fill" hidden="1">#REF!</definedName>
    <definedName name="_Order1" hidden="1">255</definedName>
    <definedName name="_W200">'[1]21'!$B$1:$B$802</definedName>
    <definedName name="__W200">'[1]21'!$B$1:$B$802</definedName>
    <definedName name="___W200">'[1]21'!$B$1:$B$802</definedName>
    <definedName name="____W200">'[1]21'!$B$1:$B$802</definedName>
    <definedName name="_____W200">'[1]21'!$B$1:$B$802</definedName>
    <definedName name="______W200">'[1]21'!$B$1:$B$802</definedName>
    <definedName name="______ys3">#REF!</definedName>
    <definedName name="_____ys3">#REF!</definedName>
    <definedName name="____ys3">#REF!</definedName>
    <definedName name="___ys3">#REF!</definedName>
    <definedName name="__ys3">#REF!</definedName>
    <definedName name="_ys3">#REF!</definedName>
    <definedName name="a">'[3]21'!$B$1:$B$802</definedName>
    <definedName name="ad">'[2]21'!$A$1:$A$802</definedName>
    <definedName name="ae">'[2]21'!$B$1:$B$802</definedName>
    <definedName name="dj">#REF!</definedName>
    <definedName name="iii">#REF!</definedName>
    <definedName name="mj">[5]Sheet1!$E$137</definedName>
    <definedName name="o">#REF!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tt">#REF!</definedName>
    <definedName name="uuuuu">#REF!</definedName>
    <definedName name="人工费">VLOOKUP('[11]1'!XFD1048573,[13]清单!E11:XEZ1048576,8,FALSE)</definedName>
    <definedName name="代码">IF([12]工程量!$K1="","",COUNTA([12]工程量!$B1:$B7))</definedName>
    <definedName name="利润">0%</definedName>
    <definedName name="包装运输">8</definedName>
    <definedName name="单位含量">IF('[11]1'!D1=0,,VLOOKUP('[11]1'!XEY1,INDIRECT("'"&amp;'[11]1'!$G$4&amp;"'!$B$1:$J$32"),8,FALSE))</definedName>
    <definedName name="单方含量">[10]计算式!$DM$5:$DT$33</definedName>
    <definedName name="单方顺序">[10]计算式!$DM$3:$DT$3</definedName>
    <definedName name="发泡胶">13</definedName>
    <definedName name="合计">IF([12]工程量!$B1="","",ROUND(SUMIF([12]工程量!$O:$O,[12]工程量!$O2,[12]工程量!$K:$K),2))</definedName>
    <definedName name="吊筋角度">[4]内围地梁钢筋说明!$C$22</definedName>
    <definedName name="吊筋锚长">[4]内围地梁钢筋说明!$C$23</definedName>
    <definedName name="名称">IF('[11]1.'!M8&lt;=MAX('[11]1.'!$A$36:$A$68),VLOOKUP('[11]1.'!C8,'[11]1.'!$A$36:$J$68,2,FALSE),0)</definedName>
    <definedName name="呵呵">800</definedName>
    <definedName name="型材损耗">1.13</definedName>
    <definedName name="型材类型">[9]型材表!$K$1:$K$5</definedName>
    <definedName name="垫层突出单边宽">#REF!</definedName>
    <definedName name="安装缝隙">[9]型材表!$C$1</definedName>
    <definedName name="密封胶">5</definedName>
    <definedName name="带玻璃肋幕墙人工费">110</definedName>
    <definedName name="建筑面积">'[15]建筑面积 '!$I$5</definedName>
    <definedName name="总计含量">[10]计算式!$J$36:$DI$41</definedName>
    <definedName name="总计顺序">[10]计算式!$J$36:$DI$36</definedName>
    <definedName name="报价格式">[10]单价分析表!$A$4:$AH$32</definedName>
    <definedName name="损耗系数">IF('[11]1'!E1=0,,VLOOKUP('[11]1'!XEZ1,[11]材料表!$C$5:$K$145,9,FALSE))</definedName>
    <definedName name="排水沟深">[4]内围地梁钢筋说明!$C$21</definedName>
    <definedName name="数量">#REF!</definedName>
    <definedName name="机械费">VLOOKUP('[11]1'!XFD1048551,[13]清单!E1048554:XEZ1048565,10,FALSE)</definedName>
    <definedName name="材料量">SUMIF(INDIRECT([11]材料表!A$3&amp;"!$B$2:$B$40"),[11]材料表!$C1,INDIRECT([11]材料表!A$3&amp;"!$i$2:$i$40"))</definedName>
    <definedName name="横明竖隐幕墙">95</definedName>
    <definedName name="欧坲">VLOOKUP('[11]1'!XFD1048552,[13]清单!E1048555:XEZ1048566,9,FALSE)</definedName>
    <definedName name="汇总表1">'[14]材料损耗(不打印)'!$B$4</definedName>
    <definedName name="玻璃损耗">1.03</definedName>
    <definedName name="电气">#REF!</definedName>
    <definedName name="百叶窗制作">25</definedName>
    <definedName name="百叶窗安装">30</definedName>
    <definedName name="百叶窗辅助">5</definedName>
    <definedName name="石材">120</definedName>
    <definedName name="税金">0%</definedName>
    <definedName name="管理费">0%</definedName>
    <definedName name="胡">[4]内围地梁钢筋说明!$C$15</definedName>
    <definedName name="胶条">0.06</definedName>
    <definedName name="胶条损耗">1.03</definedName>
    <definedName name="腰筋锚长">[4]内围地梁钢筋说明!$C$20</definedName>
    <definedName name="规费">0%</definedName>
    <definedName name="辅材费">VLOOKUP('[11]1'!XFD1048552,[13]清单!E1048555:XEZ1048566,9,FALSE)</definedName>
    <definedName name="钢材损耗">1.06</definedName>
    <definedName name="钢筋保护层">[4]内围地梁钢筋说明!$C$15</definedName>
    <definedName name="铝板">75</definedName>
    <definedName name="门窗制作费">20</definedName>
    <definedName name="门窗安装费">38</definedName>
    <definedName name="隐框">100</definedName>
    <definedName name="项目单位">VLOOKUP('[11]1'!XFD1048576,[13]清单!B3:XEZ14,4,FALSE)</definedName>
    <definedName name="项目名称">VLOOKUP('[11]1'!D1048576,[13]清单!F3:XFD14,3,FALSE)</definedName>
    <definedName name="AA">EVALUATE(SUBSTITUTE(SUBSTITUTE(#REF!,"[","*ISTEXT(""["),"]","]"")"))</definedName>
    <definedName name="AQ">EVALUATE(SUBSTITUTE(SUBSTITUTE(#REF!,"[","*ISTEXT(""["),"]","]"")"))</definedName>
    <definedName name="AS">#REF!</definedName>
    <definedName name="AZ">EVALUATE(SUBSTITUTE(SUBSTITUTE(#REF!,"[","*ISTEXT(""["),"]","]"")"))</definedName>
    <definedName name="js">EVALUATE(#REF!)</definedName>
    <definedName name="jsb">EVALUATE(#REF!)</definedName>
    <definedName name="n">EVALUATE('[16]2、B户型115m2'!#REF!)</definedName>
    <definedName name="QA">EVALUATE(SUBSTITUTE(SUBSTITUTE(#REF!,"[","*ISTEXT(""["),"]","]"")"))</definedName>
    <definedName name="QW">EVALUATE(SUBSTITUTE(SUBSTITUTE(#REF!,"[","*ISTEXT(""["),"]","]"")"))</definedName>
    <definedName name="X">EVALUATE('[16]5、LOFT公寓'!#REF!)</definedName>
    <definedName name="ZX">EVALUATE(SUBSTITUTE(SUBSTITUTE(#REF!,"[","*ISTEXT(""["),"]","]"")"))</definedName>
    <definedName name="计算式">EVALUATE('[16]2、B户型115m2'!#REF!)</definedName>
    <definedName name="_2">#N/A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<sst xmlns="http://schemas.openxmlformats.org/spreadsheetml/2006/main" count="452" uniqueCount="191">
  <si>
    <t>悠然居项目地下室改造工程施工清单汇总表</t>
  </si>
  <si>
    <t>序号</t>
  </si>
  <si>
    <t>名称</t>
  </si>
  <si>
    <t>工程造价（元）</t>
  </si>
  <si>
    <t>汇总</t>
  </si>
  <si>
    <t>备注：</t>
  </si>
  <si>
    <t xml:space="preserve">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一切与之相关的所需全部费用。
</t>
  </si>
  <si>
    <t>悠然居项目地下室改造工程施工清单及计价表</t>
  </si>
  <si>
    <t>项目名称</t>
  </si>
  <si>
    <t>项目特征描述</t>
  </si>
  <si>
    <t>单位</t>
  </si>
  <si>
    <t>工程量
（暂估）</t>
  </si>
  <si>
    <t>其中：各子项构成（元）</t>
  </si>
  <si>
    <t>含税综合单价(元)</t>
  </si>
  <si>
    <t>合价(元)</t>
  </si>
  <si>
    <t>备注</t>
  </si>
  <si>
    <t>人工费</t>
  </si>
  <si>
    <t>主材费</t>
  </si>
  <si>
    <t>机械、辅材及其他</t>
  </si>
  <si>
    <t>管理费、利润、措施、规费等</t>
  </si>
  <si>
    <t>税金</t>
  </si>
  <si>
    <t>一</t>
  </si>
  <si>
    <t>砌筑</t>
  </si>
  <si>
    <t>钢筋制作安装</t>
  </si>
  <si>
    <t>1、钢筋HRB400E Φ12 
2、钢筋制作、运输、绑扎、安装等</t>
  </si>
  <si>
    <t>t</t>
  </si>
  <si>
    <t>1、箍筋HRB400E Φ6 
2、钢筋制作、运输、绑扎、安装等</t>
  </si>
  <si>
    <t>砌体内加筋</t>
  </si>
  <si>
    <t>1、砌体内通长筋HRB400EΦ6 
2、沿墙高@500mm布置2Φ6
3、钢筋制作、运输、绑扎、安装等</t>
  </si>
  <si>
    <t>植筋12</t>
  </si>
  <si>
    <t>1、植筋钢筋直径12
2、材料运输、孔点测定、钻孔、矫正、清灰、钢筋打磨、灌胶、养护等</t>
  </si>
  <si>
    <t>个</t>
  </si>
  <si>
    <t>植筋6</t>
  </si>
  <si>
    <t>1、植筋钢筋直径6
2、材料运输、孔点测定、钻孔、矫正、清灰、钢筋打磨、灌胶、养护等</t>
  </si>
  <si>
    <t>构造柱混凝土</t>
  </si>
  <si>
    <t>1、构造柱混凝土 C25
2、浇筑、振捣、养护等</t>
  </si>
  <si>
    <t>m3</t>
  </si>
  <si>
    <t>圈梁混凝土</t>
  </si>
  <si>
    <t>1、圈梁混凝土 C25
2、浇筑、振捣、养护等</t>
  </si>
  <si>
    <t>过梁混凝土</t>
  </si>
  <si>
    <t>1、过梁混凝土 C25
2、浇筑、振捣、养护等</t>
  </si>
  <si>
    <t>反坎混凝土</t>
  </si>
  <si>
    <t>1、反坎混凝土 C25
2、浇筑、振捣、养护等</t>
  </si>
  <si>
    <t>构造柱模板</t>
  </si>
  <si>
    <t>1、部位：构造柱
2、模板及支撑制作、安装、拆除、堆放、运输及清理模内杂物、刷隔离剂等</t>
  </si>
  <si>
    <t>m2</t>
  </si>
  <si>
    <t>圈梁模板</t>
  </si>
  <si>
    <t>1、部位：圈梁
2、模板及支撑制作、安装、拆除、堆放、运输及清理模内杂物、刷隔离剂等</t>
  </si>
  <si>
    <t>过梁模板</t>
  </si>
  <si>
    <t>1、部位：过梁
2、模板及支撑制作、安装、拆除、堆放、运输及清理模内杂物、刷隔离剂等</t>
  </si>
  <si>
    <t>反坎模板</t>
  </si>
  <si>
    <t>1、部位：反坎
2、模板及支撑制作、安装、拆除、堆放、运输及清理模内杂物、刷隔离剂等</t>
  </si>
  <si>
    <t>加气砼砌块</t>
  </si>
  <si>
    <t>1、墙厚：200mm
2、材质：加气砼砌块，
3、调、运、铺砂浆或运、搅拌、铺粘结剂, 运、部分切割、安装砌块，脚手架搭拆等</t>
  </si>
  <si>
    <t>灰砂砖砌筑</t>
  </si>
  <si>
    <t>1、灰砂砖标砖砌筑
2、部位：加气块墙体顶部斜砌压顶
3、调、运、铺砂浆, 运、砌砖，脚手架搭拆等</t>
  </si>
  <si>
    <t>储藏室内墙面抹灰</t>
  </si>
  <si>
    <t>1、刷专用界面剂一遍
2、9厚DPM15预拌砂浆
3、6厚DPM20预拌砂浆
4、工作内容：清理基层、修补堵眼、湿润基层、运输、清扫落地灰，分层抹灰找平、面层压光(包括门窗洞口侧壁抹灰)</t>
  </si>
  <si>
    <t>储藏室外墙面抹灰</t>
  </si>
  <si>
    <t>耐水腻子</t>
  </si>
  <si>
    <t>1、材料：耐水腻子
2、清扫、打磨、满刮腻子二遍，装饰脚手架搭拆等</t>
  </si>
  <si>
    <t>砖砌体拆除</t>
  </si>
  <si>
    <t>墙体拆除, 控制扬尘, 废渣废料清理外运等</t>
  </si>
  <si>
    <t>门拆除</t>
  </si>
  <si>
    <t>防火门FM乙1221</t>
  </si>
  <si>
    <t>樘</t>
  </si>
  <si>
    <t>铺设钢丝网片</t>
  </si>
  <si>
    <t>1、部位：墙体开槽处
2、基层清理、铺设钢丝网片</t>
  </si>
  <si>
    <t>原墙体开槽处封堵、腻子修补</t>
  </si>
  <si>
    <t>1、部位：原墙体开槽处
2、封堵、抹灰、墙面污染处理、腻子修补</t>
  </si>
  <si>
    <t>二次倒运等</t>
  </si>
  <si>
    <t>材料二次倒运、垃圾清理、超高降效费</t>
  </si>
  <si>
    <t>项</t>
  </si>
  <si>
    <t>二</t>
  </si>
  <si>
    <t>电气安装</t>
  </si>
  <si>
    <t>（一）</t>
  </si>
  <si>
    <t>电气照明系统</t>
  </si>
  <si>
    <t>普通灯具</t>
  </si>
  <si>
    <t>1.名称：户内预留灯口、座灯头（含LED）
2.未尽事宜详见设计及招标文件
3工程内容：成套购置、运输、安装、金属软管、穿线、试亮等供应及安装
4.满足图纸设计及相关规范、施工技术要求</t>
  </si>
  <si>
    <t>套</t>
  </si>
  <si>
    <t>开关</t>
  </si>
  <si>
    <t>1.名称：单联单控开关
2.测位、划线、打眼、缠埋螺栓，清扫盒子、上木台、缠钢丝弹簧垫、装开关、按钮、接线、装盖
3.未尽事宜详见设计及招标文件
4.满足图纸设计及相关规范、施工技术要求</t>
  </si>
  <si>
    <t>1.名称：双联单控开关
2.测位、划线、打眼、缠埋螺栓，清扫盒子、上木台、缠钢丝弹簧垫、装开关、按钮、接线、装盖
3.未尽事宜详见设计及招标文件
4.满足图纸设计及相关规范、施工技术要求</t>
  </si>
  <si>
    <t>（二）</t>
  </si>
  <si>
    <t>电气动力系统</t>
  </si>
  <si>
    <t>配电箱嵌入式（半周长1.0m）</t>
  </si>
  <si>
    <t>1.名称：户内配电箱（半周长1.0m）
2.安装方式：嵌入式
3.工作内容：1.开箱、检查、安装、查校线、接线、接地 2. 包含接线端子制作安装，支架等制作安装； 3.箱体开孔，防火堵洞、接地跨接，调试、清洁、箱体保护等； 4.包含明装挂墙配电箱后预埋接线箱制作安装 
4.满足图纸设计/技术标要求及相关规范、施工技术要求</t>
  </si>
  <si>
    <t>台</t>
  </si>
  <si>
    <t>配电箱甲供</t>
  </si>
  <si>
    <t>配电箱悬挂式（半周长1.0m）</t>
  </si>
  <si>
    <t>1.名称：排污泵PWB1配电箱（半周长1.0m）
2.安装方式：悬挂式
3.工作内容：1.开箱、检查、安装、查校线、接线、接地 2. 包含接线端子制作安装，支架等制作安装； 3.箱体开孔，防火堵洞、接地跨接，调试、清洁、箱体保护等； 4.包含明装挂墙配电箱后预埋接线箱制作安装 
4.满足图纸设计/技术标要求及相关规范、施工技术要求</t>
  </si>
  <si>
    <t>电气配线</t>
  </si>
  <si>
    <t>1.名称：电气配线
2.规格：BV-2.5
3.工作内容：穿引线、扫管、涂滑石粉、放线、穿线、编号、焊接包头等
4.满足图纸设计/技术标要求及相关规范、施工技术要求</t>
  </si>
  <si>
    <t>m</t>
  </si>
  <si>
    <t>1.名称：电气配线
2.规格：BV-6
3.工作内容：穿引线、扫管、涂滑石粉、放线、穿线、编号、焊接包头等
4.满足图纸设计/技术标要求及相关规范、施工技术要求</t>
  </si>
  <si>
    <t>电气配管</t>
  </si>
  <si>
    <t>1.名称：电气配管
2.材质规格：PC32 
3工程内容：测位、划线、锯管、套丝、煨弯、配管、固定、接地线、刷漆、接短管、剔槽、支架制安等
4.满足图纸设计/技术标要求及相关规范、施工技术要求</t>
  </si>
  <si>
    <t>1.名称：电气配管
2.材质规格： PC20 
3工程内容：测位、划线、锯管、套丝、煨弯、配管、固定、接地线、刷漆、接短管、剔槽、支架制安等
4.满足图纸设计/技术标要求及相关规范、施工技术要求</t>
  </si>
  <si>
    <t>预埋底盒</t>
  </si>
  <si>
    <t>1.名称：塑料接线盒
2.工作内容：位置校正、收口工作等
3.完成与之相关全部工作内容</t>
  </si>
  <si>
    <t>墙体及地面开槽、修复</t>
  </si>
  <si>
    <t xml:space="preserve">1.名称：墙体及地面开槽、修复
2.规格：DN32及以下                                        3.测位、划线、刨沟、清理、填补、修复
4.其他要求：满足设计、施工、规范、验收要求                                  </t>
  </si>
  <si>
    <t>米</t>
  </si>
  <si>
    <t>电线管穿墙体及地面开孔洞</t>
  </si>
  <si>
    <t xml:space="preserve">1.名称：墙体及地面开孔、修复
2.规格：DN32及以下                                        3.测位、划线、开孔、清理、填补、修复
4.其他要求：满足设计、施工、规范、验收要求                                  </t>
  </si>
  <si>
    <t>接线盒开孔</t>
  </si>
  <si>
    <t xml:space="preserve">1.名称：墙体及地面接线盒开孔、修复
2.规格：80*80*70                                        3.测位、划线、开孔、清理、填补、修复
4.其他要求：满足设计、施工、规范、验收要求                                  </t>
  </si>
  <si>
    <t>配电箱开孔洞</t>
  </si>
  <si>
    <t xml:space="preserve">1.名称：配电箱墙体开孔洞
2.规格：400*400*130                                        3.测位、划线、开孔、清理、填补、修复
4.其他要求：满足设计、施工、规范、验收要求                                  </t>
  </si>
  <si>
    <t>合计</t>
  </si>
  <si>
    <t>地下车库加建工程量</t>
  </si>
  <si>
    <t>规格</t>
  </si>
  <si>
    <t>数量</t>
  </si>
  <si>
    <t>3#楼</t>
  </si>
  <si>
    <t>5#</t>
  </si>
  <si>
    <t>11#</t>
  </si>
  <si>
    <t>13#</t>
  </si>
  <si>
    <t>6#</t>
  </si>
  <si>
    <t>7#</t>
  </si>
  <si>
    <t>8#</t>
  </si>
  <si>
    <t>9#</t>
  </si>
  <si>
    <t>10#</t>
  </si>
  <si>
    <t>12#</t>
  </si>
  <si>
    <t>植筋700</t>
  </si>
  <si>
    <t>Φ12</t>
  </si>
  <si>
    <t>3#</t>
  </si>
  <si>
    <t>植筋500</t>
  </si>
  <si>
    <t>砌筑高度3.6以上</t>
  </si>
  <si>
    <t>钢筋</t>
  </si>
  <si>
    <t>Kg</t>
  </si>
  <si>
    <t>箍筋</t>
  </si>
  <si>
    <t>Φ6</t>
  </si>
  <si>
    <t>圈梁砼</t>
  </si>
  <si>
    <t>C25</t>
  </si>
  <si>
    <t>构造柱砼</t>
  </si>
  <si>
    <t>过梁</t>
  </si>
  <si>
    <t>过梁预</t>
  </si>
  <si>
    <t>模板</t>
  </si>
  <si>
    <t>构造柱</t>
  </si>
  <si>
    <t>圈梁</t>
  </si>
  <si>
    <t>预过梁</t>
  </si>
  <si>
    <t>砌体</t>
  </si>
  <si>
    <t>砌筑脚手架</t>
  </si>
  <si>
    <t>斜砌标砖</t>
  </si>
  <si>
    <t>反坎300</t>
  </si>
  <si>
    <t>通长筋</t>
  </si>
  <si>
    <t>抹灰外侧</t>
  </si>
  <si>
    <t>抹灰内侧</t>
  </si>
  <si>
    <t>耐水腻子两遍</t>
  </si>
  <si>
    <t>装饰脚手架</t>
  </si>
  <si>
    <t>砌体拆除</t>
  </si>
  <si>
    <t>防火门拆除</t>
  </si>
  <si>
    <t>FM乙1221</t>
  </si>
  <si>
    <t>一级围墙</t>
  </si>
  <si>
    <t>位置</t>
  </si>
  <si>
    <t>计算式</t>
  </si>
  <si>
    <t>个数</t>
  </si>
  <si>
    <t>宽度</t>
  </si>
  <si>
    <t>长度</t>
  </si>
  <si>
    <t>厚度</t>
  </si>
  <si>
    <t>工程量</t>
  </si>
  <si>
    <t>标准段</t>
  </si>
  <si>
    <t>独立基础</t>
  </si>
  <si>
    <t>土方开挖</t>
  </si>
  <si>
    <r>
      <rPr>
        <sz val="11"/>
        <rFont val="仿宋"/>
        <charset val="1"/>
      </rPr>
      <t>m</t>
    </r>
    <r>
      <rPr>
        <sz val="11"/>
        <rFont val="宋体"/>
        <charset val="1"/>
      </rPr>
      <t>³</t>
    </r>
  </si>
  <si>
    <t>外括150</t>
  </si>
  <si>
    <t>土方回填</t>
  </si>
  <si>
    <t>素土夯实</t>
  </si>
  <si>
    <t>㎡</t>
  </si>
  <si>
    <t>垫层</t>
  </si>
  <si>
    <t>砼体积</t>
  </si>
  <si>
    <t>基础模板</t>
  </si>
  <si>
    <t>kg</t>
  </si>
  <si>
    <t>柱子</t>
  </si>
  <si>
    <t>柱体积</t>
  </si>
  <si>
    <t>柱模板</t>
  </si>
  <si>
    <t>围墙段</t>
  </si>
  <si>
    <t>砖砌体</t>
  </si>
  <si>
    <t>砼圈梁</t>
  </si>
  <si>
    <t>面层+抹灰</t>
  </si>
  <si>
    <t>格栅段</t>
  </si>
  <si>
    <t>格栅</t>
  </si>
  <si>
    <t>柱中间</t>
  </si>
  <si>
    <t>全段</t>
  </si>
  <si>
    <t>西南转角围墙</t>
  </si>
  <si>
    <t>抹灰</t>
  </si>
  <si>
    <t>2mm热镀锌钢板</t>
  </si>
  <si>
    <t>投影</t>
  </si>
  <si>
    <t>消防大门</t>
  </si>
  <si>
    <t>门</t>
  </si>
  <si>
    <t>热镀锌钢板</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</si>
</sst>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 "/>
    <numFmt numFmtId="179" formatCode="0_);[Red]\(0\)"/>
    <numFmt numFmtId="180" formatCode="0.000_ "/>
    <numFmt numFmtId="181" formatCode="0_ "/>
    <numFmt numFmtId="182" formatCode="0.0_);[Red]\(0.0\)"/>
    <numFmt numFmtId="183" formatCode="0.0_ "/>
  </numFmts>
  <fonts count="54">
    <font>
      <sz val="10"/>
      <name val="Arial"/>
      <charset val="1"/>
    </font>
    <font>
      <sz val="11"/>
      <name val="仿宋"/>
      <charset val="1"/>
    </font>
    <font>
      <sz val="14"/>
      <color theme="1"/>
      <name val="宋体"/>
      <charset val="134"/>
      <scheme val="minor"/>
    </font>
    <font>
      <sz val="11"/>
      <color theme="1"/>
      <name val="宋体"/>
      <charset val="134"/>
      <scheme val="minor"/>
    </font>
    <font>
      <sz val="20"/>
      <color theme="1"/>
      <name val="宋体"/>
      <charset val="134"/>
      <scheme val="minor"/>
    </font>
    <font>
      <b/>
      <sz val="14"/>
      <color theme="1"/>
      <name val="宋体"/>
      <charset val="134"/>
      <scheme val="minor"/>
    </font>
    <font>
      <sz val="11"/>
      <color theme="1"/>
      <name val="仿宋"/>
      <charset val="134"/>
    </font>
    <font>
      <b/>
      <sz val="11"/>
      <color theme="1"/>
      <name val="宋体"/>
      <charset val="134"/>
      <scheme val="minor"/>
    </font>
    <font>
      <sz val="12"/>
      <name val="Arial"/>
      <charset val="134"/>
    </font>
    <font>
      <b/>
      <sz val="12"/>
      <name val="Arial"/>
      <charset val="134"/>
    </font>
    <font>
      <sz val="8"/>
      <name val="Arial"/>
      <charset val="134"/>
    </font>
    <font>
      <b/>
      <sz val="8"/>
      <name val="Arial"/>
      <charset val="134"/>
    </font>
    <font>
      <b/>
      <sz val="9"/>
      <name val="Arial"/>
      <charset val="134"/>
    </font>
    <font>
      <sz val="9"/>
      <name val="Arial"/>
      <charset val="134"/>
    </font>
    <font>
      <sz val="8"/>
      <name val="宋体"/>
      <charset val="134"/>
    </font>
    <font>
      <sz val="12"/>
      <name val="宋体"/>
      <charset val="134"/>
    </font>
    <font>
      <b/>
      <sz val="16"/>
      <name val="宋体"/>
      <charset val="134"/>
    </font>
    <font>
      <b/>
      <sz val="8"/>
      <name val="宋体"/>
      <charset val="134"/>
    </font>
    <font>
      <b/>
      <sz val="12"/>
      <name val="宋体"/>
      <charset val="134"/>
    </font>
    <font>
      <b/>
      <sz val="11"/>
      <color rgb="FF000000"/>
      <name val="宋体"/>
      <charset val="134"/>
    </font>
    <font>
      <sz val="11"/>
      <name val="宋体"/>
      <charset val="134"/>
    </font>
    <font>
      <b/>
      <sz val="11"/>
      <name val="宋体"/>
      <charset val="134"/>
    </font>
    <font>
      <sz val="11"/>
      <color rgb="FF000000"/>
      <name val="宋体"/>
      <charset val="134"/>
    </font>
    <font>
      <b/>
      <sz val="9"/>
      <name val="宋体"/>
      <charset val="134"/>
    </font>
    <font>
      <sz val="11"/>
      <color theme="1"/>
      <name val="宋体"/>
      <charset val="134"/>
    </font>
    <font>
      <b/>
      <sz val="11"/>
      <color theme="1"/>
      <name val="宋体"/>
      <charset val="134"/>
    </font>
    <font>
      <sz val="12"/>
      <color theme="1"/>
      <name val="宋体"/>
      <charset val="134"/>
      <scheme val="minor"/>
    </font>
    <font>
      <b/>
      <sz val="12"/>
      <color theme="1"/>
      <name val="宋体"/>
      <charset val="134"/>
      <scheme val="minor"/>
    </font>
    <font>
      <b/>
      <sz val="12"/>
      <name val="宋体"/>
      <charset val="134"/>
      <scheme val="minor"/>
    </font>
    <font>
      <b/>
      <sz val="18"/>
      <name val="宋体"/>
      <charset val="134"/>
      <scheme val="minor"/>
    </font>
    <font>
      <sz val="10"/>
      <color theme="1"/>
      <name val="宋体"/>
      <charset val="134"/>
      <scheme val="minor"/>
    </font>
    <font>
      <b/>
      <sz val="10"/>
      <color theme="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1"/>
      <name val="宋体"/>
      <charset val="1"/>
    </font>
  </fonts>
  <fills count="4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rgb="FF92D050"/>
        <bgColor indexed="64"/>
      </patternFill>
    </fill>
    <fill>
      <patternFill patternType="solid">
        <fgColor theme="5" tint="0.4"/>
        <bgColor indexed="64"/>
      </patternFill>
    </fill>
    <fill>
      <patternFill patternType="solid">
        <fgColor theme="6" tint="0.4"/>
        <bgColor indexed="64"/>
      </patternFill>
    </fill>
    <fill>
      <patternFill patternType="solid">
        <fgColor rgb="FF00B0F0"/>
        <bgColor indexed="64"/>
      </patternFill>
    </fill>
    <fill>
      <patternFill patternType="solid">
        <fgColor theme="7" tint="0.8"/>
        <bgColor indexed="64"/>
      </patternFill>
    </fill>
    <fill>
      <patternFill patternType="solid">
        <fgColor rgb="FF0070C0"/>
        <bgColor indexed="64"/>
      </patternFill>
    </fill>
    <fill>
      <patternFill patternType="solid">
        <fgColor theme="7" tint="0.4"/>
        <bgColor indexed="64"/>
      </patternFill>
    </fill>
    <fill>
      <patternFill patternType="solid">
        <fgColor theme="9" tint="0.4"/>
        <bgColor indexed="64"/>
      </patternFill>
    </fill>
    <fill>
      <patternFill patternType="solid">
        <fgColor theme="6" tint="-0.2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 fillId="15" borderId="10"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1" applyNumberFormat="0" applyFill="0" applyAlignment="0" applyProtection="0">
      <alignment vertical="center"/>
    </xf>
    <xf numFmtId="0" fontId="39" fillId="0" borderId="11" applyNumberFormat="0" applyFill="0" applyAlignment="0" applyProtection="0">
      <alignment vertical="center"/>
    </xf>
    <xf numFmtId="0" fontId="40" fillId="0" borderId="12" applyNumberFormat="0" applyFill="0" applyAlignment="0" applyProtection="0">
      <alignment vertical="center"/>
    </xf>
    <xf numFmtId="0" fontId="40" fillId="0" borderId="0" applyNumberFormat="0" applyFill="0" applyBorder="0" applyAlignment="0" applyProtection="0">
      <alignment vertical="center"/>
    </xf>
    <xf numFmtId="0" fontId="41" fillId="16" borderId="13" applyNumberFormat="0" applyAlignment="0" applyProtection="0">
      <alignment vertical="center"/>
    </xf>
    <xf numFmtId="0" fontId="42" fillId="17" borderId="14" applyNumberFormat="0" applyAlignment="0" applyProtection="0">
      <alignment vertical="center"/>
    </xf>
    <xf numFmtId="0" fontId="43" fillId="17" borderId="13" applyNumberFormat="0" applyAlignment="0" applyProtection="0">
      <alignment vertical="center"/>
    </xf>
    <xf numFmtId="0" fontId="44" fillId="18" borderId="15" applyNumberFormat="0" applyAlignment="0" applyProtection="0">
      <alignment vertical="center"/>
    </xf>
    <xf numFmtId="0" fontId="45" fillId="0" borderId="16" applyNumberFormat="0" applyFill="0" applyAlignment="0" applyProtection="0">
      <alignment vertical="center"/>
    </xf>
    <xf numFmtId="0" fontId="46" fillId="0" borderId="17" applyNumberFormat="0" applyFill="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51" fillId="35" borderId="0" applyNumberFormat="0" applyBorder="0" applyAlignment="0" applyProtection="0">
      <alignment vertical="center"/>
    </xf>
    <xf numFmtId="0" fontId="51" fillId="36" borderId="0" applyNumberFormat="0" applyBorder="0" applyAlignment="0" applyProtection="0">
      <alignment vertical="center"/>
    </xf>
    <xf numFmtId="0" fontId="50" fillId="37" borderId="0" applyNumberFormat="0" applyBorder="0" applyAlignment="0" applyProtection="0">
      <alignment vertical="center"/>
    </xf>
    <xf numFmtId="0" fontId="50" fillId="38" borderId="0" applyNumberFormat="0" applyBorder="0" applyAlignment="0" applyProtection="0">
      <alignment vertical="center"/>
    </xf>
    <xf numFmtId="0" fontId="51" fillId="39" borderId="0" applyNumberFormat="0" applyBorder="0" applyAlignment="0" applyProtection="0">
      <alignment vertical="center"/>
    </xf>
    <xf numFmtId="0" fontId="51" fillId="40" borderId="0" applyNumberFormat="0" applyBorder="0" applyAlignment="0" applyProtection="0">
      <alignment vertical="center"/>
    </xf>
    <xf numFmtId="0" fontId="50" fillId="41" borderId="0" applyNumberFormat="0" applyBorder="0" applyAlignment="0" applyProtection="0">
      <alignment vertical="center"/>
    </xf>
    <xf numFmtId="0" fontId="50" fillId="42" borderId="0" applyNumberFormat="0" applyBorder="0" applyAlignment="0" applyProtection="0">
      <alignment vertical="center"/>
    </xf>
    <xf numFmtId="0" fontId="51" fillId="43" borderId="0" applyNumberFormat="0" applyBorder="0" applyAlignment="0" applyProtection="0">
      <alignment vertical="center"/>
    </xf>
    <xf numFmtId="0" fontId="51" fillId="44" borderId="0" applyNumberFormat="0" applyBorder="0" applyAlignment="0" applyProtection="0">
      <alignment vertical="center"/>
    </xf>
    <xf numFmtId="0" fontId="50" fillId="45" borderId="0" applyNumberFormat="0" applyBorder="0" applyAlignment="0" applyProtection="0">
      <alignment vertical="center"/>
    </xf>
    <xf numFmtId="0" fontId="52" fillId="0" borderId="0"/>
  </cellStyleXfs>
  <cellXfs count="124">
    <xf numFmtId="0" fontId="0" fillId="0" borderId="0" xfId="0"/>
    <xf numFmtId="0" fontId="1" fillId="0" borderId="0" xfId="0" applyFont="1" applyAlignment="1">
      <alignment horizontal="center" vertical="center"/>
    </xf>
    <xf numFmtId="43" fontId="1" fillId="0" borderId="0" xfId="0" applyNumberFormat="1"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wrapText="1"/>
    </xf>
    <xf numFmtId="43" fontId="1" fillId="0" borderId="2" xfId="0" applyNumberFormat="1" applyFont="1" applyBorder="1" applyAlignment="1">
      <alignment horizontal="center" vertical="center"/>
    </xf>
    <xf numFmtId="43" fontId="1" fillId="2" borderId="0" xfId="0" applyNumberFormat="1" applyFont="1" applyFill="1" applyAlignment="1">
      <alignment horizontal="center" vertical="center"/>
    </xf>
    <xf numFmtId="43" fontId="1" fillId="3" borderId="0" xfId="0" applyNumberFormat="1" applyFont="1" applyFill="1" applyAlignment="1">
      <alignment horizontal="center" vertical="center"/>
    </xf>
    <xf numFmtId="43" fontId="1" fillId="4" borderId="0" xfId="0" applyNumberFormat="1" applyFont="1" applyFill="1" applyAlignment="1">
      <alignment horizontal="center" vertical="center"/>
    </xf>
    <xf numFmtId="43" fontId="1" fillId="5" borderId="0" xfId="0" applyNumberFormat="1" applyFont="1" applyFill="1" applyAlignment="1">
      <alignment horizontal="center" vertical="center"/>
    </xf>
    <xf numFmtId="43" fontId="1" fillId="6" borderId="0" xfId="0" applyNumberFormat="1" applyFont="1" applyFill="1" applyAlignment="1">
      <alignment horizontal="center" vertical="center"/>
    </xf>
    <xf numFmtId="43" fontId="1" fillId="7" borderId="0" xfId="0" applyNumberFormat="1" applyFont="1" applyFill="1" applyAlignment="1">
      <alignment horizontal="center" vertical="center"/>
    </xf>
    <xf numFmtId="43" fontId="1" fillId="8" borderId="0" xfId="0" applyNumberFormat="1" applyFont="1" applyFill="1" applyAlignment="1">
      <alignment horizontal="center" vertical="center"/>
    </xf>
    <xf numFmtId="43" fontId="1" fillId="9" borderId="0" xfId="0" applyNumberFormat="1" applyFont="1" applyFill="1" applyAlignment="1">
      <alignment horizontal="center" vertical="center"/>
    </xf>
    <xf numFmtId="43" fontId="1" fillId="10" borderId="0" xfId="0" applyNumberFormat="1" applyFont="1" applyFill="1" applyAlignment="1">
      <alignment horizontal="center" vertical="center"/>
    </xf>
    <xf numFmtId="43" fontId="1" fillId="11" borderId="0" xfId="0" applyNumberFormat="1" applyFont="1" applyFill="1" applyAlignment="1">
      <alignment horizontal="center" vertical="center"/>
    </xf>
    <xf numFmtId="0" fontId="1" fillId="6" borderId="0" xfId="0" applyFont="1" applyFill="1" applyAlignment="1">
      <alignment horizontal="center" vertical="center"/>
    </xf>
    <xf numFmtId="43" fontId="1" fillId="12" borderId="0" xfId="0" applyNumberFormat="1" applyFont="1" applyFill="1" applyAlignment="1">
      <alignment horizontal="center" vertical="center"/>
    </xf>
    <xf numFmtId="43" fontId="1" fillId="13" borderId="0" xfId="0" applyNumberFormat="1" applyFont="1" applyFill="1" applyAlignment="1">
      <alignment horizontal="center" vertical="center"/>
    </xf>
    <xf numFmtId="0" fontId="2" fillId="0" borderId="0" xfId="0" applyFont="1" applyFill="1" applyAlignment="1">
      <alignment horizontal="center" vertical="center"/>
    </xf>
    <xf numFmtId="176" fontId="3" fillId="0" borderId="0" xfId="0" applyNumberFormat="1"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vertical="center"/>
    </xf>
    <xf numFmtId="0" fontId="6" fillId="0" borderId="2" xfId="0" applyFont="1" applyFill="1" applyBorder="1" applyAlignment="1">
      <alignment vertical="center"/>
    </xf>
    <xf numFmtId="0" fontId="6" fillId="0" borderId="2" xfId="0" applyFont="1" applyFill="1" applyBorder="1" applyAlignment="1">
      <alignment horizontal="center" vertical="center"/>
    </xf>
    <xf numFmtId="0" fontId="3" fillId="2" borderId="2" xfId="0" applyFont="1" applyFill="1" applyBorder="1" applyAlignment="1">
      <alignment vertical="center"/>
    </xf>
    <xf numFmtId="176" fontId="3" fillId="0" borderId="2" xfId="0" applyNumberFormat="1" applyFont="1" applyFill="1" applyBorder="1" applyAlignment="1">
      <alignment vertical="center"/>
    </xf>
    <xf numFmtId="176" fontId="6" fillId="0" borderId="2" xfId="0" applyNumberFormat="1" applyFont="1" applyFill="1" applyBorder="1" applyAlignment="1">
      <alignment vertical="center"/>
    </xf>
    <xf numFmtId="176" fontId="6" fillId="0" borderId="2" xfId="0" applyNumberFormat="1" applyFont="1" applyFill="1" applyBorder="1" applyAlignment="1">
      <alignment horizontal="center" vertical="center"/>
    </xf>
    <xf numFmtId="176" fontId="3" fillId="2" borderId="2" xfId="0" applyNumberFormat="1" applyFont="1" applyFill="1" applyBorder="1" applyAlignment="1">
      <alignment vertical="center"/>
    </xf>
    <xf numFmtId="0" fontId="7" fillId="2" borderId="2" xfId="0" applyFont="1" applyFill="1" applyBorder="1" applyAlignment="1">
      <alignment vertical="center"/>
    </xf>
    <xf numFmtId="0" fontId="8" fillId="0" borderId="0" xfId="0" applyFont="1" applyFill="1" applyAlignment="1" applyProtection="1">
      <alignment vertical="center"/>
      <protection locked="0"/>
    </xf>
    <xf numFmtId="0" fontId="9" fillId="0" borderId="0" xfId="0" applyFont="1" applyFill="1" applyAlignment="1" applyProtection="1">
      <alignment vertical="center"/>
      <protection locked="0"/>
    </xf>
    <xf numFmtId="0" fontId="10" fillId="0" borderId="0" xfId="0" applyFont="1" applyFill="1" applyProtection="1">
      <protection locked="0"/>
    </xf>
    <xf numFmtId="0" fontId="11" fillId="0" borderId="0" xfId="0" applyFont="1" applyFill="1" applyProtection="1">
      <protection locked="0"/>
    </xf>
    <xf numFmtId="0" fontId="12" fillId="0" borderId="0" xfId="0" applyFont="1" applyFill="1" applyAlignment="1" applyProtection="1">
      <alignment horizontal="center" vertical="center"/>
      <protection locked="0"/>
    </xf>
    <xf numFmtId="0" fontId="13" fillId="0" borderId="0" xfId="0" applyFont="1" applyFill="1" applyBorder="1" applyAlignment="1" applyProtection="1">
      <alignment horizontal="center" wrapText="1"/>
    </xf>
    <xf numFmtId="0" fontId="13" fillId="0" borderId="0" xfId="0" applyFont="1" applyFill="1" applyBorder="1" applyAlignment="1" applyProtection="1">
      <alignment wrapText="1"/>
    </xf>
    <xf numFmtId="176" fontId="13" fillId="0" borderId="0" xfId="0" applyNumberFormat="1" applyFont="1" applyFill="1" applyBorder="1" applyAlignment="1" applyProtection="1">
      <alignment wrapText="1"/>
    </xf>
    <xf numFmtId="177" fontId="14" fillId="0" borderId="0"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176" fontId="14" fillId="0" borderId="0" xfId="0" applyNumberFormat="1" applyFont="1" applyFill="1" applyBorder="1" applyAlignment="1">
      <alignment horizontal="center" vertical="center" wrapText="1"/>
    </xf>
    <xf numFmtId="0" fontId="15" fillId="0" borderId="0" xfId="0" applyFont="1" applyFill="1" applyBorder="1" applyAlignment="1">
      <alignment vertical="center" wrapText="1"/>
    </xf>
    <xf numFmtId="0" fontId="13" fillId="0" borderId="0" xfId="0" applyFont="1" applyFill="1" applyBorder="1" applyAlignment="1" applyProtection="1">
      <alignment wrapText="1"/>
      <protection locked="0"/>
    </xf>
    <xf numFmtId="0" fontId="13" fillId="0" borderId="0" xfId="0" applyFont="1" applyFill="1" applyProtection="1">
      <protection locked="0"/>
    </xf>
    <xf numFmtId="0" fontId="16" fillId="3"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wrapText="1"/>
    </xf>
    <xf numFmtId="177" fontId="17" fillId="3" borderId="0" xfId="0" applyNumberFormat="1" applyFont="1" applyFill="1" applyBorder="1" applyAlignment="1">
      <alignment horizontal="center" vertical="center" wrapText="1"/>
    </xf>
    <xf numFmtId="0" fontId="15" fillId="3" borderId="1" xfId="0" applyFont="1" applyFill="1" applyBorder="1" applyAlignment="1" applyProtection="1">
      <alignment horizontal="center" vertical="center" wrapText="1"/>
    </xf>
    <xf numFmtId="176" fontId="15" fillId="3" borderId="1" xfId="0" applyNumberFormat="1" applyFont="1" applyFill="1" applyBorder="1" applyAlignment="1" applyProtection="1">
      <alignment horizontal="center" vertical="center" wrapText="1"/>
    </xf>
    <xf numFmtId="177" fontId="15" fillId="3" borderId="2" xfId="0" applyNumberFormat="1" applyFont="1" applyFill="1" applyBorder="1" applyAlignment="1">
      <alignment horizontal="center" vertical="center" wrapText="1"/>
    </xf>
    <xf numFmtId="0" fontId="15" fillId="3" borderId="4" xfId="0" applyFont="1" applyFill="1" applyBorder="1" applyAlignment="1" applyProtection="1">
      <alignment horizontal="center" vertical="center" wrapText="1"/>
    </xf>
    <xf numFmtId="176" fontId="15" fillId="3" borderId="4" xfId="0" applyNumberFormat="1" applyFont="1" applyFill="1" applyBorder="1" applyAlignment="1" applyProtection="1">
      <alignment horizontal="center" vertical="center" wrapText="1"/>
    </xf>
    <xf numFmtId="177" fontId="15" fillId="3" borderId="1" xfId="0" applyNumberFormat="1" applyFont="1" applyFill="1" applyBorder="1" applyAlignment="1">
      <alignment horizontal="center" vertical="center" wrapText="1"/>
    </xf>
    <xf numFmtId="177" fontId="15" fillId="3" borderId="4" xfId="0" applyNumberFormat="1" applyFont="1" applyFill="1" applyBorder="1" applyAlignment="1">
      <alignment horizontal="center" vertical="center" wrapText="1"/>
    </xf>
    <xf numFmtId="0" fontId="18" fillId="0" borderId="4" xfId="0" applyFont="1" applyFill="1" applyBorder="1" applyAlignment="1" applyProtection="1">
      <alignment horizontal="center" vertical="center" wrapText="1"/>
    </xf>
    <xf numFmtId="178" fontId="19" fillId="3" borderId="5" xfId="0" applyNumberFormat="1" applyFont="1" applyFill="1" applyBorder="1" applyAlignment="1">
      <alignment horizontal="center" vertical="center" wrapText="1"/>
    </xf>
    <xf numFmtId="176" fontId="18" fillId="0" borderId="4" xfId="0" applyNumberFormat="1" applyFont="1" applyFill="1" applyBorder="1" applyAlignment="1" applyProtection="1">
      <alignment horizontal="center" vertical="center" wrapText="1"/>
    </xf>
    <xf numFmtId="177" fontId="18" fillId="0" borderId="4" xfId="0" applyNumberFormat="1" applyFont="1" applyFill="1" applyBorder="1" applyAlignment="1">
      <alignment horizontal="center" vertical="center" wrapText="1"/>
    </xf>
    <xf numFmtId="0" fontId="20" fillId="0" borderId="2" xfId="0" applyFont="1" applyFill="1" applyBorder="1" applyAlignment="1" applyProtection="1">
      <alignment horizontal="center" vertical="center" wrapText="1"/>
    </xf>
    <xf numFmtId="0" fontId="20" fillId="0" borderId="2" xfId="0" applyFont="1" applyFill="1" applyBorder="1" applyAlignment="1" applyProtection="1">
      <alignment horizontal="left" vertical="center" wrapText="1"/>
    </xf>
    <xf numFmtId="176" fontId="20" fillId="0" borderId="2" xfId="0" applyNumberFormat="1" applyFont="1" applyFill="1" applyBorder="1" applyAlignment="1" applyProtection="1">
      <alignment horizontal="center" vertical="center" wrapText="1"/>
    </xf>
    <xf numFmtId="179" fontId="20" fillId="0" borderId="2" xfId="0" applyNumberFormat="1" applyFont="1" applyFill="1" applyBorder="1" applyAlignment="1">
      <alignment horizontal="center" vertical="center" wrapText="1"/>
    </xf>
    <xf numFmtId="177" fontId="20" fillId="0" borderId="2" xfId="0" applyNumberFormat="1" applyFont="1" applyFill="1" applyBorder="1" applyAlignment="1">
      <alignment horizontal="center" vertical="center" wrapText="1"/>
    </xf>
    <xf numFmtId="180" fontId="20" fillId="0" borderId="2" xfId="0" applyNumberFormat="1" applyFont="1" applyFill="1" applyBorder="1" applyAlignment="1" applyProtection="1">
      <alignment horizontal="center" vertical="center" wrapText="1"/>
    </xf>
    <xf numFmtId="181" fontId="20" fillId="0" borderId="2" xfId="0" applyNumberFormat="1" applyFont="1" applyFill="1" applyBorder="1" applyAlignment="1" applyProtection="1">
      <alignment horizontal="center" vertical="center" wrapText="1"/>
    </xf>
    <xf numFmtId="176" fontId="20" fillId="14" borderId="2" xfId="0" applyNumberFormat="1" applyFont="1" applyFill="1" applyBorder="1" applyAlignment="1" applyProtection="1">
      <alignment horizontal="center" vertical="center" wrapText="1"/>
    </xf>
    <xf numFmtId="182" fontId="20" fillId="0" borderId="2" xfId="0" applyNumberFormat="1" applyFont="1" applyFill="1" applyBorder="1" applyAlignment="1">
      <alignment horizontal="center" vertical="center" wrapText="1"/>
    </xf>
    <xf numFmtId="0" fontId="21" fillId="0" borderId="2" xfId="0" applyFont="1" applyFill="1" applyBorder="1" applyAlignment="1" applyProtection="1">
      <alignment horizontal="center" vertical="center" wrapText="1"/>
    </xf>
    <xf numFmtId="0" fontId="21" fillId="0" borderId="2" xfId="0" applyFont="1" applyFill="1" applyBorder="1" applyAlignment="1" applyProtection="1">
      <alignment horizontal="left" vertical="center" wrapText="1"/>
    </xf>
    <xf numFmtId="176" fontId="21" fillId="0" borderId="2" xfId="0" applyNumberFormat="1" applyFont="1" applyFill="1" applyBorder="1" applyAlignment="1" applyProtection="1">
      <alignment horizontal="center" vertical="center" wrapText="1"/>
    </xf>
    <xf numFmtId="177" fontId="21" fillId="0" borderId="2" xfId="0" applyNumberFormat="1" applyFont="1" applyFill="1" applyBorder="1" applyAlignment="1">
      <alignment horizontal="center" vertical="center" wrapText="1"/>
    </xf>
    <xf numFmtId="178" fontId="19" fillId="3" borderId="5" xfId="0" applyNumberFormat="1" applyFont="1" applyFill="1" applyBorder="1" applyAlignment="1">
      <alignment horizontal="left" vertical="center" wrapText="1"/>
    </xf>
    <xf numFmtId="178" fontId="22" fillId="0" borderId="5" xfId="0" applyNumberFormat="1" applyFont="1" applyFill="1" applyBorder="1" applyAlignment="1">
      <alignment horizontal="left" vertical="center" wrapText="1"/>
    </xf>
    <xf numFmtId="178" fontId="22" fillId="0" borderId="5" xfId="0" applyNumberFormat="1" applyFont="1" applyFill="1" applyBorder="1" applyAlignment="1">
      <alignment horizontal="center" vertical="center" wrapText="1"/>
    </xf>
    <xf numFmtId="178" fontId="22" fillId="0" borderId="5" xfId="0" applyNumberFormat="1" applyFont="1" applyFill="1" applyBorder="1" applyAlignment="1">
      <alignment horizontal="right" vertical="center" wrapText="1"/>
    </xf>
    <xf numFmtId="0" fontId="12" fillId="0" borderId="2" xfId="0" applyFont="1" applyFill="1" applyBorder="1" applyAlignment="1" applyProtection="1">
      <alignment horizontal="center" vertical="center" wrapText="1"/>
    </xf>
    <xf numFmtId="0" fontId="23" fillId="0" borderId="2" xfId="0" applyFont="1" applyFill="1" applyBorder="1" applyAlignment="1" applyProtection="1">
      <alignment horizontal="center" vertical="center" wrapText="1"/>
    </xf>
    <xf numFmtId="176" fontId="12" fillId="0" borderId="2" xfId="0" applyNumberFormat="1"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protection locked="0"/>
    </xf>
    <xf numFmtId="0" fontId="17" fillId="3" borderId="0" xfId="0" applyFont="1" applyFill="1" applyBorder="1" applyAlignment="1">
      <alignment horizontal="center" vertical="center" wrapText="1"/>
    </xf>
    <xf numFmtId="0" fontId="16" fillId="3" borderId="0" xfId="0" applyFont="1" applyFill="1" applyBorder="1" applyAlignment="1" applyProtection="1">
      <alignment horizontal="center" vertical="center" wrapText="1"/>
      <protection locked="0"/>
    </xf>
    <xf numFmtId="176" fontId="15" fillId="3" borderId="2" xfId="0" applyNumberFormat="1" applyFont="1" applyFill="1" applyBorder="1" applyAlignment="1">
      <alignment horizontal="center" vertical="center" wrapText="1"/>
    </xf>
    <xf numFmtId="176" fontId="15" fillId="3" borderId="1" xfId="0" applyNumberFormat="1" applyFont="1" applyFill="1" applyBorder="1" applyAlignment="1">
      <alignment horizontal="center" vertical="center" wrapText="1"/>
    </xf>
    <xf numFmtId="0" fontId="15" fillId="3" borderId="1" xfId="0" applyFont="1" applyFill="1" applyBorder="1" applyAlignment="1" applyProtection="1">
      <alignment horizontal="center" vertical="center" wrapText="1"/>
      <protection locked="0"/>
    </xf>
    <xf numFmtId="176" fontId="15" fillId="3" borderId="4" xfId="0" applyNumberFormat="1" applyFont="1" applyFill="1" applyBorder="1" applyAlignment="1">
      <alignment horizontal="center" vertical="center" wrapText="1"/>
    </xf>
    <xf numFmtId="0" fontId="15" fillId="3" borderId="4" xfId="0" applyFont="1" applyFill="1" applyBorder="1" applyAlignment="1" applyProtection="1">
      <alignment horizontal="center" vertical="center" wrapText="1"/>
      <protection locked="0"/>
    </xf>
    <xf numFmtId="10" fontId="15" fillId="5" borderId="2" xfId="0" applyNumberFormat="1" applyFont="1" applyFill="1" applyBorder="1" applyAlignment="1">
      <alignment horizontal="center" vertical="center" wrapText="1"/>
    </xf>
    <xf numFmtId="10" fontId="18" fillId="0" borderId="2" xfId="0" applyNumberFormat="1" applyFont="1" applyFill="1" applyBorder="1" applyAlignment="1">
      <alignment horizontal="center" vertical="center" wrapText="1"/>
    </xf>
    <xf numFmtId="176" fontId="18" fillId="0" borderId="4" xfId="0" applyNumberFormat="1" applyFont="1" applyFill="1" applyBorder="1" applyAlignment="1">
      <alignment horizontal="center" vertical="center" wrapText="1"/>
    </xf>
    <xf numFmtId="0" fontId="18" fillId="0" borderId="4" xfId="0" applyFont="1" applyFill="1" applyBorder="1" applyAlignment="1" applyProtection="1">
      <alignment horizontal="center" vertical="center" wrapText="1"/>
      <protection locked="0"/>
    </xf>
    <xf numFmtId="176" fontId="24" fillId="0" borderId="2" xfId="49" applyNumberFormat="1" applyFont="1" applyFill="1" applyBorder="1" applyAlignment="1" applyProtection="1">
      <alignment horizontal="center" vertical="center" wrapText="1"/>
    </xf>
    <xf numFmtId="176" fontId="20" fillId="0" borderId="2" xfId="0" applyNumberFormat="1" applyFont="1" applyFill="1" applyBorder="1" applyAlignment="1">
      <alignment horizontal="center" vertical="center" wrapText="1"/>
    </xf>
    <xf numFmtId="0" fontId="10" fillId="0" borderId="2" xfId="0" applyFont="1" applyFill="1" applyBorder="1" applyAlignment="1" applyProtection="1">
      <alignment vertical="center" wrapText="1"/>
      <protection locked="0"/>
    </xf>
    <xf numFmtId="0" fontId="14" fillId="0" borderId="2" xfId="0" applyFont="1" applyFill="1" applyBorder="1" applyAlignment="1" applyProtection="1">
      <alignment vertical="center" wrapText="1"/>
      <protection locked="0"/>
    </xf>
    <xf numFmtId="176" fontId="25" fillId="0" borderId="2" xfId="49" applyNumberFormat="1" applyFont="1" applyFill="1" applyBorder="1" applyAlignment="1" applyProtection="1">
      <alignment horizontal="center" vertical="center" wrapText="1"/>
    </xf>
    <xf numFmtId="176" fontId="21" fillId="0" borderId="2" xfId="0" applyNumberFormat="1" applyFont="1" applyFill="1" applyBorder="1" applyAlignment="1">
      <alignment horizontal="center" vertical="center" wrapText="1"/>
    </xf>
    <xf numFmtId="0" fontId="11" fillId="0" borderId="2" xfId="0" applyFont="1" applyFill="1" applyBorder="1" applyAlignment="1" applyProtection="1">
      <alignment vertical="center" wrapText="1"/>
      <protection locked="0"/>
    </xf>
    <xf numFmtId="0" fontId="20" fillId="0" borderId="2" xfId="0" applyFont="1" applyFill="1" applyBorder="1" applyAlignment="1" applyProtection="1">
      <alignment vertical="center" wrapText="1"/>
      <protection locked="0"/>
    </xf>
    <xf numFmtId="183" fontId="21" fillId="0" borderId="2" xfId="0" applyNumberFormat="1" applyFont="1" applyFill="1" applyBorder="1" applyAlignment="1">
      <alignment horizontal="center" vertical="center" wrapText="1"/>
    </xf>
    <xf numFmtId="0" fontId="12" fillId="0" borderId="2" xfId="0" applyFont="1" applyFill="1" applyBorder="1" applyAlignment="1" applyProtection="1">
      <alignment horizontal="center" vertical="center" wrapText="1"/>
      <protection locked="0"/>
    </xf>
    <xf numFmtId="0" fontId="26" fillId="0" borderId="0" xfId="0" applyFont="1" applyFill="1" applyAlignment="1">
      <alignment horizontal="center" vertical="center"/>
    </xf>
    <xf numFmtId="0" fontId="27" fillId="0" borderId="0" xfId="0" applyFont="1" applyFill="1" applyAlignment="1">
      <alignment horizontal="center" vertical="center"/>
    </xf>
    <xf numFmtId="0" fontId="8" fillId="0" borderId="0" xfId="0" applyFont="1" applyFill="1" applyAlignment="1">
      <alignment horizontal="center" vertical="top"/>
    </xf>
    <xf numFmtId="181" fontId="28" fillId="0" borderId="0" xfId="0" applyNumberFormat="1" applyFont="1" applyFill="1" applyAlignment="1">
      <alignment horizontal="center" vertical="center"/>
    </xf>
    <xf numFmtId="181" fontId="29" fillId="0" borderId="0" xfId="0" applyNumberFormat="1" applyFont="1" applyFill="1" applyAlignment="1">
      <alignment horizontal="center" vertical="center"/>
    </xf>
    <xf numFmtId="0" fontId="30" fillId="0" borderId="2" xfId="0" applyFont="1" applyFill="1" applyBorder="1" applyAlignment="1">
      <alignment horizontal="center" vertical="center"/>
    </xf>
    <xf numFmtId="0" fontId="30" fillId="0" borderId="2" xfId="0" applyFont="1" applyFill="1" applyBorder="1" applyAlignment="1">
      <alignment horizontal="center" vertical="center" wrapText="1"/>
    </xf>
    <xf numFmtId="176" fontId="30" fillId="0" borderId="2" xfId="0" applyNumberFormat="1" applyFont="1" applyFill="1" applyBorder="1" applyAlignment="1">
      <alignment horizontal="center" vertical="center" wrapText="1"/>
    </xf>
    <xf numFmtId="0" fontId="31" fillId="0" borderId="2" xfId="0" applyFont="1" applyFill="1" applyBorder="1" applyAlignment="1">
      <alignment horizontal="center" vertical="center"/>
    </xf>
    <xf numFmtId="0" fontId="31" fillId="0" borderId="6" xfId="0" applyFont="1" applyFill="1" applyBorder="1" applyAlignment="1">
      <alignment horizontal="center" vertical="center"/>
    </xf>
    <xf numFmtId="181" fontId="31" fillId="0" borderId="2" xfId="0" applyNumberFormat="1" applyFont="1" applyFill="1" applyBorder="1" applyAlignment="1">
      <alignment horizontal="center" vertical="center"/>
    </xf>
    <xf numFmtId="176" fontId="31" fillId="0" borderId="2" xfId="0" applyNumberFormat="1" applyFont="1" applyFill="1" applyBorder="1" applyAlignment="1">
      <alignment horizontal="center" vertical="center"/>
    </xf>
    <xf numFmtId="0" fontId="32" fillId="0" borderId="7" xfId="0" applyFont="1" applyFill="1" applyBorder="1" applyAlignment="1" applyProtection="1">
      <alignment horizontal="center" vertical="center" wrapText="1"/>
    </xf>
    <xf numFmtId="0" fontId="32" fillId="0" borderId="8" xfId="0" applyFont="1" applyFill="1" applyBorder="1" applyAlignment="1" applyProtection="1">
      <alignment horizontal="left" vertical="top" wrapText="1"/>
    </xf>
    <xf numFmtId="0" fontId="32" fillId="0" borderId="9" xfId="0" applyFont="1" applyFill="1" applyBorder="1" applyAlignment="1" applyProtection="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一、绿化清单1-广东、福建_2" xfId="49"/>
  </cellStyles>
  <dxfs count="18">
    <dxf>
      <fill>
        <patternFill patternType="none"/>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5.xml"/><Relationship Id="rId8" Type="http://schemas.openxmlformats.org/officeDocument/2006/relationships/externalLink" Target="externalLinks/externalLink4.xml"/><Relationship Id="rId7" Type="http://schemas.openxmlformats.org/officeDocument/2006/relationships/externalLink" Target="externalLinks/externalLink3.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externalLink" Target="externalLinks/externalLink18.xml"/><Relationship Id="rId21" Type="http://schemas.openxmlformats.org/officeDocument/2006/relationships/externalLink" Target="externalLinks/externalLink17.xml"/><Relationship Id="rId20" Type="http://schemas.openxmlformats.org/officeDocument/2006/relationships/externalLink" Target="externalLinks/externalLink16.xml"/><Relationship Id="rId2" Type="http://schemas.openxmlformats.org/officeDocument/2006/relationships/worksheet" Target="worksheets/sheet2.xml"/><Relationship Id="rId19" Type="http://schemas.openxmlformats.org/officeDocument/2006/relationships/externalLink" Target="externalLinks/externalLink15.xml"/><Relationship Id="rId18" Type="http://schemas.openxmlformats.org/officeDocument/2006/relationships/externalLink" Target="externalLinks/externalLink14.xml"/><Relationship Id="rId17" Type="http://schemas.openxmlformats.org/officeDocument/2006/relationships/externalLink" Target="externalLinks/externalLink13.xml"/><Relationship Id="rId16" Type="http://schemas.openxmlformats.org/officeDocument/2006/relationships/externalLink" Target="externalLinks/externalLink12.xml"/><Relationship Id="rId15" Type="http://schemas.openxmlformats.org/officeDocument/2006/relationships/externalLink" Target="externalLinks/externalLink11.xml"/><Relationship Id="rId14" Type="http://schemas.openxmlformats.org/officeDocument/2006/relationships/externalLink" Target="externalLinks/externalLink10.xml"/><Relationship Id="rId13" Type="http://schemas.openxmlformats.org/officeDocument/2006/relationships/externalLink" Target="externalLinks/externalLink9.xml"/><Relationship Id="rId12" Type="http://schemas.openxmlformats.org/officeDocument/2006/relationships/externalLink" Target="externalLinks/externalLink8.xml"/><Relationship Id="rId11" Type="http://schemas.openxmlformats.org/officeDocument/2006/relationships/externalLink" Target="externalLinks/externalLink7.xml"/><Relationship Id="rId10" Type="http://schemas.openxmlformats.org/officeDocument/2006/relationships/externalLink" Target="externalLinks/externalLink6.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HEN\&#20844;&#36335;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010&#24180;&#24050;&#20570;&#26631;&#20070;\&#19996;&#33694;\&#28165;&#28330;&#32737;&#32736;&#21322;&#23707;&#19968;&#26399;&#19968;&#21306;\2010%20&#24037;&#31243;\11-15%20&#20013;&#21830;&#19968;&#29615;&#38125;&#24231;\2010%20&#24037;&#31243;\11-8%20&#20449;&#26106;&#183;&#21326;&#24220;&#39567;&#33489;\&#26494;&#19979;&#30427;&#19968;&#36130;&#21153;&#36164;&#26009;\2007&#24180;\&#19975;&#31185;&#25112;&#30053;&#24615;&#21512;&#20316;&#35745;&#30011;\&#28145;&#22323;\&#28145;&#22323;&#31532;&#20116;&#22253;\2007&#24180;12&#26376;28&#26085;\&#19975;&#31185;\&#20869;&#37096;\&#31532;5&#22290;&#25104;&#26412;&#26680;&#31639;&#34920;2007-1"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E-drive)\&#23567;Q\&#24037;&#31243;\&#25237;&#26631;\2009&#24180;\&#28304;&#20852;&#31185;&#25216;&#22823;&#21414;\&#25104;&#26412;&#25253;&#20215;\&#25253;&#20215;\&#25253;&#20215;0622\&#25253;&#20215;0622.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0.166\&#26412;&#22320;&#30913;&#30424;%20(d)\&#25105;&#30340;&#24037;&#20316;\&#28145;&#22323;&#25104;&#26412;\&#25307;&#26631;\&#38109;&#21512;&#37329;&#25112;&#30053;&#37319;&#36141;\&#26631;&#20934;&#21270;&#38109;&#21512;&#37329;&#38376;&#31383;&#25253;&#20215;&#28165;&#21333;Rev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010&#24180;&#24050;&#20570;&#26631;&#20070;\&#19996;&#33694;\&#28165;&#28330;&#32737;&#32736;&#21322;&#23707;&#19968;&#26399;&#19968;&#21306;\2010%20&#24037;&#31243;\11-15%20&#20013;&#21830;&#19968;&#29615;&#38125;&#24231;\2010%20&#24037;&#31243;\11-8%20&#20449;&#26106;&#183;&#21326;&#24220;&#39567;&#33489;\&#26494;&#19979;&#30427;&#19968;&#36130;&#21153;&#36164;&#26009;\2007&#24180;\&#19975;&#31185;&#25112;&#30053;&#24615;&#21512;&#20316;&#35745;&#30011;\&#28145;&#22323;\&#28145;&#22323;&#31532;&#20116;&#22253;\2007&#24180;12&#26376;28&#26085;\&#19975;&#31185;\&#31532;5&#22290;&#39044;&#31639;&#31995;&#32479;2007-12-24"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24050;&#20570;&#24037;&#31243;&#26631;&#20070;\2012&#24180;&#24050;&#20570;&#26631;&#20070;\&#33463;&#23786;&#28572;&#28286;\&#24180;&#24230;&#26631;&#31639;&#26009;&#23545;&#27604;\&#29664;&#27743;&#20174;&#21270;&#22269;&#38469;&#23453;&#33322;&#39044;&#3163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4037;&#20316;\&#24320;&#20803;&#24037;&#20316;\&#39033;&#30446;\&#38108;&#24029;\&#21806;&#27004;&#37096;&#26679;&#26495;&#38388;&#27169;&#25311;&#28165;&#21333;\&#25143;&#22411;\&#26032;\&#28165;&#2133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2320;&#19979;&#36710;&#24211;&#21152;&#24314;&#24037;&#31243;&#37327;&#32479;&#35745;&#34920;-&#22242;&#36141;&#21306;.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2320;&#19979;&#36710;&#24211;&#21152;&#24314;&#24037;&#31243;&#37327;&#32479;&#35745;&#34920;-&#22806;&#38144;&#21306;-&#27719;&#24635;&#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project\CHEN\&#20844;&#36335;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1&#24180;&#24050;&#20570;&#26631;&#20070;\&#24800;&#24030;&#21150;\2010%20&#24037;&#31243;\12-14%20&#23433;&#24509;&#21315;&#22478;&#32622;&#19994;\2010%20&#24037;&#31243;\11-15%20&#20013;&#21830;&#19968;&#29615;&#38125;&#24231;\&#25237;&#26631;&#24037;&#31243;\&#19996;&#33694;&#28392;&#27743;&#20844;&#39302;&#39033;&#30446;&#20108;&#26399;\08&#24180;7-12&#26376;\&#2799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iao\&#21531;&#28246;&#21326;&#24237;\&#25509;&#25910;&#25991;&#20214;\5-7&#26368;&#21518;&#24191;&#24030;&#27611;&#22383;&#36213;&#24635;&#27979;&#31639;12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6368;&#32456;&#25253;&#20215;-&#24800;&#19996;&#30887;&#26690;&#22253;&#38376;&#31383;&#24037;&#31243;-&#2446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Documents%20and%20Settings\Administrator.PC917\&#26700;&#38754;\20120104&#20315;"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36213;&#38686;\&#25104;&#26412;-&#24481;&#26223;&#35946;&#22253;&#19968;&#26399;&#38109;&#21512;&#37329;&#38376;&#31383;&#24037;&#31243;20130117&#65288;&#38109;&#21512;&#37329;&#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25972;&#29702;\&#26631;&#20934;&#26684;&#24335;\&#25104;&#26412;&#35745;&#20215;&#26684;&#24335;2008031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清单"/>
      <sheetName val="数据汇总表"/>
      <sheetName val="基础项目"/>
      <sheetName val="材料损耗(不打印)"/>
      <sheetName val="墙面工程"/>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材料表"/>
      <sheetName val="1"/>
      <sheetName val="1."/>
      <sheetName val="型材表"/>
      <sheetName val="befo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单价分析表"/>
      <sheetName val="计算式"/>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材料表"/>
      <sheetName val="1"/>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承台(砖模) "/>
      <sheetName val="柱"/>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LC01 (2)"/>
      <sheetName val="型材线密度表"/>
      <sheetName val="钢材"/>
      <sheetName val="铝材表面处理"/>
      <sheetName val="玻璃"/>
      <sheetName val="五金配件(1)"/>
      <sheetName val="五金配件(2)"/>
      <sheetName val="五金配件(3)"/>
      <sheetName val="密封胶"/>
      <sheetName val="附件"/>
      <sheetName val="LC01"/>
      <sheetName val="上悬67"/>
      <sheetName val="推拉05"/>
      <sheetName val="平开门"/>
      <sheetName val="门连窗"/>
      <sheetName val="推拉门"/>
      <sheetName val="地弹簧门(无框)"/>
      <sheetName val="地弹簧门(有框)"/>
      <sheetName val="LC32"/>
      <sheetName val="LC32a"/>
      <sheetName val="TLC01"/>
      <sheetName val="LM01a"/>
      <sheetName val="LM01b"/>
      <sheetName val="TLM01a"/>
      <sheetName val="TLM01b"/>
      <sheetName val="TLM01c"/>
      <sheetName val="DHM01"/>
      <sheetName val="DYM01"/>
      <sheetName val="材料损耗(不打印)"/>
      <sheetName val="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型材线密度表"/>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预算书封面"/>
      <sheetName val="说明"/>
      <sheetName val="汇总表"/>
      <sheetName val="材料表"/>
      <sheetName val="1"/>
      <sheetName val="2"/>
      <sheetName val="3"/>
      <sheetName val="4"/>
      <sheetName val="5"/>
      <sheetName val="6"/>
      <sheetName val="7"/>
      <sheetName val="工程量"/>
      <sheetName val="工程量 (2)"/>
      <sheetName val="预算用量汇总表"/>
      <sheetName val="墙面工程"/>
      <sheetName val="建筑面积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造价汇总表"/>
      <sheetName val="费用清单-报价 "/>
      <sheetName val="1、A户型125m2"/>
      <sheetName val="2、B户型115m2"/>
      <sheetName val="3、E户型143m2"/>
      <sheetName val="4、SOHO公寓"/>
      <sheetName val="5、LOFT公寓"/>
      <sheetName val="6、售楼部"/>
      <sheetName val="7、增加项及基准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Sheet1"/>
      <sheetName val="Sheet2"/>
      <sheetName val="6#钢筋"/>
      <sheetName val="7#钢筋 "/>
      <sheetName val="8#钢筋 "/>
      <sheetName val="9#钢筋  "/>
      <sheetName val="10#钢筋 "/>
      <sheetName val="12#钢筋"/>
      <sheetName val="6#砌筑"/>
      <sheetName val="7#砌筑"/>
      <sheetName val="8#砌筑 "/>
      <sheetName val="9#砌筑"/>
      <sheetName val="10#砌筑"/>
      <sheetName val="12#砌筑 "/>
      <sheetName val="6#抹灰"/>
      <sheetName val="7#抹灰"/>
      <sheetName val="8#抹灰 "/>
      <sheetName val="9#抹灰"/>
      <sheetName val="10#抹灰 "/>
      <sheetName val="12#抹灰 "/>
    </sheetNames>
    <sheetDataSet>
      <sheetData sheetId="0"/>
      <sheetData sheetId="1"/>
      <sheetData sheetId="2">
        <row r="119">
          <cell r="E119">
            <v>252</v>
          </cell>
        </row>
        <row r="120">
          <cell r="E120">
            <v>168</v>
          </cell>
        </row>
        <row r="121">
          <cell r="D121">
            <v>575.74</v>
          </cell>
        </row>
        <row r="122">
          <cell r="D122">
            <v>269.521621621622</v>
          </cell>
        </row>
        <row r="123">
          <cell r="D123">
            <v>3.368</v>
          </cell>
        </row>
        <row r="124">
          <cell r="D124">
            <v>2.67</v>
          </cell>
        </row>
        <row r="125">
          <cell r="D125">
            <v>0.192</v>
          </cell>
        </row>
        <row r="126">
          <cell r="D126">
            <v>0.222</v>
          </cell>
        </row>
        <row r="127">
          <cell r="D127">
            <v>0.504</v>
          </cell>
        </row>
        <row r="128">
          <cell r="D128">
            <v>28.91</v>
          </cell>
        </row>
        <row r="129">
          <cell r="D129">
            <v>33.36</v>
          </cell>
        </row>
        <row r="130">
          <cell r="D130">
            <v>2.88</v>
          </cell>
        </row>
        <row r="131">
          <cell r="D131">
            <v>2.4</v>
          </cell>
        </row>
      </sheetData>
      <sheetData sheetId="3">
        <row r="133">
          <cell r="E133">
            <v>116</v>
          </cell>
        </row>
        <row r="134">
          <cell r="E134">
            <v>164</v>
          </cell>
        </row>
        <row r="135">
          <cell r="D135">
            <v>429.24</v>
          </cell>
        </row>
        <row r="136">
          <cell r="D136">
            <v>188.230630630631</v>
          </cell>
        </row>
        <row r="137">
          <cell r="D137">
            <v>1.8</v>
          </cell>
        </row>
        <row r="138">
          <cell r="D138">
            <v>2.56</v>
          </cell>
        </row>
        <row r="139">
          <cell r="D139">
            <v>0.336</v>
          </cell>
        </row>
        <row r="141">
          <cell r="D141">
            <v>0.252</v>
          </cell>
        </row>
        <row r="142">
          <cell r="D142">
            <v>31.86</v>
          </cell>
        </row>
        <row r="143">
          <cell r="D143">
            <v>18.06</v>
          </cell>
        </row>
        <row r="144">
          <cell r="D144">
            <v>3.84</v>
          </cell>
        </row>
      </sheetData>
      <sheetData sheetId="4">
        <row r="185">
          <cell r="E185">
            <v>240</v>
          </cell>
        </row>
        <row r="186">
          <cell r="E186">
            <v>248</v>
          </cell>
        </row>
        <row r="187">
          <cell r="D187">
            <v>961.78</v>
          </cell>
        </row>
        <row r="188">
          <cell r="D188">
            <v>383.336036036036</v>
          </cell>
        </row>
        <row r="189">
          <cell r="D189">
            <v>5.15</v>
          </cell>
        </row>
        <row r="190">
          <cell r="D190">
            <v>4.6</v>
          </cell>
        </row>
        <row r="191">
          <cell r="D191">
            <v>0.756</v>
          </cell>
        </row>
        <row r="193">
          <cell r="D193">
            <v>8.14</v>
          </cell>
        </row>
        <row r="194">
          <cell r="D194">
            <v>49.36</v>
          </cell>
        </row>
        <row r="195">
          <cell r="D195">
            <v>47.14</v>
          </cell>
        </row>
        <row r="196">
          <cell r="D196">
            <v>7.8</v>
          </cell>
        </row>
      </sheetData>
      <sheetData sheetId="5">
        <row r="125">
          <cell r="E125">
            <v>132</v>
          </cell>
        </row>
        <row r="126">
          <cell r="E126">
            <v>168</v>
          </cell>
        </row>
        <row r="127">
          <cell r="D127">
            <v>527.05</v>
          </cell>
        </row>
        <row r="128">
          <cell r="D128">
            <v>214.148648648649</v>
          </cell>
        </row>
        <row r="129">
          <cell r="D129">
            <v>2.22</v>
          </cell>
        </row>
        <row r="130">
          <cell r="D130">
            <v>2.84</v>
          </cell>
        </row>
        <row r="131">
          <cell r="D131">
            <v>0.48</v>
          </cell>
        </row>
        <row r="133">
          <cell r="D133">
            <v>9.73</v>
          </cell>
        </row>
        <row r="134">
          <cell r="D134">
            <v>35.21</v>
          </cell>
        </row>
        <row r="135">
          <cell r="D135">
            <v>22.5</v>
          </cell>
        </row>
        <row r="136">
          <cell r="D136">
            <v>4.8</v>
          </cell>
        </row>
      </sheetData>
      <sheetData sheetId="6">
        <row r="65">
          <cell r="K65">
            <v>88</v>
          </cell>
        </row>
        <row r="66">
          <cell r="K66">
            <v>64</v>
          </cell>
        </row>
        <row r="67">
          <cell r="J67">
            <v>281.89</v>
          </cell>
        </row>
        <row r="68">
          <cell r="J68">
            <v>133.15045045045</v>
          </cell>
        </row>
        <row r="69">
          <cell r="J69">
            <v>2.2</v>
          </cell>
        </row>
        <row r="70">
          <cell r="J70">
            <v>1.61</v>
          </cell>
        </row>
        <row r="74">
          <cell r="J74">
            <v>13.4</v>
          </cell>
        </row>
        <row r="75">
          <cell r="J75">
            <v>18.34</v>
          </cell>
        </row>
      </sheetData>
      <sheetData sheetId="7">
        <row r="65">
          <cell r="K65">
            <v>88</v>
          </cell>
        </row>
        <row r="66">
          <cell r="K66">
            <v>64</v>
          </cell>
        </row>
        <row r="67">
          <cell r="J67">
            <v>281.89</v>
          </cell>
        </row>
        <row r="68">
          <cell r="J68">
            <v>133.15045045045</v>
          </cell>
        </row>
        <row r="69">
          <cell r="J69">
            <v>2.2</v>
          </cell>
        </row>
        <row r="70">
          <cell r="J70">
            <v>1.61</v>
          </cell>
        </row>
        <row r="74">
          <cell r="J74">
            <v>13.4</v>
          </cell>
        </row>
        <row r="75">
          <cell r="J75">
            <v>18.34</v>
          </cell>
        </row>
      </sheetData>
      <sheetData sheetId="8">
        <row r="86">
          <cell r="D86">
            <v>59.33</v>
          </cell>
        </row>
        <row r="87">
          <cell r="D87">
            <v>2.73</v>
          </cell>
        </row>
        <row r="88">
          <cell r="D88">
            <v>5.13</v>
          </cell>
        </row>
        <row r="89">
          <cell r="E89">
            <v>968</v>
          </cell>
        </row>
        <row r="90">
          <cell r="D90">
            <v>313.3</v>
          </cell>
        </row>
        <row r="91">
          <cell r="D91">
            <v>49.89</v>
          </cell>
        </row>
      </sheetData>
      <sheetData sheetId="9">
        <row r="98">
          <cell r="D98">
            <v>27.1</v>
          </cell>
        </row>
        <row r="99">
          <cell r="D99">
            <v>1.32</v>
          </cell>
        </row>
        <row r="100">
          <cell r="D100">
            <v>2.49</v>
          </cell>
        </row>
        <row r="101">
          <cell r="E101">
            <v>464</v>
          </cell>
        </row>
        <row r="102">
          <cell r="D102">
            <v>159.796</v>
          </cell>
        </row>
        <row r="103">
          <cell r="D103">
            <v>24.51</v>
          </cell>
        </row>
      </sheetData>
      <sheetData sheetId="10">
        <row r="150">
          <cell r="D150">
            <v>69.24</v>
          </cell>
        </row>
        <row r="151">
          <cell r="D151">
            <v>3.4</v>
          </cell>
        </row>
        <row r="152">
          <cell r="D152">
            <v>6.81</v>
          </cell>
        </row>
        <row r="153">
          <cell r="E153">
            <v>1104</v>
          </cell>
        </row>
        <row r="154">
          <cell r="D154">
            <v>385.424</v>
          </cell>
        </row>
        <row r="155">
          <cell r="D155">
            <v>63.84</v>
          </cell>
        </row>
      </sheetData>
      <sheetData sheetId="11">
        <row r="89">
          <cell r="D89">
            <v>33.87</v>
          </cell>
        </row>
        <row r="90">
          <cell r="D90">
            <v>1.613</v>
          </cell>
        </row>
        <row r="91">
          <cell r="D91">
            <v>3.22</v>
          </cell>
        </row>
        <row r="92">
          <cell r="E92">
            <v>828</v>
          </cell>
        </row>
        <row r="93">
          <cell r="D93">
            <v>243.932</v>
          </cell>
        </row>
        <row r="94">
          <cell r="D94">
            <v>27.99</v>
          </cell>
        </row>
      </sheetData>
      <sheetData sheetId="12">
        <row r="58">
          <cell r="D58">
            <v>45.53</v>
          </cell>
        </row>
        <row r="59">
          <cell r="D59">
            <v>1.65</v>
          </cell>
        </row>
        <row r="60">
          <cell r="D60">
            <v>3.3</v>
          </cell>
        </row>
        <row r="61">
          <cell r="E61">
            <v>364</v>
          </cell>
        </row>
        <row r="62">
          <cell r="D62">
            <v>201.292</v>
          </cell>
        </row>
        <row r="63">
          <cell r="D63">
            <v>24.47</v>
          </cell>
        </row>
      </sheetData>
      <sheetData sheetId="13"/>
      <sheetData sheetId="14">
        <row r="31">
          <cell r="C31">
            <v>220.55</v>
          </cell>
        </row>
        <row r="32">
          <cell r="C32">
            <v>466.38</v>
          </cell>
        </row>
      </sheetData>
      <sheetData sheetId="15">
        <row r="36">
          <cell r="C36">
            <v>118.33</v>
          </cell>
        </row>
        <row r="37">
          <cell r="C37">
            <v>223.17</v>
          </cell>
        </row>
      </sheetData>
      <sheetData sheetId="16">
        <row r="53">
          <cell r="C53">
            <v>315.3</v>
          </cell>
        </row>
        <row r="54">
          <cell r="C54">
            <v>591.18</v>
          </cell>
        </row>
      </sheetData>
      <sheetData sheetId="17">
        <row r="54">
          <cell r="C54">
            <v>96.73</v>
          </cell>
        </row>
        <row r="55">
          <cell r="C55">
            <v>433.84</v>
          </cell>
        </row>
      </sheetData>
      <sheetData sheetId="18">
        <row r="51">
          <cell r="C51">
            <v>63.72</v>
          </cell>
        </row>
        <row r="52">
          <cell r="C52">
            <v>385.5</v>
          </cell>
        </row>
      </sheetData>
      <sheetData sheetId="19">
        <row r="51">
          <cell r="C51">
            <v>63.72</v>
          </cell>
        </row>
        <row r="52">
          <cell r="C52">
            <v>385.5</v>
          </cell>
        </row>
      </sheetData>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汇总"/>
      <sheetName val="3#钢筋"/>
      <sheetName val="13#钢筋 "/>
      <sheetName val="11#钢筋 "/>
      <sheetName val="5#钢筋 "/>
      <sheetName val="3#砌筑"/>
      <sheetName val="13#砌筑"/>
      <sheetName val="11#砌筑"/>
      <sheetName val="5#砌筑 "/>
      <sheetName val="3#抹灰 "/>
      <sheetName val="13#抹灰"/>
      <sheetName val="11#抹灰 "/>
      <sheetName val="5#抹灰"/>
    </sheetNames>
    <sheetDataSet>
      <sheetData sheetId="0"/>
      <sheetData sheetId="1">
        <row r="65">
          <cell r="T65">
            <v>104</v>
          </cell>
        </row>
        <row r="66">
          <cell r="T66">
            <v>24</v>
          </cell>
        </row>
        <row r="67">
          <cell r="S67">
            <v>169.64</v>
          </cell>
        </row>
        <row r="68">
          <cell r="S68">
            <v>83.1414414414414</v>
          </cell>
        </row>
        <row r="69">
          <cell r="S69">
            <v>1.53</v>
          </cell>
        </row>
        <row r="70">
          <cell r="S70">
            <v>0.43</v>
          </cell>
        </row>
        <row r="74">
          <cell r="S74">
            <v>4.28</v>
          </cell>
        </row>
        <row r="75">
          <cell r="S75">
            <v>5.12</v>
          </cell>
        </row>
      </sheetData>
      <sheetData sheetId="2">
        <row r="70">
          <cell r="T70">
            <v>112</v>
          </cell>
        </row>
        <row r="71">
          <cell r="T71">
            <v>48</v>
          </cell>
        </row>
        <row r="72">
          <cell r="S72">
            <v>248.71</v>
          </cell>
        </row>
        <row r="73">
          <cell r="S73">
            <v>114.833333333333</v>
          </cell>
        </row>
        <row r="74">
          <cell r="S74">
            <v>1.88</v>
          </cell>
        </row>
        <row r="75">
          <cell r="S75">
            <v>0.99</v>
          </cell>
        </row>
        <row r="79">
          <cell r="S79">
            <v>9.89</v>
          </cell>
        </row>
        <row r="80">
          <cell r="S80">
            <v>18.12</v>
          </cell>
        </row>
      </sheetData>
      <sheetData sheetId="3">
        <row r="80">
          <cell r="T80">
            <v>112</v>
          </cell>
        </row>
        <row r="81">
          <cell r="T81">
            <v>48</v>
          </cell>
        </row>
        <row r="82">
          <cell r="S82">
            <v>243.29</v>
          </cell>
        </row>
        <row r="83">
          <cell r="S83">
            <v>113.053153153153</v>
          </cell>
        </row>
        <row r="84">
          <cell r="S84">
            <v>1.94</v>
          </cell>
        </row>
        <row r="85">
          <cell r="S85">
            <v>0.86</v>
          </cell>
        </row>
        <row r="89">
          <cell r="S89">
            <v>8.57</v>
          </cell>
        </row>
        <row r="90">
          <cell r="S90">
            <v>18.83</v>
          </cell>
        </row>
      </sheetData>
      <sheetData sheetId="4">
        <row r="16">
          <cell r="T16">
            <v>72</v>
          </cell>
        </row>
        <row r="18">
          <cell r="S18">
            <v>81.52</v>
          </cell>
        </row>
        <row r="19">
          <cell r="S19">
            <v>41.5765765765766</v>
          </cell>
        </row>
        <row r="20">
          <cell r="S20">
            <v>0.92</v>
          </cell>
        </row>
        <row r="26">
          <cell r="S26">
            <v>9.18</v>
          </cell>
        </row>
      </sheetData>
      <sheetData sheetId="5">
        <row r="76">
          <cell r="D76">
            <v>22.95</v>
          </cell>
        </row>
        <row r="77">
          <cell r="D77">
            <v>1.21</v>
          </cell>
        </row>
        <row r="78">
          <cell r="D78">
            <v>2.08</v>
          </cell>
        </row>
        <row r="79">
          <cell r="E79">
            <v>292</v>
          </cell>
        </row>
        <row r="80">
          <cell r="D80">
            <v>112.736</v>
          </cell>
        </row>
        <row r="81">
          <cell r="D81">
            <v>18.87</v>
          </cell>
        </row>
      </sheetData>
      <sheetData sheetId="6">
        <row r="76">
          <cell r="D76">
            <v>33.7</v>
          </cell>
        </row>
        <row r="77">
          <cell r="D77">
            <v>1.41</v>
          </cell>
        </row>
        <row r="78">
          <cell r="D78">
            <v>2.82</v>
          </cell>
        </row>
        <row r="79">
          <cell r="E79">
            <v>388</v>
          </cell>
        </row>
        <row r="80">
          <cell r="D80">
            <v>165.256</v>
          </cell>
        </row>
        <row r="81">
          <cell r="D81">
            <v>26.07</v>
          </cell>
        </row>
      </sheetData>
      <sheetData sheetId="7">
        <row r="76">
          <cell r="D76">
            <v>34.74</v>
          </cell>
        </row>
        <row r="77">
          <cell r="D77">
            <v>1.48</v>
          </cell>
        </row>
        <row r="78">
          <cell r="D78">
            <v>2.95</v>
          </cell>
        </row>
        <row r="79">
          <cell r="E79">
            <v>372</v>
          </cell>
        </row>
        <row r="80">
          <cell r="D80">
            <v>168.012</v>
          </cell>
        </row>
        <row r="81">
          <cell r="D81">
            <v>27.27</v>
          </cell>
        </row>
      </sheetData>
      <sheetData sheetId="8">
        <row r="28">
          <cell r="D28">
            <v>22.44</v>
          </cell>
        </row>
        <row r="29">
          <cell r="D29">
            <v>0.69</v>
          </cell>
        </row>
        <row r="30">
          <cell r="D30">
            <v>1.38</v>
          </cell>
        </row>
        <row r="31">
          <cell r="E31">
            <v>320</v>
          </cell>
        </row>
        <row r="32">
          <cell r="D32">
            <v>119.34</v>
          </cell>
        </row>
        <row r="33">
          <cell r="D33">
            <v>11.97</v>
          </cell>
        </row>
      </sheetData>
      <sheetData sheetId="9">
        <row r="50">
          <cell r="C50">
            <v>109.96</v>
          </cell>
        </row>
        <row r="51">
          <cell r="C51">
            <v>177.48</v>
          </cell>
        </row>
      </sheetData>
      <sheetData sheetId="10">
        <row r="50">
          <cell r="C50">
            <v>147.29</v>
          </cell>
        </row>
        <row r="51">
          <cell r="C51">
            <v>236.47</v>
          </cell>
        </row>
      </sheetData>
      <sheetData sheetId="11">
        <row r="50">
          <cell r="C50">
            <v>161.34</v>
          </cell>
        </row>
        <row r="51">
          <cell r="C51">
            <v>260.87</v>
          </cell>
        </row>
      </sheetData>
      <sheetData sheetId="12">
        <row r="10">
          <cell r="C10">
            <v>214.884</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材料损耗(不打印)"/>
      <sheetName val="XLR_NoRangeSheet"/>
      <sheetName val="Mp-team 1"/>
      <sheetName val="内围地梁钢筋说明"/>
      <sheetName val="墙面工程"/>
      <sheetName val="改加胶玻璃、室外栏杆"/>
      <sheetName val="基础项目"/>
      <sheetName val="1"/>
      <sheetName val="材料名称标准表"/>
      <sheetName val="主材表"/>
      <sheetName val="清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2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Template"/>
      <sheetName val="XLR_NoRangeSheet"/>
      <sheetName val="内围地梁钢筋说明"/>
      <sheetName val="Sheet2"/>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修改"/>
      <sheetName val="修改2"/>
      <sheetName val="毛坯及材料调差（附表1）"/>
      <sheetName val="Sheet2"/>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材料损耗(不打印)"/>
      <sheetName val="改加胶玻璃、室外栏杆"/>
      <sheetName val="建筑面积 "/>
      <sheetName val="基础项目"/>
      <sheetName val="XLR_NoRangeSheet"/>
      <sheetName val="单价分析表"/>
      <sheetName val="计算式"/>
      <sheetName val="基础工程量估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R_NoRangeSheet"/>
      <sheetName val="基础工程量估算"/>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
      <sheetName val="主材表"/>
      <sheetName val="审批单"/>
      <sheetName val="综合预算表"/>
      <sheetName val="单价分析表"/>
      <sheetName val="计算式"/>
      <sheetName val="型材"/>
      <sheetName val="玻璃"/>
      <sheetName val="配件"/>
      <sheetName val="预算"/>
      <sheetName val="XLR_NoRangeSheet"/>
      <sheetName val="基础工程量估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型材表"/>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
  <sheetViews>
    <sheetView view="pageBreakPreview" zoomScale="175" zoomScaleNormal="115" workbookViewId="0">
      <selection activeCell="F3" sqref="F3"/>
    </sheetView>
  </sheetViews>
  <sheetFormatPr defaultColWidth="10.2857142857143" defaultRowHeight="14.25" outlineLevelRow="3"/>
  <cols>
    <col min="1" max="1" width="11.1142857142857" style="109" customWidth="1"/>
    <col min="2" max="2" width="20.2380952380952" style="109" customWidth="1"/>
    <col min="3" max="3" width="22.647619047619" style="109" customWidth="1"/>
    <col min="4" max="4" width="20" style="109" customWidth="1"/>
    <col min="5" max="6" width="10.2857142857143" style="109"/>
    <col min="7" max="7" width="16.152380952381" style="109" hidden="1" customWidth="1"/>
    <col min="8" max="16384" width="10.2857142857143" style="109"/>
  </cols>
  <sheetData>
    <row r="1" ht="37" customHeight="1" spans="1:15">
      <c r="A1" s="112" t="s">
        <v>0</v>
      </c>
      <c r="B1" s="113"/>
      <c r="C1" s="113"/>
      <c r="D1" s="113"/>
      <c r="E1" s="112"/>
      <c r="F1" s="112"/>
      <c r="G1" s="112"/>
      <c r="H1" s="112"/>
      <c r="I1" s="112"/>
      <c r="J1" s="112"/>
      <c r="K1" s="112"/>
      <c r="L1" s="112"/>
      <c r="M1" s="112"/>
      <c r="N1" s="112"/>
      <c r="O1" s="112"/>
    </row>
    <row r="2" s="109" customFormat="1" ht="31" customHeight="1" spans="1:4">
      <c r="A2" s="114" t="s">
        <v>1</v>
      </c>
      <c r="B2" s="114" t="s">
        <v>2</v>
      </c>
      <c r="C2" s="115" t="s">
        <v>3</v>
      </c>
      <c r="D2" s="116"/>
    </row>
    <row r="3" s="110" customFormat="1" ht="41" customHeight="1" spans="1:10">
      <c r="A3" s="117"/>
      <c r="B3" s="118" t="s">
        <v>4</v>
      </c>
      <c r="C3" s="119">
        <f>+增建储藏室!L46</f>
        <v>1500000.01</v>
      </c>
      <c r="D3" s="120"/>
      <c r="E3" s="109"/>
      <c r="F3" s="109"/>
      <c r="G3" s="109">
        <f>1-436000/438530.44</f>
        <v>0.00577027218452608</v>
      </c>
      <c r="H3" s="109"/>
      <c r="I3" s="109"/>
      <c r="J3" s="109"/>
    </row>
    <row r="4" s="111" customFormat="1" ht="68" customHeight="1" spans="1:10">
      <c r="A4" s="121" t="s">
        <v>5</v>
      </c>
      <c r="B4" s="122" t="s">
        <v>6</v>
      </c>
      <c r="C4" s="123"/>
      <c r="D4" s="123"/>
      <c r="E4" s="109"/>
      <c r="F4" s="109"/>
      <c r="G4" s="109"/>
      <c r="H4" s="109"/>
      <c r="I4" s="109"/>
      <c r="J4" s="109"/>
    </row>
  </sheetData>
  <mergeCells count="2">
    <mergeCell ref="A1:D1"/>
    <mergeCell ref="B4:D4"/>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M46"/>
  <sheetViews>
    <sheetView tabSelected="1" view="pageBreakPreview" zoomScale="115" zoomScaleNormal="100" workbookViewId="0">
      <pane ySplit="4" topLeftCell="A42" activePane="bottomLeft" state="frozen"/>
      <selection/>
      <selection pane="bottomLeft" activeCell="O44" sqref="O44"/>
    </sheetView>
  </sheetViews>
  <sheetFormatPr defaultColWidth="9.14285714285714" defaultRowHeight="14.25"/>
  <cols>
    <col min="1" max="1" width="7.62857142857143" style="44" customWidth="1"/>
    <col min="2" max="2" width="15.1428571428571" style="45" customWidth="1"/>
    <col min="3" max="3" width="27.5238095238095" style="45" customWidth="1"/>
    <col min="4" max="4" width="4.73333333333333" style="44" customWidth="1"/>
    <col min="5" max="5" width="10" style="46" customWidth="1"/>
    <col min="6" max="6" width="9.66666666666667" style="47" customWidth="1"/>
    <col min="7" max="7" width="10.8571428571429" style="47" customWidth="1"/>
    <col min="8" max="8" width="9.21904761904762" style="47" customWidth="1"/>
    <col min="9" max="9" width="17.2857142857143" style="48" customWidth="1"/>
    <col min="10" max="10" width="9.66666666666667" style="48" customWidth="1"/>
    <col min="11" max="11" width="12.2190476190476" style="49" customWidth="1"/>
    <col min="12" max="12" width="15.7809523809524" style="50" customWidth="1"/>
    <col min="13" max="13" width="6.58095238095238" style="51" customWidth="1"/>
    <col min="14" max="14" width="10" style="52"/>
    <col min="15" max="16384" width="9.14285714285714" style="52"/>
  </cols>
  <sheetData>
    <row r="1" ht="20.25" spans="1:13">
      <c r="A1" s="53" t="s">
        <v>7</v>
      </c>
      <c r="B1" s="53"/>
      <c r="C1" s="53"/>
      <c r="D1" s="53"/>
      <c r="E1" s="54"/>
      <c r="F1" s="55"/>
      <c r="G1" s="55"/>
      <c r="H1" s="55"/>
      <c r="I1" s="88"/>
      <c r="J1" s="88"/>
      <c r="K1" s="54"/>
      <c r="L1" s="53"/>
      <c r="M1" s="89"/>
    </row>
    <row r="2" s="39" customFormat="1" ht="14" customHeight="1" spans="1:13">
      <c r="A2" s="56" t="s">
        <v>1</v>
      </c>
      <c r="B2" s="56" t="s">
        <v>8</v>
      </c>
      <c r="C2" s="56" t="s">
        <v>9</v>
      </c>
      <c r="D2" s="56" t="s">
        <v>10</v>
      </c>
      <c r="E2" s="57" t="s">
        <v>11</v>
      </c>
      <c r="F2" s="58" t="s">
        <v>12</v>
      </c>
      <c r="G2" s="58"/>
      <c r="H2" s="58"/>
      <c r="I2" s="90"/>
      <c r="J2" s="90"/>
      <c r="K2" s="91" t="s">
        <v>13</v>
      </c>
      <c r="L2" s="91" t="s">
        <v>14</v>
      </c>
      <c r="M2" s="92" t="s">
        <v>15</v>
      </c>
    </row>
    <row r="3" s="39" customFormat="1" ht="28.5" spans="1:13">
      <c r="A3" s="59"/>
      <c r="B3" s="59"/>
      <c r="C3" s="59"/>
      <c r="D3" s="59"/>
      <c r="E3" s="60"/>
      <c r="F3" s="61" t="s">
        <v>16</v>
      </c>
      <c r="G3" s="61" t="s">
        <v>17</v>
      </c>
      <c r="H3" s="61" t="s">
        <v>18</v>
      </c>
      <c r="I3" s="90" t="s">
        <v>19</v>
      </c>
      <c r="J3" s="90" t="s">
        <v>20</v>
      </c>
      <c r="K3" s="93"/>
      <c r="L3" s="93"/>
      <c r="M3" s="94"/>
    </row>
    <row r="4" s="39" customFormat="1" ht="17" customHeight="1" spans="1:13">
      <c r="A4" s="59"/>
      <c r="B4" s="59"/>
      <c r="C4" s="59"/>
      <c r="D4" s="59"/>
      <c r="E4" s="60"/>
      <c r="F4" s="62"/>
      <c r="G4" s="62"/>
      <c r="H4" s="62"/>
      <c r="I4" s="95">
        <v>0.1</v>
      </c>
      <c r="J4" s="95">
        <v>0.09</v>
      </c>
      <c r="K4" s="93"/>
      <c r="L4" s="93"/>
      <c r="M4" s="94"/>
    </row>
    <row r="5" s="40" customFormat="1" ht="29" customHeight="1" spans="1:13">
      <c r="A5" s="63" t="s">
        <v>21</v>
      </c>
      <c r="B5" s="64" t="s">
        <v>22</v>
      </c>
      <c r="C5" s="63"/>
      <c r="D5" s="63"/>
      <c r="E5" s="65"/>
      <c r="F5" s="66"/>
      <c r="G5" s="66"/>
      <c r="H5" s="66"/>
      <c r="I5" s="96"/>
      <c r="J5" s="96"/>
      <c r="K5" s="97"/>
      <c r="L5" s="97">
        <f>SUM(L6:L28)</f>
        <v>1109303.03</v>
      </c>
      <c r="M5" s="98"/>
    </row>
    <row r="6" s="41" customFormat="1" ht="40.5" spans="1:13">
      <c r="A6" s="67">
        <v>1</v>
      </c>
      <c r="B6" s="68" t="s">
        <v>23</v>
      </c>
      <c r="C6" s="68" t="s">
        <v>24</v>
      </c>
      <c r="D6" s="67" t="s">
        <v>25</v>
      </c>
      <c r="E6" s="69">
        <v>3.8</v>
      </c>
      <c r="F6" s="70">
        <v>1550</v>
      </c>
      <c r="G6" s="71">
        <f>(3667+100)*1.025</f>
        <v>3861.175</v>
      </c>
      <c r="H6" s="71">
        <f>100.61+62.33</f>
        <v>162.94</v>
      </c>
      <c r="I6" s="99">
        <f>(F6+G6+H6)*$I$4</f>
        <v>557.4115</v>
      </c>
      <c r="J6" s="99">
        <f>(F6+G6+H6+I6)*$J$4</f>
        <v>551.837385</v>
      </c>
      <c r="K6" s="100">
        <f>ROUND(SUM(F6:J6),2)</f>
        <v>6683.36</v>
      </c>
      <c r="L6" s="100">
        <f>ROUND(E6*K6,2)</f>
        <v>25396.77</v>
      </c>
      <c r="M6" s="101"/>
    </row>
    <row r="7" s="41" customFormat="1" ht="40.5" spans="1:13">
      <c r="A7" s="67">
        <v>2</v>
      </c>
      <c r="B7" s="68" t="s">
        <v>23</v>
      </c>
      <c r="C7" s="68" t="s">
        <v>26</v>
      </c>
      <c r="D7" s="67" t="s">
        <v>25</v>
      </c>
      <c r="E7" s="72">
        <v>1.674</v>
      </c>
      <c r="F7" s="70">
        <f>F6</f>
        <v>1550</v>
      </c>
      <c r="G7" s="71">
        <f>(3758+100)*1.025</f>
        <v>3954.45</v>
      </c>
      <c r="H7" s="71">
        <f>62.63+50.25</f>
        <v>112.88</v>
      </c>
      <c r="I7" s="99">
        <f>(F7+G7+H7)*$I$4</f>
        <v>561.733</v>
      </c>
      <c r="J7" s="99">
        <f>(F7+G7+H7+I7)*$J$4</f>
        <v>556.11567</v>
      </c>
      <c r="K7" s="100">
        <f>ROUND(SUM(F7:J7),2)</f>
        <v>6735.18</v>
      </c>
      <c r="L7" s="100">
        <f>ROUND(E7*K7,2)</f>
        <v>11274.69</v>
      </c>
      <c r="M7" s="101"/>
    </row>
    <row r="8" s="41" customFormat="1" ht="67.5" spans="1:13">
      <c r="A8" s="67">
        <v>3</v>
      </c>
      <c r="B8" s="68" t="s">
        <v>27</v>
      </c>
      <c r="C8" s="68" t="s">
        <v>28</v>
      </c>
      <c r="D8" s="67" t="s">
        <v>25</v>
      </c>
      <c r="E8" s="69">
        <v>2.07</v>
      </c>
      <c r="F8" s="70">
        <f>F7</f>
        <v>1550</v>
      </c>
      <c r="G8" s="71">
        <f>G7</f>
        <v>3954.45</v>
      </c>
      <c r="H8" s="71">
        <f>52.42</f>
        <v>52.42</v>
      </c>
      <c r="I8" s="99">
        <f>(F8+G8+H8)*$I$4</f>
        <v>555.687</v>
      </c>
      <c r="J8" s="99">
        <f>(F8+G8+H8+I8)*$J$4</f>
        <v>550.13013</v>
      </c>
      <c r="K8" s="100">
        <f t="shared" ref="K8:K22" si="0">ROUND(SUM(F8:J8),2)</f>
        <v>6662.69</v>
      </c>
      <c r="L8" s="100">
        <f t="shared" ref="L8:L22" si="1">ROUND(E8*K8,2)</f>
        <v>13791.77</v>
      </c>
      <c r="M8" s="102"/>
    </row>
    <row r="9" s="41" customFormat="1" ht="54" spans="1:13">
      <c r="A9" s="67">
        <v>4</v>
      </c>
      <c r="B9" s="68" t="s">
        <v>29</v>
      </c>
      <c r="C9" s="68" t="s">
        <v>30</v>
      </c>
      <c r="D9" s="67" t="s">
        <v>31</v>
      </c>
      <c r="E9" s="73">
        <v>2312</v>
      </c>
      <c r="F9" s="70">
        <v>7</v>
      </c>
      <c r="G9" s="71">
        <f>0.7*0.888*(3.635+0.15)</f>
        <v>2.352756</v>
      </c>
      <c r="H9" s="71">
        <f>4.02-2.03</f>
        <v>1.99</v>
      </c>
      <c r="I9" s="99">
        <f>(F9+G9+H9)*$I$4</f>
        <v>1.1342756</v>
      </c>
      <c r="J9" s="99">
        <f>(F9+G9+H9+I9)*$J$4</f>
        <v>1.122932844</v>
      </c>
      <c r="K9" s="100">
        <f t="shared" si="0"/>
        <v>13.6</v>
      </c>
      <c r="L9" s="100">
        <f t="shared" si="1"/>
        <v>31443.2</v>
      </c>
      <c r="M9" s="101"/>
    </row>
    <row r="10" s="41" customFormat="1" ht="54" spans="1:13">
      <c r="A10" s="67">
        <v>5</v>
      </c>
      <c r="B10" s="68" t="s">
        <v>32</v>
      </c>
      <c r="C10" s="68" t="s">
        <v>33</v>
      </c>
      <c r="D10" s="67" t="s">
        <v>31</v>
      </c>
      <c r="E10" s="73">
        <v>5464</v>
      </c>
      <c r="F10" s="70">
        <v>7</v>
      </c>
      <c r="G10" s="71">
        <f>0.7*0.26*(3.616+0.15)</f>
        <v>0.685412</v>
      </c>
      <c r="H10" s="71">
        <f>2.66-0.67</f>
        <v>1.99</v>
      </c>
      <c r="I10" s="99">
        <f>(F10+G10+H10)*$I$4</f>
        <v>0.9675412</v>
      </c>
      <c r="J10" s="99">
        <f>(F10+G10+H10+I10)*$J$4</f>
        <v>0.957865788</v>
      </c>
      <c r="K10" s="100">
        <f t="shared" si="0"/>
        <v>11.6</v>
      </c>
      <c r="L10" s="100">
        <f t="shared" si="1"/>
        <v>63382.4</v>
      </c>
      <c r="M10" s="102"/>
    </row>
    <row r="11" s="41" customFormat="1" ht="27" spans="1:13">
      <c r="A11" s="67">
        <v>6</v>
      </c>
      <c r="B11" s="68" t="s">
        <v>34</v>
      </c>
      <c r="C11" s="68" t="s">
        <v>35</v>
      </c>
      <c r="D11" s="67" t="s">
        <v>36</v>
      </c>
      <c r="E11" s="69">
        <v>18.17</v>
      </c>
      <c r="F11" s="70">
        <v>330</v>
      </c>
      <c r="G11" s="71">
        <f>1.02*285</f>
        <v>290.7</v>
      </c>
      <c r="H11" s="71">
        <v>21.06</v>
      </c>
      <c r="I11" s="99">
        <f>(F11+G11+H11)*$I$4</f>
        <v>64.176</v>
      </c>
      <c r="J11" s="99">
        <f>(F11+G11+H11+I11)*$J$4</f>
        <v>63.53424</v>
      </c>
      <c r="K11" s="100">
        <f t="shared" si="0"/>
        <v>769.47</v>
      </c>
      <c r="L11" s="100">
        <f t="shared" si="1"/>
        <v>13981.27</v>
      </c>
      <c r="M11" s="101"/>
    </row>
    <row r="12" s="41" customFormat="1" ht="27" spans="1:13">
      <c r="A12" s="67">
        <v>7</v>
      </c>
      <c r="B12" s="68" t="s">
        <v>37</v>
      </c>
      <c r="C12" s="68" t="s">
        <v>38</v>
      </c>
      <c r="D12" s="67" t="s">
        <v>36</v>
      </c>
      <c r="E12" s="69">
        <v>23.21</v>
      </c>
      <c r="F12" s="70">
        <f>F11</f>
        <v>330</v>
      </c>
      <c r="G12" s="71">
        <f>G11</f>
        <v>290.7</v>
      </c>
      <c r="H12" s="71">
        <v>20.29</v>
      </c>
      <c r="I12" s="99">
        <f>(F12+G12+H12)*$I$4</f>
        <v>64.099</v>
      </c>
      <c r="J12" s="99">
        <f>(F12+G12+H12+I12)*$J$4</f>
        <v>63.45801</v>
      </c>
      <c r="K12" s="100">
        <f t="shared" si="0"/>
        <v>768.55</v>
      </c>
      <c r="L12" s="100">
        <f t="shared" si="1"/>
        <v>17838.05</v>
      </c>
      <c r="M12" s="102"/>
    </row>
    <row r="13" s="41" customFormat="1" ht="27" spans="1:13">
      <c r="A13" s="67">
        <v>8</v>
      </c>
      <c r="B13" s="68" t="s">
        <v>39</v>
      </c>
      <c r="C13" s="68" t="s">
        <v>40</v>
      </c>
      <c r="D13" s="67" t="s">
        <v>36</v>
      </c>
      <c r="E13" s="69">
        <v>1.99</v>
      </c>
      <c r="F13" s="70">
        <f>F12</f>
        <v>330</v>
      </c>
      <c r="G13" s="71">
        <f>G12</f>
        <v>290.7</v>
      </c>
      <c r="H13" s="71">
        <v>44.67</v>
      </c>
      <c r="I13" s="99">
        <f>(F13+G13+H13)*$I$4</f>
        <v>66.537</v>
      </c>
      <c r="J13" s="99">
        <f>(F13+G13+H13+I13)*$J$4</f>
        <v>65.87163</v>
      </c>
      <c r="K13" s="100">
        <f t="shared" si="0"/>
        <v>797.78</v>
      </c>
      <c r="L13" s="100">
        <f t="shared" si="1"/>
        <v>1587.58</v>
      </c>
      <c r="M13" s="102"/>
    </row>
    <row r="14" s="41" customFormat="1" ht="27" spans="1:13">
      <c r="A14" s="67">
        <v>9</v>
      </c>
      <c r="B14" s="68" t="s">
        <v>41</v>
      </c>
      <c r="C14" s="68" t="s">
        <v>42</v>
      </c>
      <c r="D14" s="67" t="s">
        <v>36</v>
      </c>
      <c r="E14" s="69">
        <v>33.48</v>
      </c>
      <c r="F14" s="70">
        <f>F13</f>
        <v>330</v>
      </c>
      <c r="G14" s="71">
        <f>G13</f>
        <v>290.7</v>
      </c>
      <c r="H14" s="71">
        <v>20.29</v>
      </c>
      <c r="I14" s="99">
        <f>(F14+G14+H14)*$I$4</f>
        <v>64.099</v>
      </c>
      <c r="J14" s="99">
        <f>(F14+G14+H14+I14)*$J$4</f>
        <v>63.45801</v>
      </c>
      <c r="K14" s="100">
        <f t="shared" si="0"/>
        <v>768.55</v>
      </c>
      <c r="L14" s="100">
        <f t="shared" si="1"/>
        <v>25731.05</v>
      </c>
      <c r="M14" s="101"/>
    </row>
    <row r="15" s="41" customFormat="1" ht="54" spans="1:13">
      <c r="A15" s="67">
        <v>10</v>
      </c>
      <c r="B15" s="68" t="s">
        <v>43</v>
      </c>
      <c r="C15" s="68" t="s">
        <v>44</v>
      </c>
      <c r="D15" s="67" t="s">
        <v>45</v>
      </c>
      <c r="E15" s="69">
        <v>194.88</v>
      </c>
      <c r="F15" s="70">
        <v>55</v>
      </c>
      <c r="G15" s="71">
        <f>30*0.25</f>
        <v>7.5</v>
      </c>
      <c r="H15" s="71">
        <f>6.65+8.2</f>
        <v>14.85</v>
      </c>
      <c r="I15" s="99">
        <f>(F15+G15+H15)*$I$4</f>
        <v>7.735</v>
      </c>
      <c r="J15" s="99">
        <f>(F15+G15+H15+I15)*$J$4</f>
        <v>7.65765</v>
      </c>
      <c r="K15" s="100">
        <f t="shared" si="0"/>
        <v>92.74</v>
      </c>
      <c r="L15" s="100">
        <f t="shared" si="1"/>
        <v>18073.17</v>
      </c>
      <c r="M15" s="101"/>
    </row>
    <row r="16" s="41" customFormat="1" ht="54" spans="1:13">
      <c r="A16" s="67">
        <v>11</v>
      </c>
      <c r="B16" s="68" t="s">
        <v>46</v>
      </c>
      <c r="C16" s="68" t="s">
        <v>47</v>
      </c>
      <c r="D16" s="67" t="s">
        <v>45</v>
      </c>
      <c r="E16" s="69">
        <v>208.99</v>
      </c>
      <c r="F16" s="70">
        <f>F15</f>
        <v>55</v>
      </c>
      <c r="G16" s="71">
        <f>G15</f>
        <v>7.5</v>
      </c>
      <c r="H16" s="71">
        <f>13.02+2.05</f>
        <v>15.07</v>
      </c>
      <c r="I16" s="99">
        <f>(F16+G16+H16)*$I$4</f>
        <v>7.757</v>
      </c>
      <c r="J16" s="99">
        <f>(F16+G16+H16+I16)*$J$4</f>
        <v>7.67943</v>
      </c>
      <c r="K16" s="100">
        <f t="shared" si="0"/>
        <v>93.01</v>
      </c>
      <c r="L16" s="100">
        <f t="shared" si="1"/>
        <v>19438.16</v>
      </c>
      <c r="M16" s="101"/>
    </row>
    <row r="17" s="41" customFormat="1" ht="54" spans="1:13">
      <c r="A17" s="67">
        <v>12</v>
      </c>
      <c r="B17" s="68" t="s">
        <v>48</v>
      </c>
      <c r="C17" s="68" t="s">
        <v>49</v>
      </c>
      <c r="D17" s="67" t="s">
        <v>45</v>
      </c>
      <c r="E17" s="74">
        <v>21.72</v>
      </c>
      <c r="F17" s="70">
        <f>F16</f>
        <v>55</v>
      </c>
      <c r="G17" s="71">
        <f>G16</f>
        <v>7.5</v>
      </c>
      <c r="H17" s="71">
        <f>12.6+5.4</f>
        <v>18</v>
      </c>
      <c r="I17" s="99">
        <f>(F17+G17+H17)*$I$4</f>
        <v>8.05</v>
      </c>
      <c r="J17" s="99">
        <f>(F17+G17+H17+I17)*$J$4</f>
        <v>7.9695</v>
      </c>
      <c r="K17" s="100">
        <f t="shared" si="0"/>
        <v>96.52</v>
      </c>
      <c r="L17" s="100">
        <f t="shared" si="1"/>
        <v>2096.41</v>
      </c>
      <c r="M17" s="102"/>
    </row>
    <row r="18" s="41" customFormat="1" ht="54" spans="1:13">
      <c r="A18" s="67">
        <v>13</v>
      </c>
      <c r="B18" s="68" t="s">
        <v>50</v>
      </c>
      <c r="C18" s="68" t="s">
        <v>51</v>
      </c>
      <c r="D18" s="67" t="s">
        <v>45</v>
      </c>
      <c r="E18" s="69">
        <v>299.35</v>
      </c>
      <c r="F18" s="70">
        <f>F17</f>
        <v>55</v>
      </c>
      <c r="G18" s="71">
        <f>G17</f>
        <v>7.5</v>
      </c>
      <c r="H18" s="71">
        <f>H16</f>
        <v>15.07</v>
      </c>
      <c r="I18" s="99">
        <f>(F18+G18+H18)*$I$4</f>
        <v>7.757</v>
      </c>
      <c r="J18" s="99">
        <f>(F18+G18+H18+I18)*$J$4</f>
        <v>7.67943</v>
      </c>
      <c r="K18" s="100">
        <f t="shared" si="0"/>
        <v>93.01</v>
      </c>
      <c r="L18" s="100">
        <f t="shared" si="1"/>
        <v>27842.54</v>
      </c>
      <c r="M18" s="101"/>
    </row>
    <row r="19" s="41" customFormat="1" ht="81" spans="1:13">
      <c r="A19" s="67">
        <v>14</v>
      </c>
      <c r="B19" s="68" t="s">
        <v>52</v>
      </c>
      <c r="C19" s="68" t="s">
        <v>53</v>
      </c>
      <c r="D19" s="67" t="s">
        <v>36</v>
      </c>
      <c r="E19" s="69">
        <v>394.43</v>
      </c>
      <c r="F19" s="70">
        <v>330</v>
      </c>
      <c r="G19" s="71">
        <f>1.03*200+0.1*400</f>
        <v>246</v>
      </c>
      <c r="H19" s="71">
        <f>32.06+0.25+3.26</f>
        <v>35.57</v>
      </c>
      <c r="I19" s="99">
        <f>(F19+G19+H19)*$I$4</f>
        <v>61.157</v>
      </c>
      <c r="J19" s="99">
        <f>(F19+G19+H19+I19)*$J$4</f>
        <v>60.54543</v>
      </c>
      <c r="K19" s="100">
        <f t="shared" si="0"/>
        <v>733.27</v>
      </c>
      <c r="L19" s="100">
        <f t="shared" si="1"/>
        <v>289223.69</v>
      </c>
      <c r="M19" s="101"/>
    </row>
    <row r="20" s="41" customFormat="1" ht="67.5" spans="1:13">
      <c r="A20" s="67">
        <v>15</v>
      </c>
      <c r="B20" s="68" t="s">
        <v>54</v>
      </c>
      <c r="C20" s="68" t="s">
        <v>55</v>
      </c>
      <c r="D20" s="67" t="s">
        <v>36</v>
      </c>
      <c r="E20" s="74">
        <v>17.15</v>
      </c>
      <c r="F20" s="70">
        <f>F19</f>
        <v>330</v>
      </c>
      <c r="G20" s="71">
        <f>560*0.35+0.22*400</f>
        <v>284</v>
      </c>
      <c r="H20" s="71">
        <f>0.88+31.51</f>
        <v>32.39</v>
      </c>
      <c r="I20" s="99">
        <f>(F20+G20+H20)*$I$4</f>
        <v>64.639</v>
      </c>
      <c r="J20" s="99">
        <f>(F20+G20+H20+I20)*$J$4</f>
        <v>63.99261</v>
      </c>
      <c r="K20" s="100">
        <f t="shared" si="0"/>
        <v>775.02</v>
      </c>
      <c r="L20" s="100">
        <f t="shared" si="1"/>
        <v>13291.59</v>
      </c>
      <c r="M20" s="102"/>
    </row>
    <row r="21" s="41" customFormat="1" ht="108" spans="1:13">
      <c r="A21" s="67">
        <v>16</v>
      </c>
      <c r="B21" s="68" t="s">
        <v>56</v>
      </c>
      <c r="C21" s="68" t="s">
        <v>57</v>
      </c>
      <c r="D21" s="67" t="s">
        <v>45</v>
      </c>
      <c r="E21" s="69">
        <v>3375.27</v>
      </c>
      <c r="F21" s="70">
        <v>22</v>
      </c>
      <c r="G21" s="71">
        <f>0.02*436</f>
        <v>8.72</v>
      </c>
      <c r="H21" s="71">
        <f>0.73+0.59+0.31</f>
        <v>1.63</v>
      </c>
      <c r="I21" s="99">
        <f>(F21+G21+H21)*$I$4</f>
        <v>3.235</v>
      </c>
      <c r="J21" s="99">
        <f>(F21+G21+H21+I21)*$J$4</f>
        <v>3.20265</v>
      </c>
      <c r="K21" s="100">
        <f t="shared" si="0"/>
        <v>38.79</v>
      </c>
      <c r="L21" s="100">
        <f t="shared" si="1"/>
        <v>130926.72</v>
      </c>
      <c r="M21" s="101"/>
    </row>
    <row r="22" s="41" customFormat="1" ht="108" spans="1:13">
      <c r="A22" s="67">
        <v>17</v>
      </c>
      <c r="B22" s="68" t="s">
        <v>58</v>
      </c>
      <c r="C22" s="68" t="s">
        <v>57</v>
      </c>
      <c r="D22" s="67" t="s">
        <v>45</v>
      </c>
      <c r="E22" s="69">
        <v>1296.94</v>
      </c>
      <c r="F22" s="70">
        <f>F21</f>
        <v>22</v>
      </c>
      <c r="G22" s="71">
        <f>G21</f>
        <v>8.72</v>
      </c>
      <c r="H22" s="71">
        <f>H21</f>
        <v>1.63</v>
      </c>
      <c r="I22" s="99">
        <f>(F22+G22+H22)*$I$4</f>
        <v>3.235</v>
      </c>
      <c r="J22" s="99">
        <f>(F22+G22+H22+I22)*$J$4</f>
        <v>3.20265</v>
      </c>
      <c r="K22" s="100">
        <f t="shared" si="0"/>
        <v>38.79</v>
      </c>
      <c r="L22" s="100">
        <f t="shared" si="1"/>
        <v>50308.3</v>
      </c>
      <c r="M22" s="101"/>
    </row>
    <row r="23" s="41" customFormat="1" ht="40.5" spans="1:13">
      <c r="A23" s="67">
        <v>18</v>
      </c>
      <c r="B23" s="68" t="s">
        <v>59</v>
      </c>
      <c r="C23" s="68" t="s">
        <v>60</v>
      </c>
      <c r="D23" s="67" t="s">
        <v>45</v>
      </c>
      <c r="E23" s="74">
        <v>4672.21</v>
      </c>
      <c r="F23" s="70">
        <v>20</v>
      </c>
      <c r="G23" s="71">
        <f>2.5*1.27</f>
        <v>3.175</v>
      </c>
      <c r="H23" s="71">
        <f>0.8+1.4+0.28</f>
        <v>2.48</v>
      </c>
      <c r="I23" s="99">
        <f>(F23+G23+H23)*$I$4</f>
        <v>2.5655</v>
      </c>
      <c r="J23" s="99">
        <f>(F23+G23+H23+I23)*$J$4</f>
        <v>2.539845</v>
      </c>
      <c r="K23" s="100">
        <f t="shared" ref="K23:K28" si="2">ROUND(SUM(F23:J23),2)</f>
        <v>30.76</v>
      </c>
      <c r="L23" s="100">
        <f t="shared" ref="L23:L28" si="3">ROUND(E23*K23,2)</f>
        <v>143717.18</v>
      </c>
      <c r="M23" s="102"/>
    </row>
    <row r="24" s="41" customFormat="1" ht="27" spans="1:13">
      <c r="A24" s="67">
        <v>19</v>
      </c>
      <c r="B24" s="68" t="s">
        <v>61</v>
      </c>
      <c r="C24" s="68" t="s">
        <v>62</v>
      </c>
      <c r="D24" s="67" t="s">
        <v>36</v>
      </c>
      <c r="E24" s="69">
        <v>18.63</v>
      </c>
      <c r="F24" s="70">
        <v>400</v>
      </c>
      <c r="G24" s="71"/>
      <c r="H24" s="71"/>
      <c r="I24" s="99">
        <f>(F24+G24+H24)*$I$4</f>
        <v>40</v>
      </c>
      <c r="J24" s="99">
        <f>(F24+G24+H24+I24)*$J$4</f>
        <v>39.6</v>
      </c>
      <c r="K24" s="100">
        <f t="shared" si="2"/>
        <v>479.6</v>
      </c>
      <c r="L24" s="100">
        <f t="shared" si="3"/>
        <v>8934.95</v>
      </c>
      <c r="M24" s="101"/>
    </row>
    <row r="25" s="41" customFormat="1" ht="20" customHeight="1" spans="1:13">
      <c r="A25" s="67">
        <v>20</v>
      </c>
      <c r="B25" s="68" t="s">
        <v>63</v>
      </c>
      <c r="C25" s="68" t="s">
        <v>64</v>
      </c>
      <c r="D25" s="67" t="s">
        <v>65</v>
      </c>
      <c r="E25" s="69">
        <v>1</v>
      </c>
      <c r="F25" s="70">
        <v>150</v>
      </c>
      <c r="G25" s="71"/>
      <c r="H25" s="71"/>
      <c r="I25" s="99">
        <f>(F25+G25+H25)*$I$4</f>
        <v>15</v>
      </c>
      <c r="J25" s="99">
        <f>(F25+G25+H25+I25)*$J$4</f>
        <v>14.85</v>
      </c>
      <c r="K25" s="100">
        <f t="shared" si="2"/>
        <v>179.85</v>
      </c>
      <c r="L25" s="100">
        <f t="shared" si="3"/>
        <v>179.85</v>
      </c>
      <c r="M25" s="101"/>
    </row>
    <row r="26" s="41" customFormat="1" ht="30" customHeight="1" spans="1:13">
      <c r="A26" s="67">
        <v>21</v>
      </c>
      <c r="B26" s="68" t="s">
        <v>66</v>
      </c>
      <c r="C26" s="68" t="s">
        <v>67</v>
      </c>
      <c r="D26" s="67" t="s">
        <v>45</v>
      </c>
      <c r="E26" s="69">
        <f>3398.1*0.3</f>
        <v>1019.43</v>
      </c>
      <c r="F26" s="75">
        <v>6</v>
      </c>
      <c r="G26" s="71">
        <f>1.05*5</f>
        <v>5.25</v>
      </c>
      <c r="H26" s="71">
        <v>0.35</v>
      </c>
      <c r="I26" s="99">
        <f>(F26+G26+H26)*$I$4</f>
        <v>1.16</v>
      </c>
      <c r="J26" s="99">
        <f>(F26+G26+H26+I26)*$J$4</f>
        <v>1.1484</v>
      </c>
      <c r="K26" s="100">
        <f t="shared" si="2"/>
        <v>13.91</v>
      </c>
      <c r="L26" s="100">
        <f t="shared" si="3"/>
        <v>14180.27</v>
      </c>
      <c r="M26" s="101"/>
    </row>
    <row r="27" s="41" customFormat="1" ht="40.5" spans="1:13">
      <c r="A27" s="67">
        <v>22</v>
      </c>
      <c r="B27" s="68" t="s">
        <v>68</v>
      </c>
      <c r="C27" s="68" t="s">
        <v>69</v>
      </c>
      <c r="D27" s="67" t="s">
        <v>45</v>
      </c>
      <c r="E27" s="69">
        <f>3398.1</f>
        <v>3398.1</v>
      </c>
      <c r="F27" s="70">
        <v>23</v>
      </c>
      <c r="G27" s="71">
        <f>2.5*1.27+0.018*436</f>
        <v>11.023</v>
      </c>
      <c r="H27" s="71">
        <f>0.8+1.4+0.28+1.63</f>
        <v>4.11</v>
      </c>
      <c r="I27" s="99">
        <f>(F27+G27+H27)*$I$4</f>
        <v>3.8133</v>
      </c>
      <c r="J27" s="99">
        <f>(F27+G27+H27+I27)*$J$4</f>
        <v>3.775167</v>
      </c>
      <c r="K27" s="100">
        <f t="shared" si="2"/>
        <v>45.72</v>
      </c>
      <c r="L27" s="100">
        <f t="shared" si="3"/>
        <v>155361.13</v>
      </c>
      <c r="M27" s="101"/>
    </row>
    <row r="28" s="41" customFormat="1" ht="30" customHeight="1" spans="1:13">
      <c r="A28" s="67">
        <v>23</v>
      </c>
      <c r="B28" s="68" t="s">
        <v>70</v>
      </c>
      <c r="C28" s="68" t="s">
        <v>71</v>
      </c>
      <c r="D28" s="67" t="s">
        <v>72</v>
      </c>
      <c r="E28" s="69">
        <v>1</v>
      </c>
      <c r="F28" s="70">
        <v>26107</v>
      </c>
      <c r="G28" s="71"/>
      <c r="H28" s="71"/>
      <c r="I28" s="99">
        <f>(F28+G28+H28)*$I$4</f>
        <v>2610.7</v>
      </c>
      <c r="J28" s="99">
        <f>(F28+G28+H28+I28)*$J$4</f>
        <v>2584.593</v>
      </c>
      <c r="K28" s="100">
        <f t="shared" si="2"/>
        <v>31302.29</v>
      </c>
      <c r="L28" s="100">
        <f t="shared" si="3"/>
        <v>31302.29</v>
      </c>
      <c r="M28" s="101"/>
    </row>
    <row r="29" s="42" customFormat="1" ht="30" customHeight="1" spans="1:13">
      <c r="A29" s="76" t="s">
        <v>73</v>
      </c>
      <c r="B29" s="77" t="s">
        <v>74</v>
      </c>
      <c r="C29" s="77"/>
      <c r="D29" s="76"/>
      <c r="E29" s="78"/>
      <c r="F29" s="79"/>
      <c r="G29" s="79"/>
      <c r="H29" s="79"/>
      <c r="I29" s="103"/>
      <c r="J29" s="103"/>
      <c r="K29" s="104"/>
      <c r="L29" s="104">
        <f>L30+L34</f>
        <v>390696.98</v>
      </c>
      <c r="M29" s="105"/>
    </row>
    <row r="30" s="41" customFormat="1" ht="30" customHeight="1" spans="1:13">
      <c r="A30" s="67" t="s">
        <v>75</v>
      </c>
      <c r="B30" s="80" t="s">
        <v>76</v>
      </c>
      <c r="C30" s="68"/>
      <c r="D30" s="67"/>
      <c r="E30" s="69"/>
      <c r="F30" s="71"/>
      <c r="G30" s="71"/>
      <c r="H30" s="71"/>
      <c r="I30" s="99"/>
      <c r="J30" s="99"/>
      <c r="K30" s="100"/>
      <c r="L30" s="104">
        <f>SUM(L31:L33)</f>
        <v>10963.62</v>
      </c>
      <c r="M30" s="101"/>
    </row>
    <row r="31" s="41" customFormat="1" ht="121.5" spans="1:13">
      <c r="A31" s="67">
        <v>1</v>
      </c>
      <c r="B31" s="81" t="s">
        <v>77</v>
      </c>
      <c r="C31" s="81" t="s">
        <v>78</v>
      </c>
      <c r="D31" s="82" t="s">
        <v>79</v>
      </c>
      <c r="E31" s="83">
        <v>120</v>
      </c>
      <c r="F31" s="71">
        <f>0.16*85</f>
        <v>13.6</v>
      </c>
      <c r="G31" s="71">
        <f>1.01*42.2</f>
        <v>42.622</v>
      </c>
      <c r="H31" s="71">
        <f>3.47+0.69</f>
        <v>4.16</v>
      </c>
      <c r="I31" s="99">
        <f>(F31+G31+H31)*$I$4</f>
        <v>6.0382</v>
      </c>
      <c r="J31" s="99">
        <f>(F31+G31+H31+I31)*$J$4</f>
        <v>5.977818</v>
      </c>
      <c r="K31" s="100">
        <f>ROUND(SUM(F31:J31),2)</f>
        <v>72.4</v>
      </c>
      <c r="L31" s="100">
        <f>ROUND(E31*K31,2)</f>
        <v>8688</v>
      </c>
      <c r="M31" s="101"/>
    </row>
    <row r="32" s="41" customFormat="1" ht="121.5" spans="1:13">
      <c r="A32" s="67">
        <v>2</v>
      </c>
      <c r="B32" s="81" t="s">
        <v>80</v>
      </c>
      <c r="C32" s="81" t="s">
        <v>81</v>
      </c>
      <c r="D32" s="82" t="s">
        <v>79</v>
      </c>
      <c r="E32" s="83">
        <v>28</v>
      </c>
      <c r="F32" s="71">
        <f>85*0.12</f>
        <v>10.2</v>
      </c>
      <c r="G32" s="71">
        <f>13.85*1.02</f>
        <v>14.127</v>
      </c>
      <c r="H32" s="71">
        <v>0.23</v>
      </c>
      <c r="I32" s="99">
        <f>(F32+G32+H32)*$I$4</f>
        <v>2.4557</v>
      </c>
      <c r="J32" s="99">
        <f>(F32+G32+H32+I32)*$J$4</f>
        <v>2.431143</v>
      </c>
      <c r="K32" s="100">
        <f>ROUND(SUM(F32:J32),2)</f>
        <v>29.44</v>
      </c>
      <c r="L32" s="100">
        <f>ROUND(E32*K32,2)</f>
        <v>824.32</v>
      </c>
      <c r="M32" s="101"/>
    </row>
    <row r="33" s="41" customFormat="1" ht="121.5" spans="1:13">
      <c r="A33" s="67">
        <v>3</v>
      </c>
      <c r="B33" s="81" t="s">
        <v>80</v>
      </c>
      <c r="C33" s="81" t="s">
        <v>82</v>
      </c>
      <c r="D33" s="82" t="s">
        <v>79</v>
      </c>
      <c r="E33" s="83">
        <v>46</v>
      </c>
      <c r="F33" s="71">
        <f>85*0.12</f>
        <v>10.2</v>
      </c>
      <c r="G33" s="71">
        <f>15.51*1.02</f>
        <v>15.8202</v>
      </c>
      <c r="H33" s="71">
        <v>0.29</v>
      </c>
      <c r="I33" s="99">
        <f>(F33+G33+H33)*$I$4</f>
        <v>2.63102</v>
      </c>
      <c r="J33" s="99">
        <f>(F33+G33+H33+I33)*$J$4</f>
        <v>2.6047098</v>
      </c>
      <c r="K33" s="100">
        <f>ROUND(SUM(F33:J33),2)</f>
        <v>31.55</v>
      </c>
      <c r="L33" s="100">
        <f>ROUND(E33*K33,2)</f>
        <v>1451.3</v>
      </c>
      <c r="M33" s="101"/>
    </row>
    <row r="34" s="41" customFormat="1" ht="30" customHeight="1" spans="1:13">
      <c r="A34" s="67" t="s">
        <v>83</v>
      </c>
      <c r="B34" s="80" t="s">
        <v>84</v>
      </c>
      <c r="C34" s="68"/>
      <c r="D34" s="67"/>
      <c r="E34" s="69"/>
      <c r="F34" s="71"/>
      <c r="G34" s="71"/>
      <c r="H34" s="71"/>
      <c r="I34" s="99"/>
      <c r="J34" s="99"/>
      <c r="K34" s="100"/>
      <c r="L34" s="104">
        <f>SUM(L35:L45)</f>
        <v>379733.36</v>
      </c>
      <c r="M34" s="101"/>
    </row>
    <row r="35" s="41" customFormat="1" ht="189" spans="1:13">
      <c r="A35" s="67">
        <v>1</v>
      </c>
      <c r="B35" s="68" t="s">
        <v>85</v>
      </c>
      <c r="C35" s="68" t="s">
        <v>86</v>
      </c>
      <c r="D35" s="67" t="s">
        <v>87</v>
      </c>
      <c r="E35" s="69">
        <v>46</v>
      </c>
      <c r="F35" s="71">
        <f>85*1.98</f>
        <v>168.3</v>
      </c>
      <c r="G35" s="71"/>
      <c r="H35" s="71">
        <v>52.8</v>
      </c>
      <c r="I35" s="99">
        <f>(F35+G35+H35)*$I$4</f>
        <v>22.11</v>
      </c>
      <c r="J35" s="99">
        <f>(F35+G35+H35+I35)*$J$4</f>
        <v>21.8889</v>
      </c>
      <c r="K35" s="100">
        <f>ROUND(SUM(F35:J35),2)</f>
        <v>265.1</v>
      </c>
      <c r="L35" s="100">
        <f>ROUND(E35*K35,2)</f>
        <v>12194.6</v>
      </c>
      <c r="M35" s="106" t="s">
        <v>88</v>
      </c>
    </row>
    <row r="36" s="41" customFormat="1" ht="189" spans="1:13">
      <c r="A36" s="67">
        <v>2</v>
      </c>
      <c r="B36" s="68" t="s">
        <v>89</v>
      </c>
      <c r="C36" s="68" t="s">
        <v>90</v>
      </c>
      <c r="D36" s="67" t="s">
        <v>87</v>
      </c>
      <c r="E36" s="69">
        <v>22</v>
      </c>
      <c r="F36" s="71">
        <f>F35</f>
        <v>168.3</v>
      </c>
      <c r="G36" s="71"/>
      <c r="H36" s="71">
        <f>H35</f>
        <v>52.8</v>
      </c>
      <c r="I36" s="99">
        <f>(F36+G36+H36)*$I$4</f>
        <v>22.11</v>
      </c>
      <c r="J36" s="99">
        <f>(F36+G36+H36+I36)*$J$4</f>
        <v>21.8889</v>
      </c>
      <c r="K36" s="100">
        <f>ROUND(SUM(F36:J36),2)</f>
        <v>265.1</v>
      </c>
      <c r="L36" s="100">
        <f>ROUND(E36*K36,2)</f>
        <v>5832.2</v>
      </c>
      <c r="M36" s="106" t="s">
        <v>88</v>
      </c>
    </row>
    <row r="37" s="41" customFormat="1" ht="108" spans="1:13">
      <c r="A37" s="67">
        <v>3</v>
      </c>
      <c r="B37" s="68" t="s">
        <v>91</v>
      </c>
      <c r="C37" s="68" t="s">
        <v>92</v>
      </c>
      <c r="D37" s="67" t="s">
        <v>93</v>
      </c>
      <c r="E37" s="69">
        <v>8569.8</v>
      </c>
      <c r="F37" s="71">
        <f>85*0.03</f>
        <v>2.55</v>
      </c>
      <c r="G37" s="71">
        <f>2.61*1.16</f>
        <v>3.0276</v>
      </c>
      <c r="H37" s="71">
        <v>0.21</v>
      </c>
      <c r="I37" s="99">
        <f>(F37+G37+H37)*$I$4</f>
        <v>0.57876</v>
      </c>
      <c r="J37" s="99">
        <f>(F37+G37+H37+I37)*$J$4</f>
        <v>0.5729724</v>
      </c>
      <c r="K37" s="100">
        <f>ROUND(SUM(F37:J37),2)</f>
        <v>6.94</v>
      </c>
      <c r="L37" s="100">
        <f>ROUND(E37*K37,2)</f>
        <v>59474.41</v>
      </c>
      <c r="M37" s="101"/>
    </row>
    <row r="38" s="41" customFormat="1" ht="108" spans="1:13">
      <c r="A38" s="67">
        <v>4</v>
      </c>
      <c r="B38" s="68" t="s">
        <v>91</v>
      </c>
      <c r="C38" s="68" t="s">
        <v>94</v>
      </c>
      <c r="D38" s="67" t="s">
        <v>93</v>
      </c>
      <c r="E38" s="69">
        <v>2479.1</v>
      </c>
      <c r="F38" s="71">
        <f>85*0.035</f>
        <v>2.975</v>
      </c>
      <c r="G38" s="71">
        <f>6.49*1.16</f>
        <v>7.5284</v>
      </c>
      <c r="H38" s="71">
        <v>0.3</v>
      </c>
      <c r="I38" s="99">
        <f>(F38+G38+H38)*$I$4</f>
        <v>1.08034</v>
      </c>
      <c r="J38" s="99">
        <f>(F38+G38+H38+I38)*$J$4</f>
        <v>1.0695366</v>
      </c>
      <c r="K38" s="100">
        <f>ROUND(SUM(F38:J38),2)</f>
        <v>12.95</v>
      </c>
      <c r="L38" s="100">
        <f>ROUND(E38*K38,2)</f>
        <v>32104.35</v>
      </c>
      <c r="M38" s="101"/>
    </row>
    <row r="39" s="41" customFormat="1" ht="121.5" spans="1:13">
      <c r="A39" s="67">
        <v>5</v>
      </c>
      <c r="B39" s="68" t="s">
        <v>95</v>
      </c>
      <c r="C39" s="68" t="s">
        <v>96</v>
      </c>
      <c r="D39" s="67" t="s">
        <v>93</v>
      </c>
      <c r="E39" s="69">
        <v>652.1</v>
      </c>
      <c r="F39" s="71">
        <f>85*0.14</f>
        <v>11.9</v>
      </c>
      <c r="G39" s="71">
        <f>5.32*1.05</f>
        <v>5.586</v>
      </c>
      <c r="H39" s="71">
        <v>2.2</v>
      </c>
      <c r="I39" s="99">
        <f>(F39+G39+H39)*$I$4</f>
        <v>1.9686</v>
      </c>
      <c r="J39" s="99">
        <f>(F39+G39+H39+I39)*$J$4</f>
        <v>1.948914</v>
      </c>
      <c r="K39" s="100">
        <f t="shared" ref="K39:K55" si="4">ROUND(SUM(F39:J39),2)</f>
        <v>23.6</v>
      </c>
      <c r="L39" s="100">
        <f t="shared" ref="L39:L55" si="5">ROUND(E39*K39,2)</f>
        <v>15389.56</v>
      </c>
      <c r="M39" s="101"/>
    </row>
    <row r="40" s="41" customFormat="1" ht="121.5" spans="1:13">
      <c r="A40" s="67">
        <v>6</v>
      </c>
      <c r="B40" s="68" t="s">
        <v>95</v>
      </c>
      <c r="C40" s="68" t="s">
        <v>97</v>
      </c>
      <c r="D40" s="67" t="s">
        <v>93</v>
      </c>
      <c r="E40" s="69">
        <v>2747.4</v>
      </c>
      <c r="F40" s="71">
        <f>85*0.1</f>
        <v>8.5</v>
      </c>
      <c r="G40" s="71">
        <f>3.47*1.05</f>
        <v>3.6435</v>
      </c>
      <c r="H40" s="71">
        <v>1.7</v>
      </c>
      <c r="I40" s="99">
        <f>(F40+G40+H40)*$I$4</f>
        <v>1.38435</v>
      </c>
      <c r="J40" s="99">
        <f>(F40+G40+H40+I40)*$J$4</f>
        <v>1.3705065</v>
      </c>
      <c r="K40" s="100">
        <f t="shared" si="4"/>
        <v>16.6</v>
      </c>
      <c r="L40" s="100">
        <f t="shared" si="5"/>
        <v>45606.84</v>
      </c>
      <c r="M40" s="101"/>
    </row>
    <row r="41" s="41" customFormat="1" ht="67.5" spans="1:13">
      <c r="A41" s="67">
        <v>7</v>
      </c>
      <c r="B41" s="68" t="s">
        <v>98</v>
      </c>
      <c r="C41" s="68" t="s">
        <v>99</v>
      </c>
      <c r="D41" s="67" t="s">
        <v>31</v>
      </c>
      <c r="E41" s="69">
        <v>194</v>
      </c>
      <c r="F41" s="71">
        <f>85*0.1</f>
        <v>8.5</v>
      </c>
      <c r="G41" s="71">
        <f>3*1.02</f>
        <v>3.06</v>
      </c>
      <c r="H41" s="71">
        <v>0.43</v>
      </c>
      <c r="I41" s="99">
        <f>(F41+G41+H41)*$I$4</f>
        <v>1.199</v>
      </c>
      <c r="J41" s="99">
        <f>(F41+G41+H41+I41)*$J$4</f>
        <v>1.18701</v>
      </c>
      <c r="K41" s="100">
        <f t="shared" si="4"/>
        <v>14.38</v>
      </c>
      <c r="L41" s="100">
        <f t="shared" si="5"/>
        <v>2789.72</v>
      </c>
      <c r="M41" s="101"/>
    </row>
    <row r="42" s="41" customFormat="1" ht="94.5" spans="1:13">
      <c r="A42" s="67">
        <v>8</v>
      </c>
      <c r="B42" s="68" t="s">
        <v>100</v>
      </c>
      <c r="C42" s="68" t="s">
        <v>101</v>
      </c>
      <c r="D42" s="67" t="s">
        <v>102</v>
      </c>
      <c r="E42" s="69">
        <v>3398.1</v>
      </c>
      <c r="F42" s="71">
        <v>40</v>
      </c>
      <c r="G42" s="71"/>
      <c r="H42" s="71"/>
      <c r="I42" s="99">
        <f>(F42+G42+H42)*$I$4</f>
        <v>4</v>
      </c>
      <c r="J42" s="99">
        <f>(F42+G42+H42+I42)*$J$4</f>
        <v>3.96</v>
      </c>
      <c r="K42" s="100">
        <f t="shared" si="4"/>
        <v>47.96</v>
      </c>
      <c r="L42" s="100">
        <f t="shared" si="5"/>
        <v>162972.88</v>
      </c>
      <c r="M42" s="101"/>
    </row>
    <row r="43" s="41" customFormat="1" ht="94.5" spans="1:13">
      <c r="A43" s="67">
        <v>9</v>
      </c>
      <c r="B43" s="68" t="s">
        <v>103</v>
      </c>
      <c r="C43" s="68" t="s">
        <v>104</v>
      </c>
      <c r="D43" s="67" t="s">
        <v>31</v>
      </c>
      <c r="E43" s="69">
        <v>594</v>
      </c>
      <c r="F43" s="71">
        <v>40</v>
      </c>
      <c r="G43" s="71"/>
      <c r="H43" s="71"/>
      <c r="I43" s="99">
        <f>(F43+G43+H43)*$I$4</f>
        <v>4</v>
      </c>
      <c r="J43" s="99">
        <f>(F43+G43+H43+I43)*$J$4</f>
        <v>3.96</v>
      </c>
      <c r="K43" s="100">
        <f t="shared" si="4"/>
        <v>47.96</v>
      </c>
      <c r="L43" s="100">
        <f t="shared" si="5"/>
        <v>28488.24</v>
      </c>
      <c r="M43" s="101"/>
    </row>
    <row r="44" s="41" customFormat="1" ht="94.5" spans="1:13">
      <c r="A44" s="67">
        <v>10</v>
      </c>
      <c r="B44" s="68" t="s">
        <v>105</v>
      </c>
      <c r="C44" s="68" t="s">
        <v>106</v>
      </c>
      <c r="D44" s="67" t="s">
        <v>31</v>
      </c>
      <c r="E44" s="69">
        <v>194</v>
      </c>
      <c r="F44" s="71">
        <v>45</v>
      </c>
      <c r="G44" s="71"/>
      <c r="H44" s="71"/>
      <c r="I44" s="99">
        <f>(F44+G44+H44)*$I$4</f>
        <v>4.5</v>
      </c>
      <c r="J44" s="99">
        <f>(F44+G44+H44+I44)*$J$4</f>
        <v>4.455</v>
      </c>
      <c r="K44" s="100">
        <f t="shared" si="4"/>
        <v>53.96</v>
      </c>
      <c r="L44" s="100">
        <f t="shared" si="5"/>
        <v>10468.24</v>
      </c>
      <c r="M44" s="101"/>
    </row>
    <row r="45" s="41" customFormat="1" ht="81" spans="1:13">
      <c r="A45" s="67">
        <v>11</v>
      </c>
      <c r="B45" s="68" t="s">
        <v>107</v>
      </c>
      <c r="C45" s="68" t="s">
        <v>108</v>
      </c>
      <c r="D45" s="67" t="s">
        <v>31</v>
      </c>
      <c r="E45" s="69">
        <v>46</v>
      </c>
      <c r="F45" s="71">
        <v>80</v>
      </c>
      <c r="G45" s="71"/>
      <c r="H45" s="71"/>
      <c r="I45" s="99">
        <f>(F45+G45+H45)*$I$4</f>
        <v>8</v>
      </c>
      <c r="J45" s="99">
        <f>(F45+G45+H45+I45)*$J$4</f>
        <v>7.92</v>
      </c>
      <c r="K45" s="100">
        <f t="shared" si="4"/>
        <v>95.92</v>
      </c>
      <c r="L45" s="100">
        <f t="shared" si="5"/>
        <v>4412.32</v>
      </c>
      <c r="M45" s="101"/>
    </row>
    <row r="46" s="43" customFormat="1" ht="28" customHeight="1" spans="1:13">
      <c r="A46" s="84"/>
      <c r="B46" s="85" t="s">
        <v>109</v>
      </c>
      <c r="C46" s="84"/>
      <c r="D46" s="84"/>
      <c r="E46" s="86"/>
      <c r="F46" s="87"/>
      <c r="G46" s="87"/>
      <c r="H46" s="87"/>
      <c r="I46" s="87"/>
      <c r="J46" s="87"/>
      <c r="K46" s="87"/>
      <c r="L46" s="107">
        <f>L29+L5</f>
        <v>1500000.01</v>
      </c>
      <c r="M46" s="108"/>
    </row>
  </sheetData>
  <sheetProtection selectLockedCells="1"/>
  <mergeCells count="13">
    <mergeCell ref="A1:M1"/>
    <mergeCell ref="F2:J2"/>
    <mergeCell ref="A2:A4"/>
    <mergeCell ref="B2:B4"/>
    <mergeCell ref="C2:C3"/>
    <mergeCell ref="D2:D3"/>
    <mergeCell ref="E2:E3"/>
    <mergeCell ref="F3:F4"/>
    <mergeCell ref="G3:G4"/>
    <mergeCell ref="H3:H4"/>
    <mergeCell ref="K2:K3"/>
    <mergeCell ref="L2:L3"/>
    <mergeCell ref="M2:M3"/>
  </mergeCells>
  <printOptions horizontalCentered="1"/>
  <pageMargins left="0.75" right="0.75" top="0.786805555555556" bottom="0.708333333333333" header="0.5" footer="0.5"/>
  <pageSetup paperSize="9" scale="84" fitToHeight="0" orientation="landscape" horizontalDpi="600"/>
  <headerFooter/>
  <ignoredErrors>
    <ignoredError sqref="L34"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7"/>
  <sheetViews>
    <sheetView workbookViewId="0">
      <pane ySplit="2" topLeftCell="A3" activePane="bottomLeft" state="frozen"/>
      <selection/>
      <selection pane="bottomLeft" activeCell="T12" sqref="T12"/>
    </sheetView>
  </sheetViews>
  <sheetFormatPr defaultColWidth="8.88571428571429" defaultRowHeight="13.5"/>
  <cols>
    <col min="1" max="1" width="5.66666666666667" style="24" customWidth="1"/>
    <col min="2" max="2" width="16.6666666666667" style="25" customWidth="1"/>
    <col min="3" max="3" width="13.1142857142857" style="25" customWidth="1"/>
    <col min="4" max="4" width="8.55238095238095" style="24" customWidth="1"/>
    <col min="5" max="5" width="11.8857142857143" style="25" customWidth="1"/>
    <col min="6" max="6" width="8.44761904761905" style="25" customWidth="1"/>
    <col min="7" max="16" width="8.66666666666667" style="25" hidden="1" customWidth="1"/>
    <col min="17" max="17" width="8.88571428571429" style="25"/>
    <col min="18" max="19" width="17.552380952381" style="25" customWidth="1"/>
    <col min="20" max="20" width="11.7809523809524" style="25"/>
    <col min="21" max="16384" width="8.88571428571429" style="25"/>
  </cols>
  <sheetData>
    <row r="1" ht="20" customHeight="1" spans="1:16">
      <c r="A1" s="26" t="s">
        <v>110</v>
      </c>
      <c r="B1" s="26"/>
      <c r="C1" s="26"/>
      <c r="D1" s="26"/>
      <c r="E1" s="26"/>
      <c r="F1" s="26"/>
      <c r="G1" s="27"/>
      <c r="H1" s="27"/>
      <c r="I1" s="27"/>
      <c r="J1" s="27"/>
      <c r="K1" s="27"/>
      <c r="L1" s="27"/>
      <c r="M1" s="27"/>
      <c r="N1" s="27"/>
      <c r="O1" s="27"/>
      <c r="P1" s="27"/>
    </row>
    <row r="2" s="22" customFormat="1" ht="29" customHeight="1" spans="1:16">
      <c r="A2" s="28" t="s">
        <v>1</v>
      </c>
      <c r="B2" s="28" t="s">
        <v>8</v>
      </c>
      <c r="C2" s="28" t="s">
        <v>111</v>
      </c>
      <c r="D2" s="28" t="s">
        <v>10</v>
      </c>
      <c r="E2" s="28" t="s">
        <v>112</v>
      </c>
      <c r="F2" s="28" t="s">
        <v>15</v>
      </c>
      <c r="G2" s="28" t="s">
        <v>113</v>
      </c>
      <c r="H2" s="28" t="s">
        <v>114</v>
      </c>
      <c r="I2" s="28" t="s">
        <v>115</v>
      </c>
      <c r="J2" s="28" t="s">
        <v>116</v>
      </c>
      <c r="K2" s="28" t="s">
        <v>117</v>
      </c>
      <c r="L2" s="28" t="s">
        <v>118</v>
      </c>
      <c r="M2" s="28" t="s">
        <v>119</v>
      </c>
      <c r="N2" s="28" t="s">
        <v>120</v>
      </c>
      <c r="O2" s="28" t="s">
        <v>121</v>
      </c>
      <c r="P2" s="28" t="s">
        <v>122</v>
      </c>
    </row>
    <row r="3" spans="1:29">
      <c r="A3" s="29">
        <v>1</v>
      </c>
      <c r="B3" s="30" t="s">
        <v>123</v>
      </c>
      <c r="C3" s="31" t="s">
        <v>124</v>
      </c>
      <c r="D3" s="32" t="s">
        <v>31</v>
      </c>
      <c r="E3" s="33">
        <f t="shared" ref="E3:E10" si="0">SUM(G3:P3)</f>
        <v>1316</v>
      </c>
      <c r="F3" s="30"/>
      <c r="G3" s="30">
        <f>'[18]3#钢筋'!T65</f>
        <v>104</v>
      </c>
      <c r="H3" s="30">
        <f>'[18]5#钢筋 '!T16</f>
        <v>72</v>
      </c>
      <c r="I3" s="30">
        <f>'[18]11#钢筋 '!T80</f>
        <v>112</v>
      </c>
      <c r="J3" s="30">
        <f>'[18]13#钢筋 '!T70</f>
        <v>112</v>
      </c>
      <c r="K3" s="30">
        <f>'[17]6#钢筋'!E119</f>
        <v>252</v>
      </c>
      <c r="L3" s="30">
        <f>'[17]7#钢筋 '!E133</f>
        <v>116</v>
      </c>
      <c r="M3" s="30">
        <f>'[17]8#钢筋 '!E185</f>
        <v>240</v>
      </c>
      <c r="N3" s="30">
        <f>'[17]9#钢筋  '!E125</f>
        <v>132</v>
      </c>
      <c r="O3" s="30">
        <f>'[17]10#钢筋 '!K65</f>
        <v>88</v>
      </c>
      <c r="P3" s="30">
        <f>'[17]12#钢筋'!K65</f>
        <v>88</v>
      </c>
      <c r="S3" s="25" t="s">
        <v>109</v>
      </c>
      <c r="T3" s="25" t="s">
        <v>125</v>
      </c>
      <c r="U3" s="25" t="s">
        <v>114</v>
      </c>
      <c r="V3" s="25" t="s">
        <v>117</v>
      </c>
      <c r="W3" s="25" t="s">
        <v>118</v>
      </c>
      <c r="X3" s="25" t="s">
        <v>119</v>
      </c>
      <c r="Y3" s="25" t="s">
        <v>120</v>
      </c>
      <c r="Z3" s="25" t="s">
        <v>121</v>
      </c>
      <c r="AA3" s="25" t="s">
        <v>115</v>
      </c>
      <c r="AB3" s="25" t="s">
        <v>122</v>
      </c>
      <c r="AC3" s="25" t="s">
        <v>116</v>
      </c>
    </row>
    <row r="4" spans="1:29">
      <c r="A4" s="29">
        <v>2</v>
      </c>
      <c r="B4" s="30" t="s">
        <v>126</v>
      </c>
      <c r="C4" s="31" t="s">
        <v>124</v>
      </c>
      <c r="D4" s="32" t="s">
        <v>31</v>
      </c>
      <c r="E4" s="33">
        <f t="shared" si="0"/>
        <v>996</v>
      </c>
      <c r="F4" s="30"/>
      <c r="G4" s="30">
        <f>'[18]3#钢筋'!T66</f>
        <v>24</v>
      </c>
      <c r="H4" s="30">
        <f>'[18]5#钢筋 '!T17</f>
        <v>0</v>
      </c>
      <c r="I4" s="30">
        <f>'[18]11#钢筋 '!T81</f>
        <v>48</v>
      </c>
      <c r="J4" s="30">
        <f>'[18]13#钢筋 '!T71</f>
        <v>48</v>
      </c>
      <c r="K4" s="30">
        <f>'[17]6#钢筋'!E120</f>
        <v>168</v>
      </c>
      <c r="L4" s="30">
        <f>'[17]7#钢筋 '!E134</f>
        <v>164</v>
      </c>
      <c r="M4" s="30">
        <f>'[17]8#钢筋 '!E186</f>
        <v>248</v>
      </c>
      <c r="N4" s="30">
        <f>'[17]9#钢筋  '!E126</f>
        <v>168</v>
      </c>
      <c r="O4" s="30">
        <f>'[17]10#钢筋 '!K66</f>
        <v>64</v>
      </c>
      <c r="P4" s="30">
        <f>'[17]12#钢筋'!K66</f>
        <v>64</v>
      </c>
      <c r="R4" s="25" t="s">
        <v>127</v>
      </c>
      <c r="S4" s="25">
        <f>SUM(T4:AC4)</f>
        <v>2137.71</v>
      </c>
      <c r="T4" s="25">
        <v>177.48</v>
      </c>
      <c r="U4" s="25">
        <v>209.84</v>
      </c>
      <c r="V4" s="25">
        <v>210.51</v>
      </c>
      <c r="W4" s="25">
        <v>56.19</v>
      </c>
      <c r="X4" s="25">
        <v>85.23</v>
      </c>
      <c r="Y4" s="25">
        <v>85.23</v>
      </c>
      <c r="Z4" s="25">
        <v>385.5</v>
      </c>
      <c r="AA4" s="25">
        <v>279.14</v>
      </c>
      <c r="AB4" s="25">
        <v>385.5</v>
      </c>
      <c r="AC4" s="25">
        <v>263.09</v>
      </c>
    </row>
    <row r="5" spans="1:16">
      <c r="A5" s="29">
        <v>3</v>
      </c>
      <c r="B5" s="30" t="s">
        <v>128</v>
      </c>
      <c r="C5" s="31" t="s">
        <v>124</v>
      </c>
      <c r="D5" s="32" t="s">
        <v>129</v>
      </c>
      <c r="E5" s="33">
        <f t="shared" si="0"/>
        <v>3800.75</v>
      </c>
      <c r="F5" s="30"/>
      <c r="G5" s="30">
        <f>'[18]3#钢筋'!S67</f>
        <v>169.64</v>
      </c>
      <c r="H5" s="30">
        <f>'[18]5#钢筋 '!S18</f>
        <v>81.52</v>
      </c>
      <c r="I5" s="30">
        <f>'[18]11#钢筋 '!S82</f>
        <v>243.29</v>
      </c>
      <c r="J5" s="30">
        <f>'[18]13#钢筋 '!S72</f>
        <v>248.71</v>
      </c>
      <c r="K5" s="30">
        <f>'[17]6#钢筋'!D121</f>
        <v>575.74</v>
      </c>
      <c r="L5" s="30">
        <f>'[17]7#钢筋 '!D135</f>
        <v>429.24</v>
      </c>
      <c r="M5" s="30">
        <f>'[17]8#钢筋 '!D187</f>
        <v>961.78</v>
      </c>
      <c r="N5" s="30">
        <f>'[17]9#钢筋  '!D127</f>
        <v>527.05</v>
      </c>
      <c r="O5" s="30">
        <f>'[17]10#钢筋 '!J67</f>
        <v>281.89</v>
      </c>
      <c r="P5" s="30">
        <f>'[17]12#钢筋'!J67</f>
        <v>281.89</v>
      </c>
    </row>
    <row r="6" s="23" customFormat="1" spans="1:16">
      <c r="A6" s="29">
        <v>4</v>
      </c>
      <c r="B6" s="34" t="s">
        <v>130</v>
      </c>
      <c r="C6" s="35" t="s">
        <v>131</v>
      </c>
      <c r="D6" s="36" t="s">
        <v>129</v>
      </c>
      <c r="E6" s="37">
        <f t="shared" si="0"/>
        <v>1674.14234234234</v>
      </c>
      <c r="F6" s="34"/>
      <c r="G6" s="34">
        <f>'[18]3#钢筋'!S68</f>
        <v>83.1414414414414</v>
      </c>
      <c r="H6" s="34">
        <f>'[18]5#钢筋 '!S19</f>
        <v>41.5765765765766</v>
      </c>
      <c r="I6" s="34">
        <f>'[18]11#钢筋 '!S83</f>
        <v>113.053153153153</v>
      </c>
      <c r="J6" s="34">
        <f>'[18]13#钢筋 '!S73</f>
        <v>114.833333333333</v>
      </c>
      <c r="K6" s="34">
        <f>'[17]6#钢筋'!D122</f>
        <v>269.521621621622</v>
      </c>
      <c r="L6" s="34">
        <f>'[17]7#钢筋 '!D136</f>
        <v>188.230630630631</v>
      </c>
      <c r="M6" s="34">
        <f>'[17]8#钢筋 '!D188</f>
        <v>383.336036036036</v>
      </c>
      <c r="N6" s="34">
        <f>'[17]9#钢筋  '!D128</f>
        <v>214.148648648649</v>
      </c>
      <c r="O6" s="34">
        <f>'[17]10#钢筋 '!J68</f>
        <v>133.15045045045</v>
      </c>
      <c r="P6" s="34">
        <f>'[17]12#钢筋'!J68</f>
        <v>133.15045045045</v>
      </c>
    </row>
    <row r="7" spans="1:16">
      <c r="A7" s="29">
        <v>5</v>
      </c>
      <c r="B7" s="30" t="s">
        <v>132</v>
      </c>
      <c r="C7" s="30" t="s">
        <v>133</v>
      </c>
      <c r="D7" s="29" t="s">
        <v>36</v>
      </c>
      <c r="E7" s="33">
        <f t="shared" si="0"/>
        <v>23.208</v>
      </c>
      <c r="F7" s="30"/>
      <c r="G7" s="30">
        <f>'[18]3#钢筋'!S69</f>
        <v>1.53</v>
      </c>
      <c r="H7" s="30">
        <f>'[18]5#钢筋 '!S20</f>
        <v>0.92</v>
      </c>
      <c r="I7" s="30">
        <f>'[18]11#钢筋 '!S84</f>
        <v>1.94</v>
      </c>
      <c r="J7" s="30">
        <f>'[18]13#钢筋 '!S74</f>
        <v>1.88</v>
      </c>
      <c r="K7" s="30">
        <f>'[17]6#钢筋'!D123</f>
        <v>3.368</v>
      </c>
      <c r="L7" s="30">
        <f>'[17]7#钢筋 '!D137</f>
        <v>1.8</v>
      </c>
      <c r="M7" s="30">
        <f>'[17]8#钢筋 '!D189</f>
        <v>5.15</v>
      </c>
      <c r="N7" s="30">
        <f>'[17]9#钢筋  '!D129</f>
        <v>2.22</v>
      </c>
      <c r="O7" s="30">
        <f>'[17]10#钢筋 '!J69</f>
        <v>2.2</v>
      </c>
      <c r="P7" s="30">
        <f>'[17]12#钢筋'!J69</f>
        <v>2.2</v>
      </c>
    </row>
    <row r="8" spans="1:16">
      <c r="A8" s="29">
        <v>6</v>
      </c>
      <c r="B8" s="30" t="s">
        <v>134</v>
      </c>
      <c r="C8" s="30" t="s">
        <v>133</v>
      </c>
      <c r="D8" s="29" t="s">
        <v>36</v>
      </c>
      <c r="E8" s="33">
        <f t="shared" si="0"/>
        <v>18.17</v>
      </c>
      <c r="F8" s="30"/>
      <c r="G8" s="30">
        <f>'[18]3#钢筋'!S70</f>
        <v>0.43</v>
      </c>
      <c r="H8" s="30">
        <f>'[18]5#钢筋 '!S21</f>
        <v>0</v>
      </c>
      <c r="I8" s="30">
        <f>'[18]11#钢筋 '!S85</f>
        <v>0.86</v>
      </c>
      <c r="J8" s="30">
        <f>'[18]13#钢筋 '!S75</f>
        <v>0.99</v>
      </c>
      <c r="K8" s="30">
        <f>'[17]6#钢筋'!D124</f>
        <v>2.67</v>
      </c>
      <c r="L8" s="30">
        <f>'[17]7#钢筋 '!D138</f>
        <v>2.56</v>
      </c>
      <c r="M8" s="30">
        <f>'[17]8#钢筋 '!D190</f>
        <v>4.6</v>
      </c>
      <c r="N8" s="30">
        <f>'[17]9#钢筋  '!D130</f>
        <v>2.84</v>
      </c>
      <c r="O8" s="30">
        <f>'[17]10#钢筋 '!J70</f>
        <v>1.61</v>
      </c>
      <c r="P8" s="30">
        <f>'[17]12#钢筋'!J70</f>
        <v>1.61</v>
      </c>
    </row>
    <row r="9" spans="1:16">
      <c r="A9" s="29">
        <v>7</v>
      </c>
      <c r="B9" s="30" t="s">
        <v>135</v>
      </c>
      <c r="C9" s="30" t="s">
        <v>133</v>
      </c>
      <c r="D9" s="29" t="s">
        <v>36</v>
      </c>
      <c r="E9" s="33">
        <f t="shared" si="0"/>
        <v>1.764</v>
      </c>
      <c r="F9" s="30"/>
      <c r="G9" s="30">
        <f>'[18]3#钢筋'!S71</f>
        <v>0</v>
      </c>
      <c r="H9" s="30">
        <f>'[18]5#钢筋 '!S22</f>
        <v>0</v>
      </c>
      <c r="I9" s="30">
        <f>'[18]11#钢筋 '!S86</f>
        <v>0</v>
      </c>
      <c r="J9" s="30">
        <f>'[18]13#钢筋 '!S76</f>
        <v>0</v>
      </c>
      <c r="K9" s="30">
        <f>'[17]6#钢筋'!D125</f>
        <v>0.192</v>
      </c>
      <c r="L9" s="30">
        <f>'[17]7#钢筋 '!D139</f>
        <v>0.336</v>
      </c>
      <c r="M9" s="30">
        <f>'[17]8#钢筋 '!D191</f>
        <v>0.756</v>
      </c>
      <c r="N9" s="30">
        <f>'[17]9#钢筋  '!D131</f>
        <v>0.48</v>
      </c>
      <c r="O9" s="30">
        <f>'[17]10#钢筋 '!J71</f>
        <v>0</v>
      </c>
      <c r="P9" s="30">
        <f>'[17]12#钢筋'!J71</f>
        <v>0</v>
      </c>
    </row>
    <row r="10" spans="1:16">
      <c r="A10" s="29">
        <v>8</v>
      </c>
      <c r="B10" s="30" t="s">
        <v>136</v>
      </c>
      <c r="C10" s="30" t="s">
        <v>133</v>
      </c>
      <c r="D10" s="29" t="s">
        <v>36</v>
      </c>
      <c r="E10" s="33">
        <f t="shared" si="0"/>
        <v>0.222</v>
      </c>
      <c r="F10" s="30"/>
      <c r="G10" s="30">
        <f>'[18]3#钢筋'!S72</f>
        <v>0</v>
      </c>
      <c r="H10" s="30">
        <f>'[18]5#钢筋 '!S23</f>
        <v>0</v>
      </c>
      <c r="I10" s="30">
        <f>'[18]11#钢筋 '!S87</f>
        <v>0</v>
      </c>
      <c r="J10" s="30">
        <f>'[18]13#钢筋 '!S77</f>
        <v>0</v>
      </c>
      <c r="K10" s="30">
        <f>'[17]6#钢筋'!D126</f>
        <v>0.222</v>
      </c>
      <c r="L10" s="30">
        <f>'[17]7#钢筋 '!D140</f>
        <v>0</v>
      </c>
      <c r="M10" s="30">
        <f>'[17]8#钢筋 '!D192</f>
        <v>0</v>
      </c>
      <c r="N10" s="30">
        <f>'[17]9#钢筋  '!D132</f>
        <v>0</v>
      </c>
      <c r="O10" s="30">
        <f>'[17]10#钢筋 '!J72</f>
        <v>0</v>
      </c>
      <c r="P10" s="30">
        <f>'[17]12#钢筋'!J72</f>
        <v>0</v>
      </c>
    </row>
    <row r="11" spans="1:16">
      <c r="A11" s="29">
        <v>9</v>
      </c>
      <c r="B11" s="30" t="s">
        <v>137</v>
      </c>
      <c r="C11" s="30" t="s">
        <v>138</v>
      </c>
      <c r="D11" s="29" t="s">
        <v>45</v>
      </c>
      <c r="E11" s="33">
        <f t="shared" ref="E11:E23" si="1">SUM(G11:P11)</f>
        <v>194.88</v>
      </c>
      <c r="F11" s="30"/>
      <c r="G11" s="30">
        <f>'[18]3#钢筋'!S74</f>
        <v>4.28</v>
      </c>
      <c r="H11" s="30">
        <f>'[18]5#钢筋 '!S25</f>
        <v>0</v>
      </c>
      <c r="I11" s="30">
        <f>'[18]11#钢筋 '!S89</f>
        <v>8.57</v>
      </c>
      <c r="J11" s="30">
        <f>'[18]13#钢筋 '!S79</f>
        <v>9.89</v>
      </c>
      <c r="K11" s="30">
        <f>'[17]6#钢筋'!D128</f>
        <v>28.91</v>
      </c>
      <c r="L11" s="30">
        <f>'[17]7#钢筋 '!D142</f>
        <v>31.86</v>
      </c>
      <c r="M11" s="30">
        <f>'[17]8#钢筋 '!D194</f>
        <v>49.36</v>
      </c>
      <c r="N11" s="30">
        <f>'[17]9#钢筋  '!D134</f>
        <v>35.21</v>
      </c>
      <c r="O11" s="30">
        <f>'[17]10#钢筋 '!J74</f>
        <v>13.4</v>
      </c>
      <c r="P11" s="30">
        <f>'[17]12#钢筋'!J74</f>
        <v>13.4</v>
      </c>
    </row>
    <row r="12" spans="1:16">
      <c r="A12" s="29">
        <v>10</v>
      </c>
      <c r="B12" s="30"/>
      <c r="C12" s="30" t="s">
        <v>139</v>
      </c>
      <c r="D12" s="29" t="s">
        <v>45</v>
      </c>
      <c r="E12" s="33">
        <f t="shared" si="1"/>
        <v>208.99</v>
      </c>
      <c r="F12" s="30"/>
      <c r="G12" s="30">
        <f>'[18]3#钢筋'!S75</f>
        <v>5.12</v>
      </c>
      <c r="H12" s="30">
        <f>'[18]5#钢筋 '!S26</f>
        <v>9.18</v>
      </c>
      <c r="I12" s="30">
        <f>'[18]11#钢筋 '!S90</f>
        <v>18.83</v>
      </c>
      <c r="J12" s="30">
        <f>'[18]13#钢筋 '!S80</f>
        <v>18.12</v>
      </c>
      <c r="K12" s="30">
        <f>'[17]6#钢筋'!D129</f>
        <v>33.36</v>
      </c>
      <c r="L12" s="30">
        <f>'[17]7#钢筋 '!D143</f>
        <v>18.06</v>
      </c>
      <c r="M12" s="30">
        <f>'[17]8#钢筋 '!D195</f>
        <v>47.14</v>
      </c>
      <c r="N12" s="30">
        <f>'[17]9#钢筋  '!D135</f>
        <v>22.5</v>
      </c>
      <c r="O12" s="30">
        <f>'[17]10#钢筋 '!J75</f>
        <v>18.34</v>
      </c>
      <c r="P12" s="30">
        <f>'[17]12#钢筋'!J75</f>
        <v>18.34</v>
      </c>
    </row>
    <row r="13" spans="1:16">
      <c r="A13" s="29">
        <v>11</v>
      </c>
      <c r="B13" s="30"/>
      <c r="C13" s="30" t="s">
        <v>135</v>
      </c>
      <c r="D13" s="29" t="s">
        <v>45</v>
      </c>
      <c r="E13" s="33">
        <f t="shared" si="1"/>
        <v>19.32</v>
      </c>
      <c r="F13" s="30"/>
      <c r="G13" s="30">
        <f>'[18]3#钢筋'!S76</f>
        <v>0</v>
      </c>
      <c r="H13" s="30">
        <f>'[18]5#钢筋 '!S27</f>
        <v>0</v>
      </c>
      <c r="I13" s="30">
        <f>'[18]11#钢筋 '!S91</f>
        <v>0</v>
      </c>
      <c r="J13" s="30">
        <f>'[18]13#钢筋 '!S81</f>
        <v>0</v>
      </c>
      <c r="K13" s="30">
        <f>'[17]6#钢筋'!D130</f>
        <v>2.88</v>
      </c>
      <c r="L13" s="30">
        <f>'[17]7#钢筋 '!D144</f>
        <v>3.84</v>
      </c>
      <c r="M13" s="30">
        <f>'[17]8#钢筋 '!D196</f>
        <v>7.8</v>
      </c>
      <c r="N13" s="30">
        <f>'[17]9#钢筋  '!D136</f>
        <v>4.8</v>
      </c>
      <c r="O13" s="30">
        <f>'[17]10#钢筋 '!J76</f>
        <v>0</v>
      </c>
      <c r="P13" s="30">
        <f>'[17]12#钢筋'!J76</f>
        <v>0</v>
      </c>
    </row>
    <row r="14" spans="1:16">
      <c r="A14" s="29">
        <v>12</v>
      </c>
      <c r="B14" s="30"/>
      <c r="C14" s="30" t="s">
        <v>140</v>
      </c>
      <c r="D14" s="29" t="s">
        <v>45</v>
      </c>
      <c r="E14" s="33">
        <f t="shared" si="1"/>
        <v>2.4</v>
      </c>
      <c r="F14" s="30"/>
      <c r="G14" s="30">
        <f>'[18]3#钢筋'!S77</f>
        <v>0</v>
      </c>
      <c r="H14" s="30">
        <f>'[18]5#钢筋 '!S28</f>
        <v>0</v>
      </c>
      <c r="I14" s="30">
        <f>'[18]11#钢筋 '!S92</f>
        <v>0</v>
      </c>
      <c r="J14" s="30">
        <f>'[18]13#钢筋 '!S82</f>
        <v>0</v>
      </c>
      <c r="K14" s="30">
        <f>'[17]6#钢筋'!D131</f>
        <v>2.4</v>
      </c>
      <c r="L14" s="30">
        <f>'[17]7#钢筋 '!D145</f>
        <v>0</v>
      </c>
      <c r="M14" s="30">
        <f>'[17]8#钢筋 '!D197</f>
        <v>0</v>
      </c>
      <c r="N14" s="30">
        <f>'[17]9#钢筋  '!D137</f>
        <v>0</v>
      </c>
      <c r="O14" s="30">
        <f>'[17]10#钢筋 '!J77</f>
        <v>0</v>
      </c>
      <c r="P14" s="30">
        <f>'[17]12#钢筋'!J77</f>
        <v>0</v>
      </c>
    </row>
    <row r="15" spans="1:16">
      <c r="A15" s="29">
        <v>13</v>
      </c>
      <c r="B15" s="30" t="s">
        <v>141</v>
      </c>
      <c r="C15" s="30"/>
      <c r="D15" s="29" t="s">
        <v>36</v>
      </c>
      <c r="E15" s="38">
        <f t="shared" si="1"/>
        <v>394.43</v>
      </c>
      <c r="F15" s="30"/>
      <c r="G15" s="30">
        <f>'[18]3#砌筑'!D76</f>
        <v>22.95</v>
      </c>
      <c r="H15" s="30">
        <f>'[18]5#砌筑 '!D28</f>
        <v>22.44</v>
      </c>
      <c r="I15" s="30">
        <f>'[18]11#砌筑'!D76</f>
        <v>34.74</v>
      </c>
      <c r="J15" s="30">
        <f>'[18]13#砌筑'!D76</f>
        <v>33.7</v>
      </c>
      <c r="K15" s="30">
        <f>'[17]6#砌筑'!D86</f>
        <v>59.33</v>
      </c>
      <c r="L15" s="30">
        <f>'[17]7#砌筑'!D98</f>
        <v>27.1</v>
      </c>
      <c r="M15" s="30">
        <f>'[17]8#砌筑 '!D150</f>
        <v>69.24</v>
      </c>
      <c r="N15" s="30">
        <f>'[17]9#砌筑'!D89</f>
        <v>33.87</v>
      </c>
      <c r="O15" s="30">
        <f>'[17]10#砌筑'!D58</f>
        <v>45.53</v>
      </c>
      <c r="P15" s="30">
        <f>O15</f>
        <v>45.53</v>
      </c>
    </row>
    <row r="16" spans="1:6">
      <c r="A16" s="29">
        <v>14</v>
      </c>
      <c r="B16" s="30" t="s">
        <v>142</v>
      </c>
      <c r="C16" s="30"/>
      <c r="D16" s="29" t="s">
        <v>45</v>
      </c>
      <c r="E16" s="33">
        <f>SUM(E22:E23)/2</f>
        <v>2336.107</v>
      </c>
      <c r="F16" s="30"/>
    </row>
    <row r="17" spans="1:16">
      <c r="A17" s="29">
        <v>15</v>
      </c>
      <c r="B17" s="30" t="s">
        <v>143</v>
      </c>
      <c r="C17" s="30"/>
      <c r="D17" s="29" t="s">
        <v>36</v>
      </c>
      <c r="E17" s="33">
        <f t="shared" ref="E17:E23" si="2">SUM(G17:P17)</f>
        <v>17.153</v>
      </c>
      <c r="F17" s="30"/>
      <c r="G17" s="30">
        <f>'[18]3#砌筑'!D77</f>
        <v>1.21</v>
      </c>
      <c r="H17" s="30">
        <f>'[18]5#砌筑 '!D29</f>
        <v>0.69</v>
      </c>
      <c r="I17" s="30">
        <f>'[18]11#砌筑'!D77</f>
        <v>1.48</v>
      </c>
      <c r="J17" s="30">
        <f>'[18]13#砌筑'!D77</f>
        <v>1.41</v>
      </c>
      <c r="K17" s="30">
        <f>'[17]6#砌筑'!D87</f>
        <v>2.73</v>
      </c>
      <c r="L17" s="30">
        <f>'[17]7#砌筑'!D99</f>
        <v>1.32</v>
      </c>
      <c r="M17" s="30">
        <f>'[17]8#砌筑 '!D151</f>
        <v>3.4</v>
      </c>
      <c r="N17" s="30">
        <f>'[17]9#砌筑'!D90</f>
        <v>1.613</v>
      </c>
      <c r="O17" s="30">
        <f>'[17]10#砌筑'!D59</f>
        <v>1.65</v>
      </c>
      <c r="P17" s="30">
        <f>O17</f>
        <v>1.65</v>
      </c>
    </row>
    <row r="18" spans="1:16">
      <c r="A18" s="29">
        <v>16</v>
      </c>
      <c r="B18" s="30" t="s">
        <v>144</v>
      </c>
      <c r="C18" s="30" t="s">
        <v>133</v>
      </c>
      <c r="D18" s="29" t="s">
        <v>36</v>
      </c>
      <c r="E18" s="33">
        <f t="shared" si="2"/>
        <v>33.48</v>
      </c>
      <c r="F18" s="30"/>
      <c r="G18" s="30">
        <f>'[18]3#砌筑'!D78</f>
        <v>2.08</v>
      </c>
      <c r="H18" s="30">
        <f>'[18]5#砌筑 '!D30</f>
        <v>1.38</v>
      </c>
      <c r="I18" s="30">
        <f>'[18]11#砌筑'!D78</f>
        <v>2.95</v>
      </c>
      <c r="J18" s="30">
        <f>'[18]13#砌筑'!D78</f>
        <v>2.82</v>
      </c>
      <c r="K18" s="30">
        <f>'[17]6#砌筑'!D88</f>
        <v>5.13</v>
      </c>
      <c r="L18" s="30">
        <f>'[17]7#砌筑'!D100</f>
        <v>2.49</v>
      </c>
      <c r="M18" s="30">
        <f>'[17]8#砌筑 '!D152</f>
        <v>6.81</v>
      </c>
      <c r="N18" s="30">
        <f>'[17]9#砌筑'!D91</f>
        <v>3.22</v>
      </c>
      <c r="O18" s="30">
        <f>'[17]10#砌筑'!D60</f>
        <v>3.3</v>
      </c>
      <c r="P18" s="30">
        <f>O18</f>
        <v>3.3</v>
      </c>
    </row>
    <row r="19" spans="1:16">
      <c r="A19" s="29">
        <v>17</v>
      </c>
      <c r="B19" s="30" t="s">
        <v>123</v>
      </c>
      <c r="C19" s="31" t="s">
        <v>131</v>
      </c>
      <c r="D19" s="29" t="s">
        <v>31</v>
      </c>
      <c r="E19" s="33">
        <f t="shared" si="2"/>
        <v>5464</v>
      </c>
      <c r="F19" s="30"/>
      <c r="G19" s="30">
        <f>'[18]3#砌筑'!E79</f>
        <v>292</v>
      </c>
      <c r="H19" s="30">
        <f>'[18]5#砌筑 '!E31</f>
        <v>320</v>
      </c>
      <c r="I19" s="30">
        <f>'[18]11#砌筑'!E79</f>
        <v>372</v>
      </c>
      <c r="J19" s="30">
        <f>'[18]13#砌筑'!E79</f>
        <v>388</v>
      </c>
      <c r="K19" s="30">
        <f>'[17]6#砌筑'!$E$89</f>
        <v>968</v>
      </c>
      <c r="L19" s="30">
        <f>'[17]7#砌筑'!$E$101</f>
        <v>464</v>
      </c>
      <c r="M19" s="30">
        <f>'[17]8#砌筑 '!$E$153</f>
        <v>1104</v>
      </c>
      <c r="N19" s="30">
        <f>'[17]9#砌筑'!$E$92</f>
        <v>828</v>
      </c>
      <c r="O19" s="30">
        <f>'[17]10#砌筑'!$E$61</f>
        <v>364</v>
      </c>
      <c r="P19" s="30">
        <f>O19</f>
        <v>364</v>
      </c>
    </row>
    <row r="20" spans="1:16">
      <c r="A20" s="29">
        <v>18</v>
      </c>
      <c r="B20" s="30" t="s">
        <v>145</v>
      </c>
      <c r="C20" s="31" t="s">
        <v>131</v>
      </c>
      <c r="D20" s="32" t="s">
        <v>129</v>
      </c>
      <c r="E20" s="33">
        <f t="shared" si="2"/>
        <v>2070.38</v>
      </c>
      <c r="F20" s="30"/>
      <c r="G20" s="30">
        <f>'[18]3#砌筑'!D80</f>
        <v>112.736</v>
      </c>
      <c r="H20" s="30">
        <f>'[18]5#砌筑 '!D32</f>
        <v>119.34</v>
      </c>
      <c r="I20" s="30">
        <f>'[18]11#砌筑'!D80</f>
        <v>168.012</v>
      </c>
      <c r="J20" s="30">
        <f>'[18]13#砌筑'!D80</f>
        <v>165.256</v>
      </c>
      <c r="K20" s="30">
        <f>'[17]6#砌筑'!D90</f>
        <v>313.3</v>
      </c>
      <c r="L20" s="30">
        <f>'[17]7#砌筑'!D102</f>
        <v>159.796</v>
      </c>
      <c r="M20" s="30">
        <f>'[17]8#砌筑 '!D154</f>
        <v>385.424</v>
      </c>
      <c r="N20" s="30">
        <f>'[17]9#砌筑'!D93</f>
        <v>243.932</v>
      </c>
      <c r="O20" s="30">
        <f>'[17]10#砌筑'!D62</f>
        <v>201.292</v>
      </c>
      <c r="P20" s="30">
        <f>O20</f>
        <v>201.292</v>
      </c>
    </row>
    <row r="21" spans="1:16">
      <c r="A21" s="29">
        <v>19</v>
      </c>
      <c r="B21" s="30" t="s">
        <v>50</v>
      </c>
      <c r="C21" s="30"/>
      <c r="D21" s="29" t="s">
        <v>45</v>
      </c>
      <c r="E21" s="33">
        <f t="shared" si="2"/>
        <v>299.35</v>
      </c>
      <c r="F21" s="30"/>
      <c r="G21" s="30">
        <f>'[18]3#砌筑'!D81</f>
        <v>18.87</v>
      </c>
      <c r="H21" s="30">
        <f>'[18]5#砌筑 '!D33</f>
        <v>11.97</v>
      </c>
      <c r="I21" s="30">
        <f>'[18]11#砌筑'!D81</f>
        <v>27.27</v>
      </c>
      <c r="J21" s="30">
        <f>'[18]13#砌筑'!D81</f>
        <v>26.07</v>
      </c>
      <c r="K21" s="30">
        <f>'[17]6#砌筑'!D91</f>
        <v>49.89</v>
      </c>
      <c r="L21" s="30">
        <f>'[17]7#砌筑'!D103</f>
        <v>24.51</v>
      </c>
      <c r="M21" s="30">
        <f>'[17]8#砌筑 '!D155</f>
        <v>63.84</v>
      </c>
      <c r="N21" s="30">
        <f>'[17]9#砌筑'!D94</f>
        <v>27.99</v>
      </c>
      <c r="O21" s="30">
        <f>'[17]10#砌筑'!D63</f>
        <v>24.47</v>
      </c>
      <c r="P21" s="30">
        <f>O21</f>
        <v>24.47</v>
      </c>
    </row>
    <row r="22" spans="1:18">
      <c r="A22" s="29">
        <v>20</v>
      </c>
      <c r="B22" s="30" t="s">
        <v>146</v>
      </c>
      <c r="C22" s="30"/>
      <c r="D22" s="29" t="s">
        <v>45</v>
      </c>
      <c r="E22" s="33">
        <f t="shared" si="2"/>
        <v>1296.94</v>
      </c>
      <c r="F22" s="30"/>
      <c r="G22" s="30">
        <f>'[18]3#抹灰 '!C50</f>
        <v>109.96</v>
      </c>
      <c r="H22" s="30">
        <f>'[18]5#抹灰'!C9</f>
        <v>0</v>
      </c>
      <c r="I22" s="30">
        <f>'[18]11#抹灰 '!C50</f>
        <v>161.34</v>
      </c>
      <c r="J22" s="30">
        <f>'[18]13#抹灰'!C50</f>
        <v>147.29</v>
      </c>
      <c r="K22" s="30">
        <f>'[17]6#抹灰'!C31</f>
        <v>220.55</v>
      </c>
      <c r="L22" s="30">
        <f>'[17]7#抹灰'!C36</f>
        <v>118.33</v>
      </c>
      <c r="M22" s="30">
        <f>'[17]8#抹灰 '!C53</f>
        <v>315.3</v>
      </c>
      <c r="N22" s="30">
        <f>'[17]9#抹灰'!C54</f>
        <v>96.73</v>
      </c>
      <c r="O22" s="30">
        <f>'[17]10#抹灰 '!C51</f>
        <v>63.72</v>
      </c>
      <c r="P22" s="30">
        <f>'[17]12#抹灰 '!C51</f>
        <v>63.72</v>
      </c>
      <c r="R22" s="25">
        <f>E22+E23</f>
        <v>4672.214</v>
      </c>
    </row>
    <row r="23" spans="1:18">
      <c r="A23" s="29">
        <v>21</v>
      </c>
      <c r="B23" s="30" t="s">
        <v>147</v>
      </c>
      <c r="C23" s="30"/>
      <c r="D23" s="29" t="s">
        <v>45</v>
      </c>
      <c r="E23" s="37">
        <f t="shared" si="2"/>
        <v>3375.274</v>
      </c>
      <c r="F23" s="30"/>
      <c r="G23" s="30">
        <f>'[18]3#抹灰 '!C51</f>
        <v>177.48</v>
      </c>
      <c r="H23" s="30">
        <f>'[18]5#抹灰'!C10</f>
        <v>214.884</v>
      </c>
      <c r="I23" s="30">
        <f>'[18]11#抹灰 '!C51</f>
        <v>260.87</v>
      </c>
      <c r="J23" s="30">
        <f>'[18]13#抹灰'!C51</f>
        <v>236.47</v>
      </c>
      <c r="K23" s="30">
        <f>'[17]6#抹灰'!C32</f>
        <v>466.38</v>
      </c>
      <c r="L23" s="30">
        <f>'[17]7#抹灰'!C37</f>
        <v>223.17</v>
      </c>
      <c r="M23" s="30">
        <f>'[17]8#抹灰 '!C54</f>
        <v>591.18</v>
      </c>
      <c r="N23" s="30">
        <f>'[17]9#抹灰'!C55</f>
        <v>433.84</v>
      </c>
      <c r="O23" s="30">
        <f>'[17]10#抹灰 '!C52</f>
        <v>385.5</v>
      </c>
      <c r="P23" s="30">
        <f>'[17]12#抹灰 '!C52</f>
        <v>385.5</v>
      </c>
      <c r="R23" s="25">
        <f>R22/2</f>
        <v>2336.107</v>
      </c>
    </row>
    <row r="24" spans="1:6">
      <c r="A24" s="29">
        <v>22</v>
      </c>
      <c r="B24" s="30" t="s">
        <v>148</v>
      </c>
      <c r="C24" s="30"/>
      <c r="D24" s="29" t="s">
        <v>45</v>
      </c>
      <c r="E24" s="33">
        <f>E22+E23</f>
        <v>4672.214</v>
      </c>
      <c r="F24" s="30"/>
    </row>
    <row r="25" spans="1:6">
      <c r="A25" s="29">
        <v>23</v>
      </c>
      <c r="B25" s="30" t="s">
        <v>149</v>
      </c>
      <c r="C25" s="30"/>
      <c r="D25" s="29" t="s">
        <v>45</v>
      </c>
      <c r="E25" s="33">
        <f>SUM(E22:E23)</f>
        <v>4672.214</v>
      </c>
      <c r="F25" s="30"/>
    </row>
    <row r="26" spans="1:16">
      <c r="A26" s="29">
        <v>24</v>
      </c>
      <c r="B26" s="30" t="s">
        <v>150</v>
      </c>
      <c r="C26" s="30"/>
      <c r="D26" s="29" t="s">
        <v>36</v>
      </c>
      <c r="E26" s="30">
        <f>SUM(G26:P26)</f>
        <v>18.626</v>
      </c>
      <c r="F26" s="30"/>
      <c r="G26" s="30">
        <f>'[18]3#钢筋'!S73</f>
        <v>0</v>
      </c>
      <c r="H26" s="30">
        <f>'[18]5#钢筋 '!S24</f>
        <v>0</v>
      </c>
      <c r="I26" s="30">
        <f>'[18]11#钢筋 '!S88</f>
        <v>0</v>
      </c>
      <c r="J26" s="30">
        <f>'[18]13#钢筋 '!S78</f>
        <v>0</v>
      </c>
      <c r="K26" s="30">
        <f>'[17]6#钢筋'!D127</f>
        <v>0.504</v>
      </c>
      <c r="L26" s="30">
        <f>'[17]7#钢筋 '!D141</f>
        <v>0.252</v>
      </c>
      <c r="M26" s="30">
        <f>'[17]8#钢筋 '!D193</f>
        <v>8.14</v>
      </c>
      <c r="N26" s="30">
        <f>'[17]9#钢筋  '!D133</f>
        <v>9.73</v>
      </c>
      <c r="O26" s="30">
        <f>'[17]10#钢筋 '!J73</f>
        <v>0</v>
      </c>
      <c r="P26" s="30">
        <f>'[17]12#钢筋'!J73</f>
        <v>0</v>
      </c>
    </row>
    <row r="27" spans="1:16">
      <c r="A27" s="29">
        <v>25</v>
      </c>
      <c r="B27" s="30" t="s">
        <v>151</v>
      </c>
      <c r="C27" s="30" t="s">
        <v>152</v>
      </c>
      <c r="D27" s="29" t="s">
        <v>65</v>
      </c>
      <c r="E27" s="30">
        <v>1</v>
      </c>
      <c r="F27" s="30"/>
      <c r="G27" s="30"/>
      <c r="H27" s="30">
        <f>1.2*2.1</f>
        <v>2.52</v>
      </c>
      <c r="I27" s="30"/>
      <c r="J27" s="30"/>
      <c r="K27" s="30"/>
      <c r="L27" s="30"/>
      <c r="M27" s="30"/>
      <c r="N27" s="30"/>
      <c r="O27" s="30"/>
      <c r="P27" s="30"/>
    </row>
  </sheetData>
  <mergeCells count="1">
    <mergeCell ref="A1:F1"/>
  </mergeCells>
  <pageMargins left="0.75" right="0.75" top="1" bottom="1" header="0.5" footer="0.5"/>
  <headerFooter/>
  <ignoredErrors>
    <ignoredError sqref="E16" 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96"/>
  <sheetViews>
    <sheetView zoomScale="145" zoomScaleNormal="145" workbookViewId="0">
      <pane xSplit="3" ySplit="2" topLeftCell="D3" activePane="bottomRight" state="frozen"/>
      <selection/>
      <selection pane="topRight"/>
      <selection pane="bottomLeft"/>
      <selection pane="bottomRight" activeCell="D108" sqref="D108"/>
    </sheetView>
  </sheetViews>
  <sheetFormatPr defaultColWidth="9.14285714285714" defaultRowHeight="20" customHeight="1"/>
  <cols>
    <col min="1" max="1" width="4.52380952380952" style="1" customWidth="1"/>
    <col min="2" max="3" width="10.8571428571429" style="1" customWidth="1"/>
    <col min="4" max="4" width="26.2857142857143" style="1" customWidth="1"/>
    <col min="5" max="8" width="6.14285714285714" style="1" customWidth="1"/>
    <col min="9" max="9" width="10.5428571428571" style="2" customWidth="1"/>
    <col min="10" max="10" width="8.42857142857143" style="2" customWidth="1"/>
    <col min="11" max="11" width="13.4285714285714" style="2" customWidth="1"/>
    <col min="12" max="12" width="8.42857142857143" style="2" customWidth="1"/>
    <col min="13" max="15" width="15.8571428571429" style="1" customWidth="1"/>
    <col min="16" max="16384" width="9.14285714285714" style="1"/>
  </cols>
  <sheetData>
    <row r="1" customHeight="1" spans="2:10">
      <c r="B1" s="3" t="s">
        <v>153</v>
      </c>
      <c r="C1" s="3" t="s">
        <v>154</v>
      </c>
      <c r="D1" s="3" t="s">
        <v>2</v>
      </c>
      <c r="E1" s="3" t="s">
        <v>10</v>
      </c>
      <c r="F1" s="4" t="s">
        <v>155</v>
      </c>
      <c r="G1" s="4"/>
      <c r="H1" s="4"/>
      <c r="I1" s="8"/>
      <c r="J1" s="8" t="s">
        <v>156</v>
      </c>
    </row>
    <row r="2" customHeight="1" spans="2:10">
      <c r="B2" s="5"/>
      <c r="C2" s="5"/>
      <c r="D2" s="5"/>
      <c r="E2" s="5"/>
      <c r="F2" s="4" t="s">
        <v>157</v>
      </c>
      <c r="G2" s="4" t="s">
        <v>158</v>
      </c>
      <c r="H2" s="4" t="s">
        <v>159</v>
      </c>
      <c r="I2" s="8" t="s">
        <v>160</v>
      </c>
      <c r="J2" s="8"/>
    </row>
    <row r="3" hidden="1" customHeight="1" spans="2:13">
      <c r="B3" s="4" t="s">
        <v>161</v>
      </c>
      <c r="C3" s="4" t="s">
        <v>162</v>
      </c>
      <c r="D3" s="4" t="s">
        <v>163</v>
      </c>
      <c r="E3" s="4" t="s">
        <v>164</v>
      </c>
      <c r="F3" s="4">
        <v>1.7</v>
      </c>
      <c r="G3" s="4">
        <v>1.2</v>
      </c>
      <c r="H3" s="4">
        <v>1.1</v>
      </c>
      <c r="I3" s="8">
        <f>+F3*G3*H3</f>
        <v>2.244</v>
      </c>
      <c r="J3" s="8">
        <v>36</v>
      </c>
      <c r="K3" s="9">
        <f t="shared" ref="K3:K29" si="0">+I3*J3</f>
        <v>80.784</v>
      </c>
      <c r="M3" s="1" t="s">
        <v>165</v>
      </c>
    </row>
    <row r="4" hidden="1" customHeight="1" spans="2:11">
      <c r="B4" s="4"/>
      <c r="C4" s="4"/>
      <c r="D4" s="4" t="s">
        <v>166</v>
      </c>
      <c r="E4" s="4" t="s">
        <v>164</v>
      </c>
      <c r="F4" s="4"/>
      <c r="G4" s="4"/>
      <c r="H4" s="4"/>
      <c r="I4" s="8">
        <f>+I3-I7-I10</f>
        <v>1.6357</v>
      </c>
      <c r="J4" s="8">
        <v>36</v>
      </c>
      <c r="K4" s="10">
        <f t="shared" si="0"/>
        <v>58.8852</v>
      </c>
    </row>
    <row r="5" hidden="1" customHeight="1" spans="2:11">
      <c r="B5" s="4"/>
      <c r="C5" s="4"/>
      <c r="D5" s="4" t="s">
        <v>167</v>
      </c>
      <c r="E5" s="4" t="s">
        <v>168</v>
      </c>
      <c r="F5" s="4">
        <v>1.7</v>
      </c>
      <c r="G5" s="4">
        <v>1.2</v>
      </c>
      <c r="H5" s="4"/>
      <c r="I5" s="8">
        <f>+F5*G5</f>
        <v>2.04</v>
      </c>
      <c r="J5" s="8">
        <v>36</v>
      </c>
      <c r="K5" s="11">
        <f t="shared" si="0"/>
        <v>73.44</v>
      </c>
    </row>
    <row r="6" hidden="1" customHeight="1" spans="2:11">
      <c r="B6" s="4"/>
      <c r="C6" s="4"/>
      <c r="D6" s="4" t="s">
        <v>169</v>
      </c>
      <c r="E6" s="4" t="s">
        <v>164</v>
      </c>
      <c r="F6" s="4"/>
      <c r="G6" s="4"/>
      <c r="H6" s="4"/>
      <c r="I6" s="8">
        <f>1.4*1.2*0.1</f>
        <v>0.168</v>
      </c>
      <c r="J6" s="8">
        <v>36</v>
      </c>
      <c r="K6" s="12">
        <f t="shared" si="0"/>
        <v>6.048</v>
      </c>
    </row>
    <row r="7" hidden="1" customHeight="1" spans="2:11">
      <c r="B7" s="4"/>
      <c r="C7" s="4"/>
      <c r="D7" s="4" t="s">
        <v>170</v>
      </c>
      <c r="E7" s="4" t="s">
        <v>164</v>
      </c>
      <c r="F7" s="4"/>
      <c r="G7" s="4"/>
      <c r="H7" s="4"/>
      <c r="I7" s="8">
        <v>0.432</v>
      </c>
      <c r="J7" s="8">
        <v>36</v>
      </c>
      <c r="K7" s="13">
        <f t="shared" si="0"/>
        <v>15.552</v>
      </c>
    </row>
    <row r="8" hidden="1" customHeight="1" spans="2:11">
      <c r="B8" s="4"/>
      <c r="C8" s="4"/>
      <c r="D8" s="4" t="s">
        <v>171</v>
      </c>
      <c r="E8" s="4" t="s">
        <v>168</v>
      </c>
      <c r="F8" s="4"/>
      <c r="G8" s="4"/>
      <c r="H8" s="4"/>
      <c r="I8" s="8">
        <v>1.44</v>
      </c>
      <c r="J8" s="8">
        <v>36</v>
      </c>
      <c r="K8" s="14">
        <f t="shared" si="0"/>
        <v>51.84</v>
      </c>
    </row>
    <row r="9" hidden="1" customHeight="1" spans="2:11">
      <c r="B9" s="4"/>
      <c r="C9" s="4"/>
      <c r="D9" s="4" t="s">
        <v>128</v>
      </c>
      <c r="E9" s="4" t="s">
        <v>172</v>
      </c>
      <c r="F9" s="4"/>
      <c r="G9" s="4"/>
      <c r="H9" s="4"/>
      <c r="I9" s="8">
        <v>9.59</v>
      </c>
      <c r="J9" s="8">
        <v>36</v>
      </c>
      <c r="K9" s="15">
        <f t="shared" si="0"/>
        <v>345.24</v>
      </c>
    </row>
    <row r="10" hidden="1" customHeight="1" spans="2:11">
      <c r="B10" s="4"/>
      <c r="C10" s="3" t="s">
        <v>173</v>
      </c>
      <c r="D10" s="4" t="s">
        <v>174</v>
      </c>
      <c r="E10" s="4" t="s">
        <v>164</v>
      </c>
      <c r="F10" s="4"/>
      <c r="G10" s="4"/>
      <c r="H10" s="4"/>
      <c r="I10" s="8">
        <v>0.1763</v>
      </c>
      <c r="J10" s="8">
        <v>36</v>
      </c>
      <c r="K10" s="13">
        <f t="shared" si="0"/>
        <v>6.3468</v>
      </c>
    </row>
    <row r="11" hidden="1" customHeight="1" spans="2:11">
      <c r="B11" s="4"/>
      <c r="C11" s="6"/>
      <c r="D11" s="4" t="s">
        <v>175</v>
      </c>
      <c r="E11" s="4" t="s">
        <v>168</v>
      </c>
      <c r="F11" s="4"/>
      <c r="G11" s="4"/>
      <c r="H11" s="4"/>
      <c r="I11" s="8">
        <v>2.9376</v>
      </c>
      <c r="J11" s="8">
        <v>36</v>
      </c>
      <c r="K11" s="14">
        <f t="shared" si="0"/>
        <v>105.7536</v>
      </c>
    </row>
    <row r="12" hidden="1" customHeight="1" spans="2:11">
      <c r="B12" s="4"/>
      <c r="C12" s="6"/>
      <c r="D12" s="4" t="s">
        <v>128</v>
      </c>
      <c r="E12" s="4" t="s">
        <v>172</v>
      </c>
      <c r="F12" s="4"/>
      <c r="G12" s="4"/>
      <c r="H12" s="4"/>
      <c r="I12" s="8">
        <v>54.5</v>
      </c>
      <c r="J12" s="8">
        <v>36</v>
      </c>
      <c r="K12" s="15">
        <f t="shared" si="0"/>
        <v>1962</v>
      </c>
    </row>
    <row r="13" hidden="1" customHeight="1" spans="2:11">
      <c r="B13" s="4"/>
      <c r="C13" s="3" t="s">
        <v>176</v>
      </c>
      <c r="D13" s="4" t="s">
        <v>177</v>
      </c>
      <c r="E13" s="4" t="s">
        <v>164</v>
      </c>
      <c r="F13" s="4"/>
      <c r="G13" s="4"/>
      <c r="H13" s="4"/>
      <c r="I13" s="8">
        <v>3.1281</v>
      </c>
      <c r="J13" s="8">
        <v>16</v>
      </c>
      <c r="K13" s="16">
        <f t="shared" si="0"/>
        <v>50.0496</v>
      </c>
    </row>
    <row r="14" hidden="1" customHeight="1" spans="2:11">
      <c r="B14" s="4"/>
      <c r="C14" s="6"/>
      <c r="D14" s="4" t="s">
        <v>178</v>
      </c>
      <c r="E14" s="4" t="s">
        <v>164</v>
      </c>
      <c r="F14" s="4"/>
      <c r="G14" s="4"/>
      <c r="H14" s="4"/>
      <c r="I14" s="8">
        <v>0.93</v>
      </c>
      <c r="J14" s="8">
        <v>16</v>
      </c>
      <c r="K14" s="13">
        <f t="shared" si="0"/>
        <v>14.88</v>
      </c>
    </row>
    <row r="15" hidden="1" customHeight="1" spans="2:11">
      <c r="B15" s="4"/>
      <c r="C15" s="6"/>
      <c r="D15" s="4" t="s">
        <v>46</v>
      </c>
      <c r="E15" s="4" t="s">
        <v>168</v>
      </c>
      <c r="F15" s="4"/>
      <c r="G15" s="4"/>
      <c r="H15" s="4"/>
      <c r="I15" s="8">
        <v>7.74</v>
      </c>
      <c r="J15" s="8">
        <v>16</v>
      </c>
      <c r="K15" s="14">
        <f t="shared" si="0"/>
        <v>123.84</v>
      </c>
    </row>
    <row r="16" hidden="1" customHeight="1" spans="2:11">
      <c r="B16" s="4"/>
      <c r="C16" s="6"/>
      <c r="D16" s="4" t="s">
        <v>128</v>
      </c>
      <c r="E16" s="4" t="s">
        <v>172</v>
      </c>
      <c r="F16" s="4"/>
      <c r="G16" s="4"/>
      <c r="H16" s="4"/>
      <c r="I16" s="8">
        <v>92.8</v>
      </c>
      <c r="J16" s="8">
        <v>16</v>
      </c>
      <c r="K16" s="15">
        <f t="shared" si="0"/>
        <v>1484.8</v>
      </c>
    </row>
    <row r="17" hidden="1" customHeight="1" spans="2:13">
      <c r="B17" s="4"/>
      <c r="C17" s="6"/>
      <c r="D17" s="4" t="s">
        <v>163</v>
      </c>
      <c r="E17" s="4" t="s">
        <v>164</v>
      </c>
      <c r="F17" s="4">
        <v>0.98</v>
      </c>
      <c r="G17" s="4">
        <v>3.88</v>
      </c>
      <c r="H17" s="4">
        <v>1.1</v>
      </c>
      <c r="I17" s="8">
        <f>+F17*G17*H17</f>
        <v>4.18264</v>
      </c>
      <c r="J17" s="8">
        <v>16</v>
      </c>
      <c r="K17" s="9">
        <f t="shared" si="0"/>
        <v>66.92224</v>
      </c>
      <c r="M17" s="1" t="s">
        <v>165</v>
      </c>
    </row>
    <row r="18" hidden="1" customHeight="1" spans="2:11">
      <c r="B18" s="4"/>
      <c r="C18" s="6"/>
      <c r="D18" s="4" t="s">
        <v>166</v>
      </c>
      <c r="E18" s="4" t="s">
        <v>164</v>
      </c>
      <c r="F18" s="4"/>
      <c r="G18" s="4"/>
      <c r="H18" s="4"/>
      <c r="I18" s="8">
        <f>+O26</f>
        <v>2.702032</v>
      </c>
      <c r="J18" s="8">
        <v>16</v>
      </c>
      <c r="K18" s="10">
        <f t="shared" si="0"/>
        <v>43.232512</v>
      </c>
    </row>
    <row r="19" hidden="1" customHeight="1" spans="2:11">
      <c r="B19" s="4"/>
      <c r="C19" s="6"/>
      <c r="D19" s="4" t="s">
        <v>167</v>
      </c>
      <c r="E19" s="4" t="s">
        <v>168</v>
      </c>
      <c r="F19" s="4"/>
      <c r="G19" s="4"/>
      <c r="H19" s="4"/>
      <c r="I19" s="8">
        <f>0.68*3.88</f>
        <v>2.6384</v>
      </c>
      <c r="J19" s="8">
        <v>16</v>
      </c>
      <c r="K19" s="11">
        <f t="shared" si="0"/>
        <v>42.2144</v>
      </c>
    </row>
    <row r="20" hidden="1" customHeight="1" spans="2:11">
      <c r="B20" s="4"/>
      <c r="C20" s="6"/>
      <c r="D20" s="4" t="s">
        <v>169</v>
      </c>
      <c r="E20" s="4" t="s">
        <v>164</v>
      </c>
      <c r="F20" s="4"/>
      <c r="G20" s="4"/>
      <c r="H20" s="4"/>
      <c r="I20" s="8">
        <f>0.68*3.88*0.1</f>
        <v>0.26384</v>
      </c>
      <c r="J20" s="8">
        <v>16</v>
      </c>
      <c r="K20" s="12">
        <f t="shared" si="0"/>
        <v>4.22144</v>
      </c>
    </row>
    <row r="21" hidden="1" customHeight="1" spans="2:13">
      <c r="B21" s="4"/>
      <c r="C21" s="6"/>
      <c r="D21" s="4" t="s">
        <v>179</v>
      </c>
      <c r="E21" s="4" t="s">
        <v>168</v>
      </c>
      <c r="F21" s="4"/>
      <c r="G21" s="4">
        <v>5.32</v>
      </c>
      <c r="H21" s="4">
        <f>2.4*2+0.31</f>
        <v>5.11</v>
      </c>
      <c r="I21" s="8">
        <f>+G21*H21+0.31*2*2.4</f>
        <v>28.6732</v>
      </c>
      <c r="J21" s="8">
        <v>16</v>
      </c>
      <c r="K21" s="17">
        <f t="shared" si="0"/>
        <v>458.7712</v>
      </c>
      <c r="M21" s="1">
        <f>+K21+K57+K68+K81+K93</f>
        <v>857.8359</v>
      </c>
    </row>
    <row r="22" hidden="1" customHeight="1" spans="2:15">
      <c r="B22" s="4"/>
      <c r="C22" s="3" t="s">
        <v>180</v>
      </c>
      <c r="D22" s="4" t="s">
        <v>167</v>
      </c>
      <c r="E22" s="4" t="s">
        <v>168</v>
      </c>
      <c r="F22" s="4"/>
      <c r="G22" s="4">
        <v>4.52</v>
      </c>
      <c r="H22" s="4">
        <v>0.74</v>
      </c>
      <c r="I22" s="8">
        <f>+G22*H22</f>
        <v>3.3448</v>
      </c>
      <c r="J22" s="8">
        <v>16</v>
      </c>
      <c r="K22" s="11">
        <f t="shared" si="0"/>
        <v>53.5168</v>
      </c>
      <c r="N22" s="1">
        <f>1.4*0.1*1.2+1.2*0.3*1.2+0.28*0.7*1.2</f>
        <v>0.8352</v>
      </c>
      <c r="O22" s="1">
        <f>+I3-N22</f>
        <v>1.4088</v>
      </c>
    </row>
    <row r="23" hidden="1" customHeight="1" spans="2:11">
      <c r="B23" s="4"/>
      <c r="C23" s="6"/>
      <c r="D23" s="4" t="s">
        <v>169</v>
      </c>
      <c r="E23" s="4" t="s">
        <v>164</v>
      </c>
      <c r="F23" s="4"/>
      <c r="G23" s="4"/>
      <c r="H23" s="4"/>
      <c r="I23" s="8">
        <f>4.52*0.44*0.1</f>
        <v>0.19888</v>
      </c>
      <c r="J23" s="8">
        <v>13</v>
      </c>
      <c r="K23" s="12">
        <f t="shared" si="0"/>
        <v>2.58544</v>
      </c>
    </row>
    <row r="24" hidden="1" customHeight="1" spans="2:11">
      <c r="B24" s="4"/>
      <c r="C24" s="6"/>
      <c r="D24" s="4" t="s">
        <v>178</v>
      </c>
      <c r="E24" s="4" t="s">
        <v>164</v>
      </c>
      <c r="F24" s="4"/>
      <c r="G24" s="4"/>
      <c r="H24" s="4"/>
      <c r="I24" s="8">
        <v>0.53</v>
      </c>
      <c r="J24" s="8">
        <v>13</v>
      </c>
      <c r="K24" s="13">
        <f t="shared" si="0"/>
        <v>6.89</v>
      </c>
    </row>
    <row r="25" hidden="1" customHeight="1" spans="2:15">
      <c r="B25" s="4"/>
      <c r="C25" s="6"/>
      <c r="D25" s="4" t="s">
        <v>46</v>
      </c>
      <c r="E25" s="4" t="s">
        <v>168</v>
      </c>
      <c r="F25" s="4"/>
      <c r="G25" s="4"/>
      <c r="H25" s="4"/>
      <c r="I25" s="8">
        <v>4.38</v>
      </c>
      <c r="J25" s="8">
        <v>13</v>
      </c>
      <c r="K25" s="14">
        <f t="shared" si="0"/>
        <v>56.94</v>
      </c>
      <c r="N25" s="1">
        <f>0.68*0.1+0.48*0.12+0.36*0.12+0.28*0.76</f>
        <v>0.3816</v>
      </c>
      <c r="O25" s="1">
        <f>+N25*3.88</f>
        <v>1.480608</v>
      </c>
    </row>
    <row r="26" hidden="1" customHeight="1" spans="2:15">
      <c r="B26" s="4"/>
      <c r="C26" s="6"/>
      <c r="D26" s="4" t="s">
        <v>128</v>
      </c>
      <c r="E26" s="4" t="s">
        <v>172</v>
      </c>
      <c r="F26" s="4"/>
      <c r="G26" s="4"/>
      <c r="H26" s="4"/>
      <c r="I26" s="8">
        <v>98.92</v>
      </c>
      <c r="J26" s="8">
        <v>13</v>
      </c>
      <c r="K26" s="15">
        <f t="shared" si="0"/>
        <v>1285.96</v>
      </c>
      <c r="O26" s="1">
        <f>+I17-O25</f>
        <v>2.702032</v>
      </c>
    </row>
    <row r="27" hidden="1" customHeight="1" spans="2:11">
      <c r="B27" s="4"/>
      <c r="C27" s="5"/>
      <c r="D27" s="4" t="s">
        <v>181</v>
      </c>
      <c r="E27" s="4" t="s">
        <v>168</v>
      </c>
      <c r="F27" s="4"/>
      <c r="G27" s="4"/>
      <c r="H27" s="4"/>
      <c r="I27" s="8">
        <v>11.08</v>
      </c>
      <c r="J27" s="8">
        <v>13</v>
      </c>
      <c r="K27" s="18">
        <f t="shared" si="0"/>
        <v>144.04</v>
      </c>
    </row>
    <row r="28" hidden="1" customHeight="1" spans="2:15">
      <c r="B28" s="4" t="s">
        <v>161</v>
      </c>
      <c r="C28" s="4" t="s">
        <v>162</v>
      </c>
      <c r="D28" s="4" t="s">
        <v>163</v>
      </c>
      <c r="E28" s="4" t="s">
        <v>164</v>
      </c>
      <c r="F28" s="4">
        <v>1.5</v>
      </c>
      <c r="G28" s="4">
        <v>2.12</v>
      </c>
      <c r="H28" s="4">
        <v>1.1</v>
      </c>
      <c r="I28" s="8">
        <f>+F28*G28*H28</f>
        <v>3.498</v>
      </c>
      <c r="J28" s="8">
        <v>63</v>
      </c>
      <c r="K28" s="9">
        <f t="shared" ref="K28:K48" si="1">+I28*J28</f>
        <v>220.374</v>
      </c>
      <c r="M28" s="1">
        <f>600+620+600+100</f>
        <v>1920</v>
      </c>
      <c r="N28" s="1">
        <f>+M28*M29</f>
        <v>2496000</v>
      </c>
      <c r="O28" s="1">
        <f>+N28/1000000</f>
        <v>2.496</v>
      </c>
    </row>
    <row r="29" hidden="1" customHeight="1" spans="2:13">
      <c r="B29" s="4"/>
      <c r="C29" s="4"/>
      <c r="D29" s="4" t="s">
        <v>166</v>
      </c>
      <c r="E29" s="4" t="s">
        <v>164</v>
      </c>
      <c r="F29" s="4"/>
      <c r="G29" s="4"/>
      <c r="H29" s="4"/>
      <c r="I29" s="8">
        <f>+I28-I31-I32-I35-I39</f>
        <v>2.0716</v>
      </c>
      <c r="J29" s="8">
        <v>63</v>
      </c>
      <c r="K29" s="10">
        <f t="shared" si="1"/>
        <v>130.5108</v>
      </c>
      <c r="M29" s="1">
        <f>480*2+240+100</f>
        <v>1300</v>
      </c>
    </row>
    <row r="30" hidden="1" customHeight="1" spans="2:11">
      <c r="B30" s="4"/>
      <c r="C30" s="4"/>
      <c r="D30" s="4" t="s">
        <v>167</v>
      </c>
      <c r="E30" s="4" t="s">
        <v>168</v>
      </c>
      <c r="F30" s="4"/>
      <c r="G30" s="4"/>
      <c r="H30" s="4"/>
      <c r="I30" s="8">
        <v>2.496</v>
      </c>
      <c r="J30" s="8">
        <v>63</v>
      </c>
      <c r="K30" s="11">
        <f t="shared" si="1"/>
        <v>157.248</v>
      </c>
    </row>
    <row r="31" hidden="1" customHeight="1" spans="2:11">
      <c r="B31" s="4"/>
      <c r="C31" s="4"/>
      <c r="D31" s="4" t="s">
        <v>169</v>
      </c>
      <c r="E31" s="4" t="s">
        <v>164</v>
      </c>
      <c r="F31" s="4"/>
      <c r="G31" s="4"/>
      <c r="H31" s="4"/>
      <c r="I31" s="8">
        <f>+I30*0.1</f>
        <v>0.2496</v>
      </c>
      <c r="J31" s="8">
        <v>63</v>
      </c>
      <c r="K31" s="12">
        <f t="shared" si="1"/>
        <v>15.7248</v>
      </c>
    </row>
    <row r="32" hidden="1" customHeight="1" spans="2:13">
      <c r="B32" s="4"/>
      <c r="C32" s="4"/>
      <c r="D32" s="4" t="s">
        <v>170</v>
      </c>
      <c r="E32" s="4" t="s">
        <v>164</v>
      </c>
      <c r="F32" s="4"/>
      <c r="G32" s="4"/>
      <c r="H32" s="4"/>
      <c r="I32" s="8">
        <v>0.6552</v>
      </c>
      <c r="J32" s="8">
        <v>63</v>
      </c>
      <c r="K32" s="13">
        <f t="shared" si="1"/>
        <v>41.2776</v>
      </c>
      <c r="M32" s="19"/>
    </row>
    <row r="33" hidden="1" customHeight="1" spans="2:11">
      <c r="B33" s="4"/>
      <c r="C33" s="4"/>
      <c r="D33" s="4" t="s">
        <v>171</v>
      </c>
      <c r="E33" s="4" t="s">
        <v>168</v>
      </c>
      <c r="F33" s="4"/>
      <c r="G33" s="4"/>
      <c r="H33" s="4"/>
      <c r="I33" s="8">
        <v>1.812</v>
      </c>
      <c r="J33" s="8">
        <v>63</v>
      </c>
      <c r="K33" s="14">
        <f t="shared" si="1"/>
        <v>114.156</v>
      </c>
    </row>
    <row r="34" hidden="1" customHeight="1" spans="2:11">
      <c r="B34" s="4"/>
      <c r="C34" s="4"/>
      <c r="D34" s="4" t="s">
        <v>128</v>
      </c>
      <c r="E34" s="4" t="s">
        <v>172</v>
      </c>
      <c r="F34" s="4"/>
      <c r="G34" s="4"/>
      <c r="H34" s="4"/>
      <c r="I34" s="8">
        <v>33.888</v>
      </c>
      <c r="J34" s="8">
        <v>63</v>
      </c>
      <c r="K34" s="15">
        <f t="shared" si="1"/>
        <v>2134.944</v>
      </c>
    </row>
    <row r="35" hidden="1" customHeight="1" spans="2:11">
      <c r="B35" s="4"/>
      <c r="C35" s="3" t="s">
        <v>182</v>
      </c>
      <c r="D35" s="4" t="s">
        <v>177</v>
      </c>
      <c r="E35" s="4" t="s">
        <v>164</v>
      </c>
      <c r="F35" s="4"/>
      <c r="G35" s="4"/>
      <c r="H35" s="4"/>
      <c r="I35" s="8">
        <v>0.2278</v>
      </c>
      <c r="J35" s="8">
        <v>63</v>
      </c>
      <c r="K35" s="16">
        <f t="shared" si="1"/>
        <v>14.3514</v>
      </c>
    </row>
    <row r="36" hidden="1" customHeight="1" spans="2:11">
      <c r="B36" s="4"/>
      <c r="C36" s="6"/>
      <c r="D36" s="4" t="s">
        <v>128</v>
      </c>
      <c r="E36" s="4" t="s">
        <v>172</v>
      </c>
      <c r="F36" s="4"/>
      <c r="G36" s="4"/>
      <c r="H36" s="4"/>
      <c r="I36" s="8">
        <v>11.49</v>
      </c>
      <c r="J36" s="8">
        <v>63</v>
      </c>
      <c r="K36" s="15">
        <f t="shared" si="1"/>
        <v>723.87</v>
      </c>
    </row>
    <row r="37" hidden="1" customHeight="1" spans="2:11">
      <c r="B37" s="4"/>
      <c r="C37" s="6"/>
      <c r="D37" s="4" t="s">
        <v>178</v>
      </c>
      <c r="E37" s="4" t="s">
        <v>168</v>
      </c>
      <c r="F37" s="4"/>
      <c r="G37" s="4"/>
      <c r="H37" s="4"/>
      <c r="I37" s="8">
        <v>0.0806</v>
      </c>
      <c r="J37" s="8">
        <v>63</v>
      </c>
      <c r="K37" s="13">
        <f t="shared" si="1"/>
        <v>5.0778</v>
      </c>
    </row>
    <row r="38" hidden="1" customHeight="1" spans="2:11">
      <c r="B38" s="4"/>
      <c r="C38" s="6"/>
      <c r="D38" s="4" t="s">
        <v>46</v>
      </c>
      <c r="E38" s="4" t="s">
        <v>172</v>
      </c>
      <c r="F38" s="4"/>
      <c r="G38" s="4"/>
      <c r="H38" s="4"/>
      <c r="I38" s="8">
        <v>0.672</v>
      </c>
      <c r="J38" s="8">
        <v>63</v>
      </c>
      <c r="K38" s="14">
        <f t="shared" si="1"/>
        <v>42.336</v>
      </c>
    </row>
    <row r="39" hidden="1" customHeight="1" spans="2:11">
      <c r="B39" s="4"/>
      <c r="C39" s="4" t="s">
        <v>173</v>
      </c>
      <c r="D39" s="4" t="s">
        <v>174</v>
      </c>
      <c r="E39" s="4" t="s">
        <v>164</v>
      </c>
      <c r="F39" s="4"/>
      <c r="G39" s="4"/>
      <c r="H39" s="4"/>
      <c r="I39" s="8">
        <v>0.2938</v>
      </c>
      <c r="J39" s="8">
        <v>63</v>
      </c>
      <c r="K39" s="13">
        <f t="shared" si="1"/>
        <v>18.5094</v>
      </c>
    </row>
    <row r="40" hidden="1" customHeight="1" spans="2:11">
      <c r="B40" s="4"/>
      <c r="C40" s="4"/>
      <c r="D40" s="4" t="s">
        <v>175</v>
      </c>
      <c r="E40" s="4" t="s">
        <v>168</v>
      </c>
      <c r="F40" s="4"/>
      <c r="G40" s="4"/>
      <c r="H40" s="4"/>
      <c r="I40" s="8">
        <v>5.38</v>
      </c>
      <c r="J40" s="8">
        <v>63</v>
      </c>
      <c r="K40" s="14">
        <f t="shared" si="1"/>
        <v>338.94</v>
      </c>
    </row>
    <row r="41" hidden="1" customHeight="1" spans="2:11">
      <c r="B41" s="4"/>
      <c r="C41" s="4"/>
      <c r="D41" s="4" t="s">
        <v>128</v>
      </c>
      <c r="E41" s="4" t="s">
        <v>172</v>
      </c>
      <c r="F41" s="4"/>
      <c r="G41" s="4"/>
      <c r="H41" s="4"/>
      <c r="I41" s="8">
        <v>103</v>
      </c>
      <c r="J41" s="8">
        <v>63</v>
      </c>
      <c r="K41" s="15">
        <f t="shared" si="1"/>
        <v>6489</v>
      </c>
    </row>
    <row r="42" hidden="1" customHeight="1" spans="2:11">
      <c r="B42" s="4"/>
      <c r="C42" s="3" t="s">
        <v>180</v>
      </c>
      <c r="D42" s="4" t="s">
        <v>167</v>
      </c>
      <c r="E42" s="4" t="s">
        <v>168</v>
      </c>
      <c r="F42" s="4">
        <v>0.44</v>
      </c>
      <c r="G42" s="4">
        <v>4.48</v>
      </c>
      <c r="H42" s="4"/>
      <c r="I42" s="8">
        <f>+F42*G42</f>
        <v>1.9712</v>
      </c>
      <c r="J42" s="8">
        <f t="shared" ref="J42:J47" si="2">56+7</f>
        <v>63</v>
      </c>
      <c r="K42" s="11">
        <f t="shared" si="1"/>
        <v>124.1856</v>
      </c>
    </row>
    <row r="43" hidden="1" customHeight="1" spans="2:11">
      <c r="B43" s="4"/>
      <c r="C43" s="6"/>
      <c r="D43" s="4" t="s">
        <v>169</v>
      </c>
      <c r="E43" s="4" t="s">
        <v>164</v>
      </c>
      <c r="F43" s="4"/>
      <c r="G43" s="4"/>
      <c r="H43" s="4"/>
      <c r="I43" s="8">
        <f>+I42*0.1</f>
        <v>0.19712</v>
      </c>
      <c r="J43" s="8">
        <f t="shared" si="2"/>
        <v>63</v>
      </c>
      <c r="K43" s="12">
        <f t="shared" si="1"/>
        <v>12.41856</v>
      </c>
    </row>
    <row r="44" hidden="1" customHeight="1" spans="2:11">
      <c r="B44" s="4"/>
      <c r="C44" s="6"/>
      <c r="D44" s="4" t="s">
        <v>178</v>
      </c>
      <c r="E44" s="4" t="s">
        <v>164</v>
      </c>
      <c r="F44" s="4"/>
      <c r="G44" s="4"/>
      <c r="H44" s="4"/>
      <c r="I44" s="8">
        <v>0.5262</v>
      </c>
      <c r="J44" s="8">
        <f t="shared" si="2"/>
        <v>63</v>
      </c>
      <c r="K44" s="13">
        <f t="shared" si="1"/>
        <v>33.1506</v>
      </c>
    </row>
    <row r="45" hidden="1" customHeight="1" spans="2:11">
      <c r="B45" s="4"/>
      <c r="C45" s="6"/>
      <c r="D45" s="4" t="s">
        <v>46</v>
      </c>
      <c r="E45" s="4" t="s">
        <v>168</v>
      </c>
      <c r="F45" s="4"/>
      <c r="G45" s="4"/>
      <c r="H45" s="4"/>
      <c r="I45" s="8">
        <v>4.384</v>
      </c>
      <c r="J45" s="8">
        <f t="shared" si="2"/>
        <v>63</v>
      </c>
      <c r="K45" s="14">
        <f t="shared" si="1"/>
        <v>276.192</v>
      </c>
    </row>
    <row r="46" hidden="1" customHeight="1" spans="2:11">
      <c r="B46" s="4"/>
      <c r="C46" s="6"/>
      <c r="D46" s="4" t="s">
        <v>128</v>
      </c>
      <c r="E46" s="4" t="s">
        <v>172</v>
      </c>
      <c r="F46" s="4"/>
      <c r="G46" s="4"/>
      <c r="H46" s="4"/>
      <c r="I46" s="8">
        <v>82.92</v>
      </c>
      <c r="J46" s="8">
        <f t="shared" si="2"/>
        <v>63</v>
      </c>
      <c r="K46" s="15">
        <f t="shared" si="1"/>
        <v>5223.96</v>
      </c>
    </row>
    <row r="47" hidden="1" customHeight="1" spans="2:11">
      <c r="B47" s="4"/>
      <c r="C47" s="5"/>
      <c r="D47" s="4" t="s">
        <v>181</v>
      </c>
      <c r="E47" s="4" t="s">
        <v>168</v>
      </c>
      <c r="F47" s="4"/>
      <c r="G47" s="4">
        <v>5.4</v>
      </c>
      <c r="H47" s="4">
        <v>1.9</v>
      </c>
      <c r="I47" s="8">
        <f>+G47*H47</f>
        <v>10.26</v>
      </c>
      <c r="J47" s="8">
        <f t="shared" si="2"/>
        <v>63</v>
      </c>
      <c r="K47" s="18">
        <f t="shared" si="1"/>
        <v>646.38</v>
      </c>
    </row>
    <row r="48" hidden="1" customHeight="1" spans="1:11">
      <c r="A48" s="4"/>
      <c r="B48" s="4" t="s">
        <v>183</v>
      </c>
      <c r="C48" s="7" t="s">
        <v>184</v>
      </c>
      <c r="D48" s="4" t="s">
        <v>163</v>
      </c>
      <c r="E48" s="4" t="s">
        <v>164</v>
      </c>
      <c r="F48" s="4"/>
      <c r="G48" s="4"/>
      <c r="H48" s="4"/>
      <c r="I48" s="8">
        <f>15.0885+1.3173</f>
        <v>16.4058</v>
      </c>
      <c r="J48" s="8">
        <v>1</v>
      </c>
      <c r="K48" s="9">
        <f t="shared" ref="K48:K57" si="3">+I48*J48</f>
        <v>16.4058</v>
      </c>
    </row>
    <row r="49" hidden="1" customHeight="1" spans="1:11">
      <c r="A49" s="4"/>
      <c r="B49" s="4"/>
      <c r="C49" s="7"/>
      <c r="D49" s="4" t="s">
        <v>166</v>
      </c>
      <c r="E49" s="4" t="s">
        <v>164</v>
      </c>
      <c r="F49" s="4"/>
      <c r="G49" s="4"/>
      <c r="H49" s="4"/>
      <c r="I49" s="8">
        <f>10.96+0.6893</f>
        <v>11.6493</v>
      </c>
      <c r="J49" s="8">
        <v>1</v>
      </c>
      <c r="K49" s="10">
        <f t="shared" si="3"/>
        <v>11.6493</v>
      </c>
    </row>
    <row r="50" hidden="1" customHeight="1" spans="1:11">
      <c r="A50" s="4"/>
      <c r="B50" s="4"/>
      <c r="C50" s="7"/>
      <c r="D50" s="4" t="s">
        <v>167</v>
      </c>
      <c r="E50" s="4" t="s">
        <v>168</v>
      </c>
      <c r="F50" s="4"/>
      <c r="G50" s="4"/>
      <c r="H50" s="4"/>
      <c r="I50" s="8">
        <f>(13.71+1.1975)</f>
        <v>14.9075</v>
      </c>
      <c r="J50" s="8">
        <v>1</v>
      </c>
      <c r="K50" s="11">
        <f t="shared" si="3"/>
        <v>14.9075</v>
      </c>
    </row>
    <row r="51" hidden="1" customHeight="1" spans="1:11">
      <c r="A51" s="4"/>
      <c r="B51" s="4"/>
      <c r="C51" s="7"/>
      <c r="D51" s="4" t="s">
        <v>169</v>
      </c>
      <c r="E51" s="4" t="s">
        <v>164</v>
      </c>
      <c r="F51" s="4"/>
      <c r="G51" s="4"/>
      <c r="H51" s="4"/>
      <c r="I51" s="8">
        <f>+I50*0.1</f>
        <v>1.49075</v>
      </c>
      <c r="J51" s="8">
        <v>1</v>
      </c>
      <c r="K51" s="12">
        <f t="shared" si="3"/>
        <v>1.49075</v>
      </c>
    </row>
    <row r="52" hidden="1" customHeight="1" spans="1:11">
      <c r="A52" s="4"/>
      <c r="B52" s="4"/>
      <c r="C52" s="7"/>
      <c r="D52" s="4" t="s">
        <v>170</v>
      </c>
      <c r="E52" s="4" t="s">
        <v>164</v>
      </c>
      <c r="F52" s="4"/>
      <c r="G52" s="4"/>
      <c r="H52" s="4"/>
      <c r="I52" s="8">
        <f>1.1713+2.644+2.63</f>
        <v>6.4453</v>
      </c>
      <c r="J52" s="8">
        <v>1</v>
      </c>
      <c r="K52" s="13">
        <f t="shared" si="3"/>
        <v>6.4453</v>
      </c>
    </row>
    <row r="53" hidden="1" customHeight="1" spans="1:11">
      <c r="A53" s="4"/>
      <c r="B53" s="4"/>
      <c r="C53" s="7"/>
      <c r="D53" s="4" t="s">
        <v>137</v>
      </c>
      <c r="E53" s="4" t="s">
        <v>168</v>
      </c>
      <c r="F53" s="4"/>
      <c r="G53" s="4"/>
      <c r="H53" s="4"/>
      <c r="I53" s="8">
        <f>18.63+8.7268+21.92</f>
        <v>49.2768</v>
      </c>
      <c r="J53" s="8">
        <v>1</v>
      </c>
      <c r="K53" s="14">
        <f t="shared" si="3"/>
        <v>49.2768</v>
      </c>
    </row>
    <row r="54" hidden="1" customHeight="1" spans="1:11">
      <c r="A54" s="4"/>
      <c r="B54" s="4"/>
      <c r="C54" s="7"/>
      <c r="D54" s="4" t="s">
        <v>128</v>
      </c>
      <c r="E54" s="4" t="s">
        <v>172</v>
      </c>
      <c r="F54" s="4"/>
      <c r="G54" s="4"/>
      <c r="H54" s="4"/>
      <c r="I54" s="8">
        <f>303.67+61.25+269.18</f>
        <v>634.1</v>
      </c>
      <c r="J54" s="8">
        <v>1</v>
      </c>
      <c r="K54" s="15">
        <f t="shared" si="3"/>
        <v>634.1</v>
      </c>
    </row>
    <row r="55" hidden="1" customHeight="1" spans="1:11">
      <c r="A55" s="4"/>
      <c r="B55" s="4"/>
      <c r="C55" s="7"/>
      <c r="D55" s="4" t="s">
        <v>177</v>
      </c>
      <c r="E55" s="4" t="s">
        <v>164</v>
      </c>
      <c r="F55" s="4"/>
      <c r="G55" s="4"/>
      <c r="H55" s="4"/>
      <c r="I55" s="8">
        <v>8.5231</v>
      </c>
      <c r="J55" s="8">
        <v>1</v>
      </c>
      <c r="K55" s="16">
        <f t="shared" si="3"/>
        <v>8.5231</v>
      </c>
    </row>
    <row r="56" hidden="1" customHeight="1" spans="1:11">
      <c r="A56" s="4"/>
      <c r="B56" s="4"/>
      <c r="C56" s="7"/>
      <c r="D56" s="4" t="s">
        <v>185</v>
      </c>
      <c r="E56" s="4" t="s">
        <v>172</v>
      </c>
      <c r="F56" s="4"/>
      <c r="G56" s="4"/>
      <c r="H56" s="4"/>
      <c r="I56" s="8">
        <v>23.8157</v>
      </c>
      <c r="J56" s="8">
        <v>1</v>
      </c>
      <c r="K56" s="20">
        <f t="shared" si="3"/>
        <v>23.8157</v>
      </c>
    </row>
    <row r="57" hidden="1" customHeight="1" spans="1:11">
      <c r="A57" s="4"/>
      <c r="B57" s="4"/>
      <c r="C57" s="7"/>
      <c r="D57" s="4" t="s">
        <v>179</v>
      </c>
      <c r="E57" s="4" t="s">
        <v>168</v>
      </c>
      <c r="F57" s="4"/>
      <c r="G57" s="4"/>
      <c r="H57" s="4"/>
      <c r="I57" s="8">
        <v>84.1747</v>
      </c>
      <c r="J57" s="8">
        <v>1</v>
      </c>
      <c r="K57" s="17">
        <f t="shared" si="3"/>
        <v>84.1747</v>
      </c>
    </row>
    <row r="58" customHeight="1" spans="1:10">
      <c r="A58" s="4"/>
      <c r="B58" s="4"/>
      <c r="C58" s="7"/>
      <c r="D58" s="4" t="s">
        <v>186</v>
      </c>
      <c r="E58" s="4" t="s">
        <v>168</v>
      </c>
      <c r="F58" s="4"/>
      <c r="G58" s="4"/>
      <c r="H58" s="4"/>
      <c r="I58" s="8">
        <f>0.32*(4+5.994+5.672)</f>
        <v>5.01312</v>
      </c>
      <c r="J58" s="8" t="s">
        <v>187</v>
      </c>
    </row>
    <row r="59" hidden="1" customHeight="1" spans="1:11">
      <c r="A59" s="4"/>
      <c r="B59" s="4" t="s">
        <v>183</v>
      </c>
      <c r="C59" s="7"/>
      <c r="D59" s="4" t="s">
        <v>163</v>
      </c>
      <c r="E59" s="4" t="s">
        <v>164</v>
      </c>
      <c r="F59" s="4"/>
      <c r="G59" s="4"/>
      <c r="H59" s="4"/>
      <c r="I59" s="8">
        <f>25.09+4.66</f>
        <v>29.75</v>
      </c>
      <c r="J59" s="8">
        <v>1</v>
      </c>
      <c r="K59" s="9">
        <f t="shared" ref="K59:K71" si="4">+I59*J59</f>
        <v>29.75</v>
      </c>
    </row>
    <row r="60" hidden="1" customHeight="1" spans="1:11">
      <c r="A60" s="4"/>
      <c r="B60" s="4"/>
      <c r="C60" s="7"/>
      <c r="D60" s="4" t="s">
        <v>166</v>
      </c>
      <c r="E60" s="4" t="s">
        <v>164</v>
      </c>
      <c r="F60" s="4"/>
      <c r="G60" s="4"/>
      <c r="H60" s="4"/>
      <c r="I60" s="8">
        <f>2.44+18.56</f>
        <v>21</v>
      </c>
      <c r="J60" s="8">
        <v>1</v>
      </c>
      <c r="K60" s="10">
        <f t="shared" si="4"/>
        <v>21</v>
      </c>
    </row>
    <row r="61" hidden="1" customHeight="1" spans="1:11">
      <c r="A61" s="4"/>
      <c r="B61" s="4"/>
      <c r="C61" s="7"/>
      <c r="D61" s="4" t="s">
        <v>167</v>
      </c>
      <c r="E61" s="4" t="s">
        <v>168</v>
      </c>
      <c r="F61" s="4"/>
      <c r="G61" s="4"/>
      <c r="H61" s="4"/>
      <c r="I61" s="8">
        <v>27.04</v>
      </c>
      <c r="J61" s="8">
        <v>1</v>
      </c>
      <c r="K61" s="11">
        <f t="shared" si="4"/>
        <v>27.04</v>
      </c>
    </row>
    <row r="62" hidden="1" customHeight="1" spans="1:11">
      <c r="A62" s="4"/>
      <c r="B62" s="4"/>
      <c r="C62" s="7"/>
      <c r="D62" s="4" t="s">
        <v>169</v>
      </c>
      <c r="E62" s="4" t="s">
        <v>164</v>
      </c>
      <c r="F62" s="4"/>
      <c r="G62" s="4"/>
      <c r="H62" s="4"/>
      <c r="I62" s="8">
        <f>+I61*0.1</f>
        <v>2.704</v>
      </c>
      <c r="J62" s="8">
        <v>1</v>
      </c>
      <c r="K62" s="12">
        <f t="shared" si="4"/>
        <v>2.704</v>
      </c>
    </row>
    <row r="63" hidden="1" customHeight="1" spans="1:11">
      <c r="A63" s="4"/>
      <c r="B63" s="4"/>
      <c r="C63" s="7"/>
      <c r="D63" s="4" t="s">
        <v>170</v>
      </c>
      <c r="E63" s="4" t="s">
        <v>164</v>
      </c>
      <c r="F63" s="4"/>
      <c r="G63" s="4"/>
      <c r="H63" s="4"/>
      <c r="I63" s="8">
        <f>2.3+4.61+2.97</f>
        <v>9.88</v>
      </c>
      <c r="J63" s="8">
        <v>1</v>
      </c>
      <c r="K63" s="13">
        <f t="shared" si="4"/>
        <v>9.88</v>
      </c>
    </row>
    <row r="64" hidden="1" customHeight="1" spans="1:11">
      <c r="A64" s="4"/>
      <c r="B64" s="4"/>
      <c r="C64" s="7"/>
      <c r="D64" s="4" t="s">
        <v>137</v>
      </c>
      <c r="E64" s="4" t="s">
        <v>168</v>
      </c>
      <c r="F64" s="4"/>
      <c r="G64" s="4"/>
      <c r="H64" s="4"/>
      <c r="I64" s="8">
        <f>38.64+13.446+24.725</f>
        <v>76.811</v>
      </c>
      <c r="J64" s="8">
        <v>1</v>
      </c>
      <c r="K64" s="14">
        <f t="shared" si="4"/>
        <v>76.811</v>
      </c>
    </row>
    <row r="65" hidden="1" customHeight="1" spans="1:11">
      <c r="A65" s="4"/>
      <c r="B65" s="4"/>
      <c r="C65" s="7"/>
      <c r="D65" s="4" t="s">
        <v>128</v>
      </c>
      <c r="E65" s="4" t="s">
        <v>172</v>
      </c>
      <c r="F65" s="4"/>
      <c r="G65" s="4"/>
      <c r="H65" s="4"/>
      <c r="I65" s="8">
        <f>686.292+100.85</f>
        <v>787.142</v>
      </c>
      <c r="J65" s="8">
        <v>1</v>
      </c>
      <c r="K65" s="15">
        <f t="shared" si="4"/>
        <v>787.142</v>
      </c>
    </row>
    <row r="66" hidden="1" customHeight="1" spans="1:11">
      <c r="A66" s="4"/>
      <c r="B66" s="4"/>
      <c r="C66" s="7"/>
      <c r="D66" s="4" t="s">
        <v>177</v>
      </c>
      <c r="E66" s="4" t="s">
        <v>164</v>
      </c>
      <c r="F66" s="4"/>
      <c r="G66" s="4"/>
      <c r="H66" s="4"/>
      <c r="I66" s="8">
        <v>11.79</v>
      </c>
      <c r="J66" s="8">
        <v>1</v>
      </c>
      <c r="K66" s="16">
        <f t="shared" si="4"/>
        <v>11.79</v>
      </c>
    </row>
    <row r="67" hidden="1" customHeight="1" spans="1:11">
      <c r="A67" s="4"/>
      <c r="B67" s="4"/>
      <c r="C67" s="7"/>
      <c r="D67" s="4" t="s">
        <v>185</v>
      </c>
      <c r="E67" s="4" t="s">
        <v>172</v>
      </c>
      <c r="F67" s="4"/>
      <c r="G67" s="4"/>
      <c r="H67" s="4"/>
      <c r="I67" s="8">
        <v>29.14</v>
      </c>
      <c r="J67" s="8">
        <v>1</v>
      </c>
      <c r="K67" s="20">
        <f t="shared" si="4"/>
        <v>29.14</v>
      </c>
    </row>
    <row r="68" hidden="1" customHeight="1" spans="1:11">
      <c r="A68" s="4"/>
      <c r="B68" s="4"/>
      <c r="C68" s="7"/>
      <c r="D68" s="4" t="s">
        <v>179</v>
      </c>
      <c r="E68" s="4" t="s">
        <v>168</v>
      </c>
      <c r="F68" s="4"/>
      <c r="G68" s="4"/>
      <c r="H68" s="4"/>
      <c r="I68" s="8">
        <v>126.52</v>
      </c>
      <c r="J68" s="8">
        <v>1</v>
      </c>
      <c r="K68" s="17">
        <f t="shared" si="4"/>
        <v>126.52</v>
      </c>
    </row>
    <row r="69" hidden="1" customHeight="1" spans="1:11">
      <c r="A69" s="4"/>
      <c r="B69" s="4"/>
      <c r="C69" s="7"/>
      <c r="D69" s="4" t="s">
        <v>181</v>
      </c>
      <c r="E69" s="4" t="s">
        <v>168</v>
      </c>
      <c r="F69" s="4"/>
      <c r="G69" s="4"/>
      <c r="H69" s="4"/>
      <c r="I69" s="8">
        <f>0.65*3*3</f>
        <v>5.85</v>
      </c>
      <c r="J69" s="8">
        <v>1</v>
      </c>
      <c r="K69" s="18">
        <f t="shared" si="4"/>
        <v>5.85</v>
      </c>
    </row>
    <row r="70" customHeight="1" spans="1:11">
      <c r="A70" s="4"/>
      <c r="B70" s="4"/>
      <c r="C70" s="7"/>
      <c r="D70" s="4" t="s">
        <v>188</v>
      </c>
      <c r="E70" s="4" t="s">
        <v>168</v>
      </c>
      <c r="F70" s="4"/>
      <c r="G70" s="4"/>
      <c r="H70" s="4"/>
      <c r="I70" s="8">
        <f>2.4*4</f>
        <v>9.6</v>
      </c>
      <c r="J70" s="8">
        <v>1</v>
      </c>
      <c r="K70" s="21">
        <f t="shared" si="4"/>
        <v>9.6</v>
      </c>
    </row>
    <row r="71" customHeight="1" spans="1:11">
      <c r="A71" s="4"/>
      <c r="B71" s="4"/>
      <c r="C71" s="7"/>
      <c r="D71" s="4" t="s">
        <v>186</v>
      </c>
      <c r="E71" s="4" t="s">
        <v>168</v>
      </c>
      <c r="F71" s="4"/>
      <c r="G71" s="4"/>
      <c r="H71" s="4"/>
      <c r="I71" s="8">
        <f>0.7*5+0.36*4+0.36*17.9</f>
        <v>11.384</v>
      </c>
      <c r="J71" s="8">
        <v>1</v>
      </c>
      <c r="K71" s="2">
        <f t="shared" si="4"/>
        <v>11.384</v>
      </c>
    </row>
    <row r="72" hidden="1" customHeight="1" spans="1:11">
      <c r="A72" s="4"/>
      <c r="B72" s="4" t="s">
        <v>183</v>
      </c>
      <c r="C72" s="7"/>
      <c r="D72" s="4" t="s">
        <v>163</v>
      </c>
      <c r="E72" s="4" t="s">
        <v>164</v>
      </c>
      <c r="F72" s="4"/>
      <c r="G72" s="4"/>
      <c r="H72" s="4"/>
      <c r="I72" s="8">
        <f>11.58+3.67</f>
        <v>15.25</v>
      </c>
      <c r="J72" s="8">
        <v>1</v>
      </c>
      <c r="K72" s="9">
        <f t="shared" ref="K72:K83" si="5">+I72*J72</f>
        <v>15.25</v>
      </c>
    </row>
    <row r="73" hidden="1" customHeight="1" spans="1:11">
      <c r="A73" s="4"/>
      <c r="B73" s="4"/>
      <c r="C73" s="7"/>
      <c r="D73" s="4" t="s">
        <v>166</v>
      </c>
      <c r="E73" s="4" t="s">
        <v>164</v>
      </c>
      <c r="F73" s="4"/>
      <c r="G73" s="4"/>
      <c r="H73" s="4"/>
      <c r="I73" s="8">
        <f>8.65+1.92</f>
        <v>10.57</v>
      </c>
      <c r="J73" s="8">
        <v>1</v>
      </c>
      <c r="K73" s="10">
        <f t="shared" si="5"/>
        <v>10.57</v>
      </c>
    </row>
    <row r="74" hidden="1" customHeight="1" spans="1:11">
      <c r="A74" s="4"/>
      <c r="B74" s="4"/>
      <c r="C74" s="7"/>
      <c r="D74" s="4" t="s">
        <v>167</v>
      </c>
      <c r="E74" s="4" t="s">
        <v>168</v>
      </c>
      <c r="F74" s="4"/>
      <c r="G74" s="4"/>
      <c r="H74" s="4"/>
      <c r="I74" s="8">
        <f>10.53+3.33</f>
        <v>13.86</v>
      </c>
      <c r="J74" s="8">
        <v>1</v>
      </c>
      <c r="K74" s="11">
        <f t="shared" si="5"/>
        <v>13.86</v>
      </c>
    </row>
    <row r="75" hidden="1" customHeight="1" spans="1:11">
      <c r="A75" s="4"/>
      <c r="B75" s="4"/>
      <c r="C75" s="7"/>
      <c r="D75" s="4" t="s">
        <v>169</v>
      </c>
      <c r="E75" s="4" t="s">
        <v>164</v>
      </c>
      <c r="F75" s="4"/>
      <c r="G75" s="4"/>
      <c r="H75" s="4"/>
      <c r="I75" s="8">
        <f>+I74*0.1</f>
        <v>1.386</v>
      </c>
      <c r="J75" s="8">
        <v>1</v>
      </c>
      <c r="K75" s="12">
        <f t="shared" si="5"/>
        <v>1.386</v>
      </c>
    </row>
    <row r="76" hidden="1" customHeight="1" spans="1:11">
      <c r="A76" s="4"/>
      <c r="B76" s="4"/>
      <c r="C76" s="7"/>
      <c r="D76" s="4" t="s">
        <v>170</v>
      </c>
      <c r="E76" s="4" t="s">
        <v>164</v>
      </c>
      <c r="F76" s="4"/>
      <c r="G76" s="4"/>
      <c r="H76" s="4"/>
      <c r="I76" s="8">
        <f>1.99+0.887+1.96</f>
        <v>4.837</v>
      </c>
      <c r="J76" s="8">
        <v>1</v>
      </c>
      <c r="K76" s="13">
        <f t="shared" si="5"/>
        <v>4.837</v>
      </c>
    </row>
    <row r="77" hidden="1" customHeight="1" spans="1:11">
      <c r="A77" s="4"/>
      <c r="B77" s="4"/>
      <c r="C77" s="7"/>
      <c r="D77" s="4" t="s">
        <v>137</v>
      </c>
      <c r="E77" s="4" t="s">
        <v>168</v>
      </c>
      <c r="F77" s="4"/>
      <c r="G77" s="4"/>
      <c r="H77" s="4"/>
      <c r="I77" s="8">
        <f>6.91+14.784+16.42</f>
        <v>38.114</v>
      </c>
      <c r="J77" s="8">
        <v>1</v>
      </c>
      <c r="K77" s="14">
        <f t="shared" si="5"/>
        <v>38.114</v>
      </c>
    </row>
    <row r="78" hidden="1" customHeight="1" spans="1:11">
      <c r="A78" s="4"/>
      <c r="B78" s="4"/>
      <c r="C78" s="7"/>
      <c r="D78" s="4" t="s">
        <v>128</v>
      </c>
      <c r="E78" s="4" t="s">
        <v>172</v>
      </c>
      <c r="F78" s="4"/>
      <c r="G78" s="4"/>
      <c r="H78" s="4"/>
      <c r="I78" s="8">
        <f>43.82+272.24+271.9</f>
        <v>587.96</v>
      </c>
      <c r="J78" s="8">
        <v>1</v>
      </c>
      <c r="K78" s="15">
        <f t="shared" si="5"/>
        <v>587.96</v>
      </c>
    </row>
    <row r="79" hidden="1" customHeight="1" spans="1:11">
      <c r="A79" s="4"/>
      <c r="B79" s="4"/>
      <c r="C79" s="7"/>
      <c r="D79" s="4" t="s">
        <v>177</v>
      </c>
      <c r="E79" s="4" t="s">
        <v>164</v>
      </c>
      <c r="F79" s="4"/>
      <c r="G79" s="4"/>
      <c r="H79" s="4"/>
      <c r="I79" s="8">
        <v>6.73</v>
      </c>
      <c r="J79" s="8">
        <v>1</v>
      </c>
      <c r="K79" s="16">
        <f t="shared" si="5"/>
        <v>6.73</v>
      </c>
    </row>
    <row r="80" hidden="1" customHeight="1" spans="1:11">
      <c r="A80" s="4"/>
      <c r="B80" s="4"/>
      <c r="C80" s="7"/>
      <c r="D80" s="4" t="s">
        <v>185</v>
      </c>
      <c r="E80" s="4" t="s">
        <v>172</v>
      </c>
      <c r="F80" s="4"/>
      <c r="G80" s="4"/>
      <c r="H80" s="4"/>
      <c r="I80" s="8">
        <v>17.37</v>
      </c>
      <c r="J80" s="8">
        <v>1</v>
      </c>
      <c r="K80" s="20">
        <f t="shared" si="5"/>
        <v>17.37</v>
      </c>
    </row>
    <row r="81" hidden="1" customHeight="1" spans="1:11">
      <c r="A81" s="4"/>
      <c r="B81" s="4"/>
      <c r="C81" s="7"/>
      <c r="D81" s="4" t="s">
        <v>179</v>
      </c>
      <c r="E81" s="4" t="s">
        <v>168</v>
      </c>
      <c r="F81" s="4"/>
      <c r="G81" s="4"/>
      <c r="H81" s="4"/>
      <c r="I81" s="8">
        <v>87.11</v>
      </c>
      <c r="J81" s="8">
        <v>1</v>
      </c>
      <c r="K81" s="17">
        <f t="shared" si="5"/>
        <v>87.11</v>
      </c>
    </row>
    <row r="82" hidden="1" customHeight="1" spans="1:11">
      <c r="A82" s="4"/>
      <c r="B82" s="4"/>
      <c r="C82" s="7"/>
      <c r="D82" s="4" t="s">
        <v>181</v>
      </c>
      <c r="E82" s="4" t="s">
        <v>168</v>
      </c>
      <c r="F82" s="4"/>
      <c r="G82" s="4"/>
      <c r="H82" s="4"/>
      <c r="I82" s="8">
        <f>5.4*2</f>
        <v>10.8</v>
      </c>
      <c r="J82" s="8">
        <v>1</v>
      </c>
      <c r="K82" s="18">
        <f t="shared" si="5"/>
        <v>10.8</v>
      </c>
    </row>
    <row r="83" customHeight="1" spans="1:11">
      <c r="A83" s="4"/>
      <c r="B83" s="4"/>
      <c r="C83" s="7"/>
      <c r="D83" s="4" t="s">
        <v>186</v>
      </c>
      <c r="E83" s="4" t="s">
        <v>168</v>
      </c>
      <c r="F83" s="4"/>
      <c r="G83" s="4"/>
      <c r="H83" s="4"/>
      <c r="I83" s="8">
        <f>+(4.05+2.4+4.8)*0.32</f>
        <v>3.6</v>
      </c>
      <c r="J83" s="8">
        <v>1</v>
      </c>
      <c r="K83" s="2">
        <f t="shared" si="5"/>
        <v>3.6</v>
      </c>
    </row>
    <row r="84" hidden="1" customHeight="1" spans="1:11">
      <c r="A84" s="4"/>
      <c r="B84" s="4" t="s">
        <v>183</v>
      </c>
      <c r="C84" s="7"/>
      <c r="D84" s="4" t="s">
        <v>163</v>
      </c>
      <c r="E84" s="4" t="s">
        <v>164</v>
      </c>
      <c r="F84" s="4"/>
      <c r="G84" s="4"/>
      <c r="H84" s="4"/>
      <c r="I84" s="8">
        <f>17.32+5.54</f>
        <v>22.86</v>
      </c>
      <c r="J84" s="8">
        <v>1</v>
      </c>
      <c r="K84" s="9">
        <f t="shared" ref="K84:K96" si="6">+I84*J84</f>
        <v>22.86</v>
      </c>
    </row>
    <row r="85" hidden="1" customHeight="1" spans="1:11">
      <c r="A85" s="4"/>
      <c r="B85" s="4"/>
      <c r="C85" s="7"/>
      <c r="D85" s="4" t="s">
        <v>166</v>
      </c>
      <c r="E85" s="4" t="s">
        <v>164</v>
      </c>
      <c r="F85" s="4"/>
      <c r="G85" s="4"/>
      <c r="H85" s="4"/>
      <c r="I85" s="8">
        <v>13.02</v>
      </c>
      <c r="J85" s="8">
        <v>1</v>
      </c>
      <c r="K85" s="10">
        <f t="shared" si="6"/>
        <v>13.02</v>
      </c>
    </row>
    <row r="86" hidden="1" customHeight="1" spans="1:11">
      <c r="A86" s="4"/>
      <c r="B86" s="4"/>
      <c r="C86" s="7"/>
      <c r="D86" s="4" t="s">
        <v>167</v>
      </c>
      <c r="E86" s="4" t="s">
        <v>168</v>
      </c>
      <c r="F86" s="4"/>
      <c r="G86" s="4"/>
      <c r="H86" s="4"/>
      <c r="I86" s="8">
        <f>10.08+5.03</f>
        <v>15.11</v>
      </c>
      <c r="J86" s="8">
        <v>1</v>
      </c>
      <c r="K86" s="11">
        <f t="shared" si="6"/>
        <v>15.11</v>
      </c>
    </row>
    <row r="87" hidden="1" customHeight="1" spans="1:11">
      <c r="A87" s="4"/>
      <c r="B87" s="4"/>
      <c r="C87" s="7"/>
      <c r="D87" s="4" t="s">
        <v>169</v>
      </c>
      <c r="E87" s="4" t="s">
        <v>164</v>
      </c>
      <c r="F87" s="4"/>
      <c r="G87" s="4"/>
      <c r="H87" s="4"/>
      <c r="I87" s="8">
        <f>+I86*0.1</f>
        <v>1.511</v>
      </c>
      <c r="J87" s="8">
        <v>1</v>
      </c>
      <c r="K87" s="12">
        <f t="shared" si="6"/>
        <v>1.511</v>
      </c>
    </row>
    <row r="88" hidden="1" customHeight="1" spans="1:11">
      <c r="A88" s="4"/>
      <c r="B88" s="4"/>
      <c r="C88" s="7"/>
      <c r="D88" s="4" t="s">
        <v>170</v>
      </c>
      <c r="E88" s="4" t="s">
        <v>164</v>
      </c>
      <c r="F88" s="4"/>
      <c r="G88" s="4"/>
      <c r="H88" s="4"/>
      <c r="I88" s="8">
        <f>3.02+1.42+2.95</f>
        <v>7.39</v>
      </c>
      <c r="J88" s="8">
        <v>1</v>
      </c>
      <c r="K88" s="13">
        <f t="shared" si="6"/>
        <v>7.39</v>
      </c>
    </row>
    <row r="89" hidden="1" customHeight="1" spans="1:11">
      <c r="A89" s="4"/>
      <c r="B89" s="4"/>
      <c r="C89" s="7"/>
      <c r="D89" s="4" t="s">
        <v>137</v>
      </c>
      <c r="E89" s="4" t="s">
        <v>168</v>
      </c>
      <c r="F89" s="4"/>
      <c r="G89" s="4"/>
      <c r="H89" s="4"/>
      <c r="I89" s="8">
        <f>10.08+23.67+26.15</f>
        <v>59.9</v>
      </c>
      <c r="J89" s="8">
        <v>1</v>
      </c>
      <c r="K89" s="14">
        <f t="shared" si="6"/>
        <v>59.9</v>
      </c>
    </row>
    <row r="90" hidden="1" customHeight="1" spans="1:11">
      <c r="A90" s="4"/>
      <c r="B90" s="4"/>
      <c r="C90" s="7"/>
      <c r="D90" s="4" t="s">
        <v>128</v>
      </c>
      <c r="E90" s="4" t="s">
        <v>172</v>
      </c>
      <c r="F90" s="4"/>
      <c r="G90" s="4"/>
      <c r="H90" s="4"/>
      <c r="I90" s="8">
        <f>67.13+427.48+432.3</f>
        <v>926.91</v>
      </c>
      <c r="J90" s="8">
        <v>1</v>
      </c>
      <c r="K90" s="15">
        <f t="shared" si="6"/>
        <v>926.91</v>
      </c>
    </row>
    <row r="91" hidden="1" customHeight="1" spans="1:11">
      <c r="A91" s="4"/>
      <c r="B91" s="4"/>
      <c r="C91" s="7"/>
      <c r="D91" s="4" t="s">
        <v>177</v>
      </c>
      <c r="E91" s="4" t="s">
        <v>164</v>
      </c>
      <c r="F91" s="4"/>
      <c r="G91" s="4"/>
      <c r="H91" s="4"/>
      <c r="I91" s="8">
        <v>10.91</v>
      </c>
      <c r="J91" s="8">
        <v>1</v>
      </c>
      <c r="K91" s="16">
        <f t="shared" si="6"/>
        <v>10.91</v>
      </c>
    </row>
    <row r="92" hidden="1" customHeight="1" spans="1:11">
      <c r="A92" s="4"/>
      <c r="B92" s="4"/>
      <c r="C92" s="7"/>
      <c r="D92" s="4" t="s">
        <v>185</v>
      </c>
      <c r="E92" s="4" t="s">
        <v>172</v>
      </c>
      <c r="F92" s="4"/>
      <c r="G92" s="4"/>
      <c r="H92" s="4"/>
      <c r="I92" s="8">
        <v>25.13</v>
      </c>
      <c r="J92" s="8">
        <v>1</v>
      </c>
      <c r="K92" s="20">
        <f t="shared" si="6"/>
        <v>25.13</v>
      </c>
    </row>
    <row r="93" hidden="1" customHeight="1" spans="1:11">
      <c r="A93" s="4"/>
      <c r="B93" s="4"/>
      <c r="C93" s="7"/>
      <c r="D93" s="4" t="s">
        <v>179</v>
      </c>
      <c r="E93" s="4" t="s">
        <v>168</v>
      </c>
      <c r="F93" s="4"/>
      <c r="G93" s="4"/>
      <c r="H93" s="4"/>
      <c r="I93" s="8">
        <v>101.26</v>
      </c>
      <c r="J93" s="8">
        <v>1</v>
      </c>
      <c r="K93" s="17">
        <f t="shared" si="6"/>
        <v>101.26</v>
      </c>
    </row>
    <row r="94" hidden="1" customHeight="1" spans="1:11">
      <c r="A94" s="4"/>
      <c r="B94" s="4"/>
      <c r="C94" s="7"/>
      <c r="D94" s="4" t="s">
        <v>181</v>
      </c>
      <c r="E94" s="4" t="s">
        <v>168</v>
      </c>
      <c r="F94" s="4"/>
      <c r="G94" s="4"/>
      <c r="H94" s="4"/>
      <c r="I94" s="8">
        <f>3.78*2+7.14*2</f>
        <v>21.84</v>
      </c>
      <c r="J94" s="8">
        <v>1</v>
      </c>
      <c r="K94" s="18">
        <f t="shared" si="6"/>
        <v>21.84</v>
      </c>
    </row>
    <row r="95" customHeight="1" spans="1:11">
      <c r="A95" s="4"/>
      <c r="B95" s="4"/>
      <c r="C95" s="7"/>
      <c r="D95" s="4" t="s">
        <v>189</v>
      </c>
      <c r="E95" s="4" t="s">
        <v>168</v>
      </c>
      <c r="F95" s="4"/>
      <c r="G95" s="4"/>
      <c r="H95" s="4"/>
      <c r="I95" s="8">
        <f>1.76*2.4</f>
        <v>4.224</v>
      </c>
      <c r="J95" s="8">
        <v>1</v>
      </c>
      <c r="K95" s="21">
        <f t="shared" si="6"/>
        <v>4.224</v>
      </c>
    </row>
    <row r="96" customHeight="1" spans="1:11">
      <c r="A96" s="4"/>
      <c r="B96" s="4"/>
      <c r="C96" s="7"/>
      <c r="D96" s="4" t="s">
        <v>190</v>
      </c>
      <c r="E96" s="4" t="s">
        <v>168</v>
      </c>
      <c r="F96" s="4"/>
      <c r="G96" s="4"/>
      <c r="H96" s="4"/>
      <c r="I96" s="8">
        <f>+(4.1+5.1+5.4+2.1+3.44)*0.32</f>
        <v>6.4448</v>
      </c>
      <c r="J96" s="8">
        <v>1</v>
      </c>
      <c r="K96" s="2">
        <f t="shared" si="6"/>
        <v>6.4448</v>
      </c>
    </row>
  </sheetData>
  <autoFilter xmlns:etc="http://www.wps.cn/officeDocument/2017/etCustomData" ref="A2:O96" etc:filterBottomFollowUsedRange="0">
    <filterColumn colId="10">
      <colorFilter dxfId="0"/>
    </filterColumn>
    <extLst/>
  </autoFilter>
  <mergeCells count="24">
    <mergeCell ref="F1:I1"/>
    <mergeCell ref="B1:B2"/>
    <mergeCell ref="B3:B27"/>
    <mergeCell ref="B28:B47"/>
    <mergeCell ref="B48:B58"/>
    <mergeCell ref="B59:B71"/>
    <mergeCell ref="B72:B83"/>
    <mergeCell ref="B84:B96"/>
    <mergeCell ref="C1:C2"/>
    <mergeCell ref="C3:C9"/>
    <mergeCell ref="C10:C12"/>
    <mergeCell ref="C13:C21"/>
    <mergeCell ref="C22:C27"/>
    <mergeCell ref="C28:C34"/>
    <mergeCell ref="C35:C38"/>
    <mergeCell ref="C39:C41"/>
    <mergeCell ref="C42:C47"/>
    <mergeCell ref="C48:C58"/>
    <mergeCell ref="C59:C71"/>
    <mergeCell ref="C72:C83"/>
    <mergeCell ref="C84:C96"/>
    <mergeCell ref="D1:D2"/>
    <mergeCell ref="E1:E2"/>
    <mergeCell ref="J1:J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汇总表</vt:lpstr>
      <vt:lpstr>增建储藏室</vt:lpstr>
      <vt:lpstr>工程量</vt:lpstr>
      <vt:lpstr>计算底稿（基础层）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hdpc</dc:creator>
  <cp:lastModifiedBy>开元壹号-冰飞神话15037954375</cp:lastModifiedBy>
  <dcterms:created xsi:type="dcterms:W3CDTF">2024-08-08T00:33:00Z</dcterms:created>
  <dcterms:modified xsi:type="dcterms:W3CDTF">2025-04-10T08:15:11Z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3050C7FB941449F9A743C388951024B2_11</vt:lpwstr>
  </property>
  <property fmtid="{D5CDD505-2E9C-101B-9397-08002B2CF9AE}" pid="3" name="KSOProductBuildVer">
    <vt:lpwstr>2052-12.1.0.20784</vt:lpwstr>
  </property>
</Properties>
</file>