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结算目录" sheetId="11" r:id="rId1"/>
    <sheet name="结算汇总表" sheetId="12" r:id="rId2"/>
    <sheet name="结算明细表" sheetId="5" r:id="rId3"/>
    <sheet name="土建" sheetId="1" r:id="rId4"/>
    <sheet name="安装审核" sheetId="9" r:id="rId5"/>
    <sheet name="设计变更" sheetId="7" r:id="rId6"/>
    <sheet name="计算底稿" sheetId="8" r:id="rId7"/>
    <sheet name="配管计算式" sheetId="10" r:id="rId8"/>
  </sheets>
  <definedNames>
    <definedName name="_xlnm._FilterDatabase" localSheetId="3" hidden="1">土建!$A$2:$G$50</definedName>
    <definedName name="_xlnm._FilterDatabase" localSheetId="5" hidden="1">设计变更!$A$2:$G$65</definedName>
    <definedName name="_xlnm._FilterDatabase" localSheetId="4" hidden="1">安装审核!$A$3:$G$46</definedName>
    <definedName name="_xlnm.Print_Titles" localSheetId="3">土建!$1:$2</definedName>
    <definedName name="_xlnm.Print_Titles" localSheetId="5">设计变更!$1:$2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<sst xmlns="http://schemas.openxmlformats.org/spreadsheetml/2006/main" count="687" uniqueCount="318">
  <si>
    <t>栾川山水文苑S1地块12-20#楼地下大堂及20#楼东社区服务用房装修工程结算资料存档目录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</si>
  <si>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</si>
  <si>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</si>
  <si>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</si>
  <si>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</si>
  <si>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</si>
  <si>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</si>
  <si>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栾川山水文苑S1地块12-20#楼地下大堂及20#楼东社区服务用房装修工程结算审批表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</si>
  <si>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</si>
  <si>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</si>
  <si>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</si>
  <si>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</si>
  <si>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</si>
  <si>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</si>
  <si>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</si>
  <si>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</si>
  <si>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</si>
  <si>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</si>
  <si>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1份6页</t>
  </si>
  <si>
    <t>第5-10页</t>
  </si>
  <si>
    <t>结算申请单</t>
  </si>
  <si>
    <t>第11页</t>
  </si>
  <si>
    <t>结算通知书</t>
  </si>
  <si>
    <t>第12页</t>
  </si>
  <si>
    <t>授权委托书</t>
  </si>
  <si>
    <t>第13页</t>
  </si>
  <si>
    <t>工程资料核对确认单</t>
  </si>
  <si>
    <t>第14页</t>
  </si>
  <si>
    <t>工程往来账目明细</t>
  </si>
  <si>
    <t>第15页</t>
  </si>
  <si>
    <t>验收单</t>
  </si>
  <si>
    <t>第16页</t>
  </si>
  <si>
    <t>工程结算工作交接单</t>
  </si>
  <si>
    <t>1份2页</t>
  </si>
  <si>
    <t>第17-18页</t>
  </si>
  <si>
    <t>水电费证明</t>
  </si>
  <si>
    <t>第19页</t>
  </si>
  <si>
    <t>工作联系单及派发单</t>
  </si>
  <si>
    <t>1份11页</t>
  </si>
  <si>
    <t>第20-34页</t>
  </si>
  <si>
    <t>竣工图</t>
  </si>
  <si>
    <t>1份17页</t>
  </si>
  <si>
    <t>第35-51页</t>
  </si>
  <si>
    <t>栾川山水文苑S1地块12-20#楼地下大堂及20#楼东社区服务用房装修工程审批表</t>
  </si>
  <si>
    <t>1份10页</t>
  </si>
  <si>
    <t>第52-43页</t>
  </si>
  <si>
    <t>施工单位报送资料</t>
  </si>
  <si>
    <t>若干</t>
  </si>
  <si>
    <t>造价师：</t>
  </si>
  <si>
    <t>日期：</t>
  </si>
  <si>
    <t>栾川山水文苑S1地块12-20#楼地下大堂及20#楼东社区服务用房装修工程结算汇总表</t>
  </si>
  <si>
    <t xml:space="preserve">合同编号：LCS1-JA-098                           合同金额：248153.82元 </t>
  </si>
  <si>
    <t>合同名称：栾川山水文苑S1地块12-20#楼地下大堂及20#楼东社区服务用房装修工程</t>
  </si>
  <si>
    <t>甲    方：栾川县浩德颐康文旅有限公司</t>
  </si>
  <si>
    <t>乙    方： 河南专晶建筑工程有限公司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</si>
  <si>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</si>
  <si>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</si>
  <si>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</si>
  <si>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</si>
  <si>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</si>
  <si>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</si>
  <si>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</si>
  <si>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</si>
  <si>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</si>
  <si>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</si>
  <si>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</si>
  <si>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</si>
  <si>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</si>
  <si>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</si>
  <si>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</si>
  <si>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</si>
  <si>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</si>
  <si>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</si>
  <si>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</si>
  <si>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</si>
  <si>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</si>
  <si>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</si>
  <si>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</si>
  <si>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</si>
  <si>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</si>
  <si>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</si>
  <si>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</si>
  <si>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</si>
  <si>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</si>
  <si>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</si>
  <si>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</si>
  <si>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</si>
  <si>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</si>
  <si>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</si>
  <si>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 xml:space="preserve">     栾川山水文苑S1地块12-20#楼地下大堂及20#楼东社区服务用房装修工程结算明细表</t>
  </si>
  <si>
    <t>单位</t>
  </si>
  <si>
    <t>单价（元）</t>
  </si>
  <si>
    <t>土建部分清单</t>
  </si>
  <si>
    <t>项</t>
  </si>
  <si>
    <t>详见后附表</t>
  </si>
  <si>
    <t>安装部分清单</t>
  </si>
  <si>
    <t>设计变更</t>
  </si>
  <si>
    <t>合计</t>
  </si>
  <si>
    <t>最终结算</t>
  </si>
  <si>
    <t>甲方</t>
  </si>
  <si>
    <t>日期</t>
  </si>
  <si>
    <t>乙方</t>
  </si>
  <si>
    <t>栾川山水文苑S1地块12-20#楼地下大堂及20#楼东社区服务用房装修明细表</t>
  </si>
  <si>
    <t>工程量</t>
  </si>
  <si>
    <t>单价</t>
  </si>
  <si>
    <t>合价（元）</t>
  </si>
  <si>
    <t>一、</t>
  </si>
  <si>
    <t>12-20#楼地下车库入主楼大堂精装修</t>
  </si>
  <si>
    <t>1、</t>
  </si>
  <si>
    <t>12#楼</t>
  </si>
  <si>
    <t>2、</t>
  </si>
  <si>
    <t>铝格栅吊顶40*60*0.7</t>
  </si>
  <si>
    <t>㎡</t>
  </si>
  <si>
    <t>3、</t>
  </si>
  <si>
    <t>格栅边框含乳胶漆200*200(阻燃板基层、石膏板面层）</t>
  </si>
  <si>
    <t>m</t>
  </si>
  <si>
    <t>4、</t>
  </si>
  <si>
    <t>防火玻璃门</t>
  </si>
  <si>
    <t>5、</t>
  </si>
  <si>
    <t>不锈钢门套</t>
  </si>
  <si>
    <t>6、</t>
  </si>
  <si>
    <t>13#楼</t>
  </si>
  <si>
    <t>7、</t>
  </si>
  <si>
    <t>8、</t>
  </si>
  <si>
    <t>9、</t>
  </si>
  <si>
    <t>10、</t>
  </si>
  <si>
    <t>11、</t>
  </si>
  <si>
    <t>15#楼</t>
  </si>
  <si>
    <t>12、</t>
  </si>
  <si>
    <t>13、</t>
  </si>
  <si>
    <t>14、</t>
  </si>
  <si>
    <t>15、</t>
  </si>
  <si>
    <t>16、</t>
  </si>
  <si>
    <t>16#楼</t>
  </si>
  <si>
    <t>17、</t>
  </si>
  <si>
    <t>石膏板吊顶</t>
  </si>
  <si>
    <t>18、</t>
  </si>
  <si>
    <t>19、</t>
  </si>
  <si>
    <t>变更为边骨</t>
  </si>
  <si>
    <t>20、</t>
  </si>
  <si>
    <t>21、</t>
  </si>
  <si>
    <t>22、</t>
  </si>
  <si>
    <t>17#楼</t>
  </si>
  <si>
    <t>23、</t>
  </si>
  <si>
    <t>24、</t>
  </si>
  <si>
    <t>25、</t>
  </si>
  <si>
    <t>26、</t>
  </si>
  <si>
    <t>27、</t>
  </si>
  <si>
    <t>18#楼</t>
  </si>
  <si>
    <t>28、</t>
  </si>
  <si>
    <t>29、</t>
  </si>
  <si>
    <t>30、</t>
  </si>
  <si>
    <t>31、</t>
  </si>
  <si>
    <t>32、</t>
  </si>
  <si>
    <t>19#楼</t>
  </si>
  <si>
    <t>33、</t>
  </si>
  <si>
    <t>34、</t>
  </si>
  <si>
    <t>35、</t>
  </si>
  <si>
    <t>36、</t>
  </si>
  <si>
    <t>37、</t>
  </si>
  <si>
    <t>20#楼</t>
  </si>
  <si>
    <t>38、</t>
  </si>
  <si>
    <t>39、</t>
  </si>
  <si>
    <t>40、</t>
  </si>
  <si>
    <t>41、</t>
  </si>
  <si>
    <t>42、</t>
  </si>
  <si>
    <t>43、</t>
  </si>
  <si>
    <t>社区用房</t>
  </si>
  <si>
    <t>44、</t>
  </si>
  <si>
    <t>社区用房地砖</t>
  </si>
  <si>
    <t>45、</t>
  </si>
  <si>
    <t>社区用房乳胶漆</t>
  </si>
  <si>
    <t>46、</t>
  </si>
  <si>
    <t>社区用房墙砖</t>
  </si>
  <si>
    <t>47、</t>
  </si>
  <si>
    <t>栾川山水文苑S1地块12-20#楼地下大堂及20#楼东社区服务用房装修安装明细表</t>
  </si>
  <si>
    <t>配管</t>
  </si>
  <si>
    <t>配线</t>
  </si>
  <si>
    <t>通长铝型材灯</t>
  </si>
  <si>
    <t>电源及感应模块</t>
  </si>
  <si>
    <t>套</t>
  </si>
  <si>
    <t>筒灯</t>
  </si>
  <si>
    <t>个</t>
  </si>
  <si>
    <t>灯带</t>
  </si>
  <si>
    <t>感应筒灯</t>
  </si>
  <si>
    <t>栾川山水文苑S1地块12-20#楼地下大堂及20#楼东社区服务用房增项明细表</t>
  </si>
  <si>
    <t>12#楼轻钢龙骨石膏板吊顶+白色乳胶漆</t>
  </si>
  <si>
    <t>约谈记录</t>
  </si>
  <si>
    <t>13#楼轻钢龙骨石膏板吊顶+白色乳胶漆</t>
  </si>
  <si>
    <t>15#楼轻钢龙骨石膏板吊顶+白色乳胶漆</t>
  </si>
  <si>
    <t>16#楼轻钢龙骨石膏板吊顶+白色乳胶漆</t>
  </si>
  <si>
    <t>17#楼轻钢龙骨石膏板吊顶+白色乳胶漆</t>
  </si>
  <si>
    <t>17#楼铝方通吊顶</t>
  </si>
  <si>
    <t>含边框</t>
  </si>
  <si>
    <t>18#楼轻钢龙骨石膏板吊顶+白色乳胶漆</t>
  </si>
  <si>
    <t>18#楼铝方通吊顶</t>
  </si>
  <si>
    <t>19#楼轻钢龙骨石膏板吊顶+白色乳胶漆</t>
  </si>
  <si>
    <t>19#楼铝方通吊顶</t>
  </si>
  <si>
    <t>20#楼轻钢龙骨石膏板吊顶+白色乳胶漆</t>
  </si>
  <si>
    <t>20#楼铝方通吊顶</t>
  </si>
  <si>
    <t>12-20一层大堂镜子</t>
  </si>
  <si>
    <t>12-20地下室包不锈钢套</t>
  </si>
  <si>
    <t>郑州宜信装饰工程有限公司</t>
  </si>
  <si>
    <t>12-20地下室消防箱周边收胶</t>
  </si>
  <si>
    <t>社区用房踢脚线（塑木）</t>
  </si>
  <si>
    <t>协商价</t>
  </si>
  <si>
    <t>安装部分</t>
  </si>
  <si>
    <t>12#楼LED灯带</t>
  </si>
  <si>
    <t>12#楼感应筒灯</t>
  </si>
  <si>
    <t>12#楼配管</t>
  </si>
  <si>
    <t>配管不增加，原合同配管数量有余</t>
  </si>
  <si>
    <t>12#楼配线</t>
  </si>
  <si>
    <t>12#楼感应模块</t>
  </si>
  <si>
    <t>13#楼LED灯带</t>
  </si>
  <si>
    <t>13#楼感应筒灯</t>
  </si>
  <si>
    <t>13#楼配管</t>
  </si>
  <si>
    <t>13#楼配线</t>
  </si>
  <si>
    <t>13#楼感应模块</t>
  </si>
  <si>
    <t>15#楼LED灯带</t>
  </si>
  <si>
    <t>15#楼感应筒灯</t>
  </si>
  <si>
    <t>15#楼配管</t>
  </si>
  <si>
    <t>15#楼配线</t>
  </si>
  <si>
    <t>15#楼感应模块</t>
  </si>
  <si>
    <t>16#楼LED灯带</t>
  </si>
  <si>
    <t>16#楼感应筒灯</t>
  </si>
  <si>
    <t>16#楼配管</t>
  </si>
  <si>
    <t>16#楼配线</t>
  </si>
  <si>
    <t>16#楼感应模块</t>
  </si>
  <si>
    <t>17#楼LED灯带</t>
  </si>
  <si>
    <t>17#楼感应筒灯</t>
  </si>
  <si>
    <t>17#楼配管</t>
  </si>
  <si>
    <t>17#楼配线</t>
  </si>
  <si>
    <t>17#楼感应模块</t>
  </si>
  <si>
    <t>17#格栅灯</t>
  </si>
  <si>
    <t>48、</t>
  </si>
  <si>
    <t>18#楼感应筒灯</t>
  </si>
  <si>
    <t>49、</t>
  </si>
  <si>
    <t>18#楼配管</t>
  </si>
  <si>
    <t>50、</t>
  </si>
  <si>
    <t>18#楼配线</t>
  </si>
  <si>
    <t>51、</t>
  </si>
  <si>
    <t>18#楼感应模块</t>
  </si>
  <si>
    <t>52、</t>
  </si>
  <si>
    <t>18#格栅灯</t>
  </si>
  <si>
    <t>53、</t>
  </si>
  <si>
    <t>19#楼LED灯带</t>
  </si>
  <si>
    <t>54、</t>
  </si>
  <si>
    <t>19#楼感应筒灯</t>
  </si>
  <si>
    <t>55、</t>
  </si>
  <si>
    <t>19#楼配管</t>
  </si>
  <si>
    <t>56、</t>
  </si>
  <si>
    <t>19#楼配线</t>
  </si>
  <si>
    <t>57、</t>
  </si>
  <si>
    <t>19#楼感应模块</t>
  </si>
  <si>
    <t>58、</t>
  </si>
  <si>
    <t>19#格栅灯</t>
  </si>
  <si>
    <t>59、</t>
  </si>
  <si>
    <t>20#楼LED灯带</t>
  </si>
  <si>
    <t>60、</t>
  </si>
  <si>
    <t>20#楼感应筒灯</t>
  </si>
  <si>
    <t>61、</t>
  </si>
  <si>
    <t>20#楼配管</t>
  </si>
  <si>
    <t>62、</t>
  </si>
  <si>
    <t>20#楼配线</t>
  </si>
  <si>
    <t>63、</t>
  </si>
  <si>
    <t>20#楼感应模块</t>
  </si>
  <si>
    <t>64、</t>
  </si>
  <si>
    <t>20#格栅灯</t>
  </si>
  <si>
    <t>65、</t>
  </si>
  <si>
    <t>社区服务用房蹲便</t>
  </si>
  <si>
    <t>66、</t>
  </si>
  <si>
    <t>社区服务用房洗手池及龙头</t>
  </si>
  <si>
    <t>67、</t>
  </si>
  <si>
    <t>社区服务中心乳胶漆</t>
  </si>
  <si>
    <t>周长</t>
  </si>
  <si>
    <t>高度</t>
  </si>
  <si>
    <t>窗</t>
  </si>
  <si>
    <t>门</t>
  </si>
  <si>
    <t>墙面</t>
  </si>
  <si>
    <t>顶面</t>
  </si>
  <si>
    <t>梁侧面</t>
  </si>
  <si>
    <t>柱子</t>
  </si>
  <si>
    <t>柱子加墙</t>
  </si>
  <si>
    <t>配管计算式</t>
  </si>
  <si>
    <t>计算式</t>
  </si>
  <si>
    <t>米数</t>
  </si>
  <si>
    <t>12#楼西单元</t>
  </si>
  <si>
    <t>（2.89+1.92+1.19+5.32+0.84+0.83+0.68+3）+10*0.1</t>
  </si>
  <si>
    <t>12#楼东单元</t>
  </si>
  <si>
    <t>（0.99+1.79+1.89+2.61+2.62+1.79+2.65+1.02+3）+10*0.1</t>
  </si>
  <si>
    <t>13#楼西单元</t>
  </si>
  <si>
    <t>（1.74+4.05+1.14+1.58+1.63+2.55+1.95+1.01+0.96+3）+10*0.1</t>
  </si>
  <si>
    <t>13#楼东单元</t>
  </si>
  <si>
    <t>（2.04+3.97+1.11+1.56+1.42+4.32+1.14+1+3）+10*0.1</t>
  </si>
  <si>
    <t>15#楼西单元</t>
  </si>
  <si>
    <t>（1.22+3.6+0.88+5.02+2.32+2.32+3）+10*0.1</t>
  </si>
  <si>
    <t>15#楼东单元</t>
  </si>
  <si>
    <t>（1.34+1.06+3.78+4.68+0.99+2.1+3）+9*0.1</t>
  </si>
  <si>
    <t>16#楼西单元</t>
  </si>
  <si>
    <t>（1.97+2.14+1.03+2.66+3.27+2.24+1.64+1.55+1.64+0.86+3）+12*0.1</t>
  </si>
  <si>
    <t>16#楼东单元</t>
  </si>
  <si>
    <t>（9.93+6.76+3.19+1.8+3.66+7.99+1.2+1.16+1.24+3.14+3）+23*0.1</t>
  </si>
  <si>
    <t>17#楼西单元</t>
  </si>
  <si>
    <t>（4.64+1.63+2.34+5.61+1.77+3）+9*0.1</t>
  </si>
  <si>
    <t>17#楼东单元</t>
  </si>
  <si>
    <t>（1.16+1.77+2.05+1.13+8.02+0.99+3）+9*0.1</t>
  </si>
  <si>
    <t>18#楼西单元</t>
  </si>
  <si>
    <t>（1.77+2.01+1.22+5.38+1.77+3.39+2.06+1.29+1.13+3）+11*0.1</t>
  </si>
  <si>
    <t>18#楼东单元</t>
  </si>
  <si>
    <t>（1.48+1.61+1.71+4.93+3.08+6.61+1.09+1.09+3）+12*0.1</t>
  </si>
  <si>
    <t>19#楼西单元</t>
  </si>
  <si>
    <t>（1.89+1.86+1.17+1.02+1.52+2.99+2.32+0.96+8.36+1.33+1.14*3+3）+16*0.1</t>
  </si>
  <si>
    <t>19#楼东单元</t>
  </si>
  <si>
    <t>（2+1.92+1.96+1.41+2.95+4.48+0.57*2+3）+10*0.1</t>
  </si>
  <si>
    <t>20#楼西单元</t>
  </si>
  <si>
    <t>（1+3.94+0.5+7.13+0.56*2+3）+9*0.1</t>
  </si>
  <si>
    <t>20#楼东单元</t>
  </si>
  <si>
    <t>（1.85+1.99+0.96+2.61+0.6+9.83+1.21+1.07+3）+10*0.1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</si>
</sst>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[DBNum2][$RMB]General;[Red][DBNum2][$RMB]General"/>
    <numFmt numFmtId="179" formatCode="#,##0.00&quot;元&quot;"/>
    <numFmt numFmtId="180" formatCode="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SimSun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177" fontId="0" fillId="0" borderId="0" xfId="0" applyNumberFormat="1">
      <alignment vertical="center"/>
    </xf>
    <xf numFmtId="178" fontId="7" fillId="0" borderId="0" xfId="0" applyNumberFormat="1" applyFont="1" applyFill="1" applyAlignment="1">
      <alignment vertical="center"/>
    </xf>
    <xf numFmtId="178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 wrapText="1"/>
    </xf>
    <xf numFmtId="178" fontId="9" fillId="0" borderId="0" xfId="0" applyNumberFormat="1" applyFont="1" applyFill="1" applyAlignment="1">
      <alignment horizontal="left" vertical="center" wrapText="1"/>
    </xf>
    <xf numFmtId="178" fontId="9" fillId="0" borderId="0" xfId="0" applyNumberFormat="1" applyFont="1" applyFill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justify" vertical="top" wrapText="1"/>
    </xf>
    <xf numFmtId="176" fontId="12" fillId="0" borderId="1" xfId="0" applyNumberFormat="1" applyFont="1" applyFill="1" applyBorder="1" applyAlignment="1">
      <alignment horizontal="justify" vertical="top" wrapText="1"/>
    </xf>
    <xf numFmtId="176" fontId="12" fillId="0" borderId="1" xfId="0" applyNumberFormat="1" applyFont="1" applyFill="1" applyBorder="1" applyAlignment="1">
      <alignment horizontal="center" vertical="top" wrapText="1"/>
    </xf>
    <xf numFmtId="178" fontId="12" fillId="0" borderId="1" xfId="0" applyNumberFormat="1" applyFont="1" applyFill="1" applyBorder="1" applyAlignment="1">
      <alignment horizontal="justify" vertical="top" wrapText="1"/>
    </xf>
    <xf numFmtId="179" fontId="12" fillId="0" borderId="1" xfId="0" applyNumberFormat="1" applyFont="1" applyFill="1" applyBorder="1" applyAlignment="1">
      <alignment horizontal="justify" vertical="top" wrapText="1"/>
    </xf>
    <xf numFmtId="178" fontId="9" fillId="0" borderId="1" xfId="0" applyNumberFormat="1" applyFont="1" applyFill="1" applyBorder="1" applyAlignment="1">
      <alignment horizontal="left" vertical="top" wrapText="1"/>
    </xf>
    <xf numFmtId="178" fontId="13" fillId="0" borderId="0" xfId="0" applyNumberFormat="1" applyFont="1" applyFill="1" applyAlignment="1">
      <alignment vertical="center" wrapText="1"/>
    </xf>
    <xf numFmtId="178" fontId="14" fillId="0" borderId="0" xfId="0" applyNumberFormat="1" applyFont="1" applyFill="1" applyAlignment="1">
      <alignment horizontal="left" vertical="center"/>
    </xf>
    <xf numFmtId="178" fontId="11" fillId="0" borderId="0" xfId="0" applyNumberFormat="1" applyFont="1" applyFill="1" applyAlignment="1">
      <alignment horizontal="justify" vertical="center"/>
    </xf>
    <xf numFmtId="178" fontId="11" fillId="0" borderId="0" xfId="0" applyNumberFormat="1" applyFont="1" applyFill="1" applyAlignment="1">
      <alignment horizontal="left" vertical="center" wrapText="1"/>
    </xf>
    <xf numFmtId="178" fontId="15" fillId="0" borderId="0" xfId="0" applyNumberFormat="1" applyFont="1" applyFill="1" applyAlignment="1">
      <alignment vertical="center"/>
    </xf>
    <xf numFmtId="178" fontId="16" fillId="0" borderId="0" xfId="0" applyNumberFormat="1" applyFont="1" applyFill="1" applyBorder="1" applyAlignment="1">
      <alignment vertical="center"/>
    </xf>
    <xf numFmtId="178" fontId="16" fillId="0" borderId="0" xfId="0" applyNumberFormat="1" applyFont="1" applyFill="1" applyAlignment="1">
      <alignment vertical="center"/>
    </xf>
    <xf numFmtId="178" fontId="17" fillId="0" borderId="0" xfId="0" applyNumberFormat="1" applyFont="1" applyFill="1" applyAlignment="1">
      <alignment vertical="center"/>
    </xf>
    <xf numFmtId="178" fontId="7" fillId="0" borderId="0" xfId="0" applyNumberFormat="1" applyFont="1" applyFill="1" applyAlignment="1">
      <alignment horizontal="center" vertical="center" wrapText="1"/>
    </xf>
    <xf numFmtId="178" fontId="7" fillId="0" borderId="0" xfId="0" applyNumberFormat="1" applyFont="1" applyFill="1" applyAlignment="1">
      <alignment vertical="center" wrapText="1"/>
    </xf>
    <xf numFmtId="178" fontId="7" fillId="0" borderId="0" xfId="0" applyNumberFormat="1" applyFont="1" applyFill="1" applyAlignment="1">
      <alignment horizontal="left" vertical="center" wrapText="1"/>
    </xf>
    <xf numFmtId="178" fontId="18" fillId="0" borderId="0" xfId="0" applyNumberFormat="1" applyFont="1" applyFill="1" applyAlignment="1">
      <alignment horizontal="center" vertical="center" wrapText="1"/>
    </xf>
    <xf numFmtId="178" fontId="18" fillId="0" borderId="0" xfId="0" applyNumberFormat="1" applyFont="1" applyFill="1" applyAlignment="1">
      <alignment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178" fontId="0" fillId="0" borderId="1" xfId="22" applyNumberFormat="1" applyFont="1" applyFill="1" applyBorder="1" applyAlignment="1">
      <alignment vertical="center" wrapText="1"/>
    </xf>
    <xf numFmtId="178" fontId="0" fillId="0" borderId="1" xfId="22" applyNumberFormat="1" applyFont="1" applyFill="1" applyBorder="1" applyAlignment="1">
      <alignment horizontal="center" vertical="center" wrapText="1"/>
    </xf>
    <xf numFmtId="178" fontId="15" fillId="0" borderId="0" xfId="0" applyNumberFormat="1" applyFont="1" applyFill="1" applyAlignment="1">
      <alignment vertical="center" wrapText="1"/>
    </xf>
    <xf numFmtId="178" fontId="19" fillId="0" borderId="0" xfId="0" applyNumberFormat="1" applyFont="1" applyFill="1" applyAlignment="1">
      <alignment vertical="center" wrapText="1"/>
    </xf>
    <xf numFmtId="178" fontId="19" fillId="0" borderId="0" xfId="0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9" workbookViewId="0">
      <selection activeCell="M18" sqref="M18"/>
    </sheetView>
  </sheetViews>
  <sheetFormatPr defaultColWidth="9" defaultRowHeight="14.25" outlineLevelCol="6"/>
  <cols>
    <col min="1" max="1" width="4.875" style="61" customWidth="1"/>
    <col min="2" max="2" width="41.875" style="62" customWidth="1"/>
    <col min="3" max="3" width="8.875" style="61" customWidth="1"/>
    <col min="4" max="4" width="11.375" style="61" customWidth="1"/>
    <col min="5" max="5" width="12.375" style="62" customWidth="1"/>
    <col min="6" max="6" width="8" style="63" customWidth="1"/>
    <col min="7" max="7" width="8.5" style="62" customWidth="1"/>
    <col min="8" max="8" width="11.75" style="40"/>
    <col min="9" max="16384" width="9" style="40"/>
  </cols>
  <sheetData>
    <row r="1" s="40" customFormat="1" ht="45" customHeight="1" spans="1:7">
      <c r="A1" s="64" t="s">
        <v>0</v>
      </c>
      <c r="B1" s="64"/>
      <c r="C1" s="64"/>
      <c r="D1" s="64"/>
      <c r="E1" s="64"/>
      <c r="F1" s="64"/>
      <c r="G1" s="65"/>
    </row>
    <row r="2" s="40" customFormat="1" ht="39" customHeight="1" spans="1:7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  <c r="G2" s="62"/>
    </row>
    <row r="3" s="57" customFormat="1" ht="27" spans="1:7">
      <c r="A3" s="67">
        <v>1</v>
      </c>
      <c r="B3" s="68" t="s">
        <v>7</v>
      </c>
      <c r="C3" s="69" t="s">
        <v>8</v>
      </c>
      <c r="D3" s="69" t="s">
        <v>9</v>
      </c>
      <c r="E3" s="68" t="s">
        <v>10</v>
      </c>
      <c r="F3" s="68"/>
      <c r="G3" s="70"/>
    </row>
    <row r="4" s="57" customFormat="1" ht="27" customHeight="1" spans="1:7">
      <c r="A4" s="67">
        <v>2</v>
      </c>
      <c r="B4" s="68" t="s">
        <v>11</v>
      </c>
      <c r="C4" s="69" t="s">
        <v>8</v>
      </c>
      <c r="D4" s="69" t="s">
        <v>12</v>
      </c>
      <c r="E4" s="68" t="s">
        <v>10</v>
      </c>
      <c r="F4" s="68"/>
      <c r="G4" s="70"/>
    </row>
    <row r="5" s="57" customFormat="1" ht="27" customHeight="1" spans="1:7">
      <c r="A5" s="67">
        <v>3</v>
      </c>
      <c r="B5" s="68" t="s">
        <v>13</v>
      </c>
      <c r="C5" s="69" t="s">
        <v>8</v>
      </c>
      <c r="D5" s="69" t="s">
        <v>14</v>
      </c>
      <c r="E5" s="68" t="s">
        <v>10</v>
      </c>
      <c r="F5" s="68"/>
      <c r="G5" s="70"/>
    </row>
    <row r="6" s="57" customFormat="1" ht="27" customHeight="1" spans="1:7">
      <c r="A6" s="67">
        <v>4</v>
      </c>
      <c r="B6" s="68" t="s">
        <v>15</v>
      </c>
      <c r="C6" s="69" t="s">
        <v>8</v>
      </c>
      <c r="D6" s="69" t="s">
        <v>16</v>
      </c>
      <c r="E6" s="68" t="s">
        <v>10</v>
      </c>
      <c r="F6" s="68"/>
      <c r="G6" s="70"/>
    </row>
    <row r="7" s="57" customFormat="1" ht="27" customHeight="1" spans="1:7">
      <c r="A7" s="67">
        <v>5</v>
      </c>
      <c r="B7" s="68" t="s">
        <v>17</v>
      </c>
      <c r="C7" s="69" t="s">
        <v>18</v>
      </c>
      <c r="D7" s="69" t="s">
        <v>19</v>
      </c>
      <c r="E7" s="68" t="s">
        <v>10</v>
      </c>
      <c r="F7" s="68"/>
      <c r="G7" s="70"/>
    </row>
    <row r="8" s="57" customFormat="1" ht="32.1" customHeight="1" spans="1:7">
      <c r="A8" s="67">
        <v>6</v>
      </c>
      <c r="B8" s="68" t="s">
        <v>20</v>
      </c>
      <c r="C8" s="69" t="s">
        <v>8</v>
      </c>
      <c r="D8" s="69" t="s">
        <v>21</v>
      </c>
      <c r="E8" s="68" t="s">
        <v>10</v>
      </c>
      <c r="F8" s="68"/>
      <c r="G8" s="71"/>
    </row>
    <row r="9" s="57" customFormat="1" ht="32.1" customHeight="1" spans="1:7">
      <c r="A9" s="67">
        <v>7</v>
      </c>
      <c r="B9" s="68" t="s">
        <v>22</v>
      </c>
      <c r="C9" s="69" t="s">
        <v>8</v>
      </c>
      <c r="D9" s="69" t="s">
        <v>23</v>
      </c>
      <c r="E9" s="68" t="s">
        <v>10</v>
      </c>
      <c r="F9" s="68"/>
      <c r="G9" s="71"/>
    </row>
    <row r="10" s="58" customFormat="1" ht="32.1" customHeight="1" spans="1:7">
      <c r="A10" s="67">
        <v>8</v>
      </c>
      <c r="B10" s="68" t="s">
        <v>24</v>
      </c>
      <c r="C10" s="69" t="s">
        <v>8</v>
      </c>
      <c r="D10" s="69" t="s">
        <v>25</v>
      </c>
      <c r="E10" s="68" t="s">
        <v>10</v>
      </c>
      <c r="F10" s="68"/>
      <c r="G10" s="72"/>
    </row>
    <row r="11" s="59" customFormat="1" ht="32.1" customHeight="1" spans="1:7">
      <c r="A11" s="67">
        <v>9</v>
      </c>
      <c r="B11" s="68" t="s">
        <v>26</v>
      </c>
      <c r="C11" s="69" t="s">
        <v>8</v>
      </c>
      <c r="D11" s="69" t="s">
        <v>27</v>
      </c>
      <c r="E11" s="68" t="s">
        <v>10</v>
      </c>
      <c r="F11" s="68"/>
      <c r="G11" s="71"/>
    </row>
    <row r="12" s="59" customFormat="1" ht="32.1" customHeight="1" spans="1:7">
      <c r="A12" s="67">
        <v>10</v>
      </c>
      <c r="B12" s="68" t="s">
        <v>28</v>
      </c>
      <c r="C12" s="69" t="s">
        <v>8</v>
      </c>
      <c r="D12" s="69" t="s">
        <v>29</v>
      </c>
      <c r="E12" s="68" t="s">
        <v>10</v>
      </c>
      <c r="F12" s="68"/>
      <c r="G12" s="71"/>
    </row>
    <row r="13" s="59" customFormat="1" ht="32.1" customHeight="1" spans="1:7">
      <c r="A13" s="67">
        <v>11</v>
      </c>
      <c r="B13" s="68" t="s">
        <v>30</v>
      </c>
      <c r="C13" s="69" t="s">
        <v>8</v>
      </c>
      <c r="D13" s="69" t="s">
        <v>31</v>
      </c>
      <c r="E13" s="68" t="s">
        <v>10</v>
      </c>
      <c r="F13" s="68"/>
      <c r="G13" s="71"/>
    </row>
    <row r="14" s="59" customFormat="1" ht="32.1" customHeight="1" spans="1:7">
      <c r="A14" s="67">
        <v>12</v>
      </c>
      <c r="B14" s="68" t="s">
        <v>32</v>
      </c>
      <c r="C14" s="69" t="s">
        <v>33</v>
      </c>
      <c r="D14" s="69" t="s">
        <v>34</v>
      </c>
      <c r="E14" s="68" t="s">
        <v>10</v>
      </c>
      <c r="F14" s="68"/>
      <c r="G14" s="71"/>
    </row>
    <row r="15" s="59" customFormat="1" ht="32.1" customHeight="1" spans="1:7">
      <c r="A15" s="67">
        <v>13</v>
      </c>
      <c r="B15" s="68" t="s">
        <v>35</v>
      </c>
      <c r="C15" s="69" t="s">
        <v>8</v>
      </c>
      <c r="D15" s="69" t="s">
        <v>36</v>
      </c>
      <c r="E15" s="68" t="s">
        <v>10</v>
      </c>
      <c r="F15" s="68"/>
      <c r="G15" s="71"/>
    </row>
    <row r="16" s="59" customFormat="1" ht="32.1" customHeight="1" spans="1:7">
      <c r="A16" s="67">
        <v>14</v>
      </c>
      <c r="B16" s="68" t="s">
        <v>37</v>
      </c>
      <c r="C16" s="69" t="s">
        <v>38</v>
      </c>
      <c r="D16" s="69" t="s">
        <v>39</v>
      </c>
      <c r="E16" s="68" t="s">
        <v>10</v>
      </c>
      <c r="F16" s="68"/>
      <c r="G16" s="71"/>
    </row>
    <row r="17" s="59" customFormat="1" ht="32.1" customHeight="1" spans="1:7">
      <c r="A17" s="67">
        <v>15</v>
      </c>
      <c r="B17" s="68" t="s">
        <v>40</v>
      </c>
      <c r="C17" s="69" t="s">
        <v>41</v>
      </c>
      <c r="D17" s="69" t="s">
        <v>42</v>
      </c>
      <c r="E17" s="68" t="s">
        <v>10</v>
      </c>
      <c r="F17" s="68"/>
      <c r="G17" s="71"/>
    </row>
    <row r="18" s="60" customFormat="1" ht="52" customHeight="1" spans="1:7">
      <c r="A18" s="67">
        <v>16</v>
      </c>
      <c r="B18" s="68" t="s">
        <v>43</v>
      </c>
      <c r="C18" s="69" t="s">
        <v>44</v>
      </c>
      <c r="D18" s="69" t="s">
        <v>45</v>
      </c>
      <c r="E18" s="68" t="s">
        <v>10</v>
      </c>
      <c r="F18" s="68"/>
      <c r="G18" s="71"/>
    </row>
    <row r="19" s="60" customFormat="1" ht="21" customHeight="1" spans="1:7">
      <c r="A19" s="67">
        <v>17</v>
      </c>
      <c r="B19" s="68" t="s">
        <v>46</v>
      </c>
      <c r="C19" s="69" t="s">
        <v>47</v>
      </c>
      <c r="D19" s="69"/>
      <c r="E19" s="68"/>
      <c r="F19" s="68"/>
      <c r="G19" s="71"/>
    </row>
    <row r="20" s="40" customFormat="1" ht="33.95" customHeight="1" spans="1:7">
      <c r="A20" s="73" t="s">
        <v>48</v>
      </c>
      <c r="B20" s="73"/>
      <c r="C20" s="73" t="s">
        <v>49</v>
      </c>
      <c r="D20" s="73"/>
      <c r="E20" s="73"/>
      <c r="F20" s="73"/>
      <c r="G20" s="62"/>
    </row>
    <row r="21" s="40" customFormat="1" ht="26.1" customHeight="1" spans="1:7">
      <c r="A21" s="73"/>
      <c r="B21" s="73"/>
      <c r="C21" s="73"/>
      <c r="D21" s="73"/>
      <c r="E21" s="73"/>
      <c r="F21" s="73"/>
      <c r="G21" s="62"/>
    </row>
    <row r="22" s="40" customFormat="1" spans="1:7">
      <c r="A22" s="61"/>
      <c r="B22" s="62"/>
      <c r="C22" s="61"/>
      <c r="D22" s="61"/>
      <c r="E22" s="62"/>
      <c r="F22" s="63"/>
      <c r="G22" s="62"/>
    </row>
    <row r="23" s="40" customFormat="1" spans="1:7">
      <c r="A23" s="61"/>
      <c r="B23" s="62"/>
      <c r="C23" s="61"/>
      <c r="D23" s="61"/>
      <c r="E23" s="62"/>
      <c r="F23" s="63"/>
      <c r="G23" s="62"/>
    </row>
    <row r="24" s="40" customFormat="1" spans="1:7">
      <c r="A24" s="61"/>
      <c r="B24" s="62"/>
      <c r="C24" s="61"/>
      <c r="D24" s="61"/>
      <c r="E24" s="62"/>
      <c r="F24" s="63"/>
      <c r="G24" s="62"/>
    </row>
    <row r="25" s="40" customFormat="1" spans="1:7">
      <c r="A25" s="61"/>
      <c r="B25" s="62"/>
      <c r="C25" s="61"/>
      <c r="D25" s="61"/>
      <c r="E25" s="62"/>
      <c r="F25" s="63"/>
      <c r="G25" s="62"/>
    </row>
    <row r="26" s="40" customFormat="1" spans="1:7">
      <c r="A26" s="61"/>
      <c r="B26" s="62"/>
      <c r="C26" s="61"/>
      <c r="D26" s="61"/>
      <c r="E26" s="62"/>
      <c r="F26" s="63"/>
      <c r="G26" s="62"/>
    </row>
    <row r="27" s="40" customFormat="1" spans="1:7">
      <c r="A27" s="61"/>
      <c r="B27" s="62"/>
      <c r="C27" s="61"/>
      <c r="D27" s="61"/>
      <c r="E27" s="62"/>
      <c r="F27" s="63"/>
      <c r="G27" s="62"/>
    </row>
    <row r="28" s="40" customFormat="1" spans="1:7">
      <c r="A28" s="61"/>
      <c r="B28" s="62"/>
      <c r="C28" s="61"/>
      <c r="D28" s="61"/>
      <c r="E28" s="62"/>
      <c r="F28" s="63"/>
      <c r="G28" s="62"/>
    </row>
    <row r="29" s="40" customFormat="1" spans="1:7">
      <c r="A29" s="61"/>
      <c r="B29" s="62"/>
      <c r="C29" s="61"/>
      <c r="D29" s="61"/>
      <c r="E29" s="62"/>
      <c r="F29" s="63"/>
      <c r="G29" s="62"/>
    </row>
    <row r="30" s="40" customFormat="1" spans="1:7">
      <c r="A30" s="61"/>
      <c r="B30" s="62"/>
      <c r="C30" s="61"/>
      <c r="D30" s="61"/>
      <c r="E30" s="62"/>
      <c r="F30" s="63"/>
      <c r="G30" s="62"/>
    </row>
    <row r="31" s="40" customFormat="1" spans="1:7">
      <c r="A31" s="61"/>
      <c r="B31" s="62"/>
      <c r="C31" s="61"/>
      <c r="D31" s="61"/>
      <c r="E31" s="62"/>
      <c r="F31" s="63"/>
      <c r="G31" s="62"/>
    </row>
    <row r="32" s="40" customFormat="1" spans="1:7">
      <c r="A32" s="61"/>
      <c r="B32" s="62"/>
      <c r="C32" s="61"/>
      <c r="D32" s="61"/>
      <c r="E32" s="62"/>
      <c r="F32" s="63"/>
      <c r="G32" s="62"/>
    </row>
    <row r="33" s="40" customFormat="1" spans="1:7">
      <c r="A33" s="61"/>
      <c r="B33" s="62"/>
      <c r="C33" s="61"/>
      <c r="D33" s="61"/>
      <c r="E33" s="62"/>
      <c r="F33" s="63"/>
      <c r="G33" s="62"/>
    </row>
    <row r="34" s="40" customFormat="1" spans="1:7">
      <c r="A34" s="61"/>
      <c r="B34" s="62"/>
      <c r="C34" s="61"/>
      <c r="D34" s="61"/>
      <c r="E34" s="62"/>
      <c r="F34" s="63"/>
      <c r="G34" s="62"/>
    </row>
    <row r="35" s="40" customFormat="1" spans="1:7">
      <c r="A35" s="61"/>
      <c r="B35" s="62"/>
      <c r="C35" s="61"/>
      <c r="D35" s="61"/>
      <c r="E35" s="62"/>
      <c r="F35" s="63"/>
      <c r="G35" s="62"/>
    </row>
    <row r="36" s="40" customFormat="1" ht="43.5" customHeight="1" spans="1:7">
      <c r="A36" s="61"/>
      <c r="B36" s="62"/>
      <c r="C36" s="61"/>
      <c r="D36" s="61"/>
      <c r="E36" s="62"/>
      <c r="F36" s="63"/>
      <c r="G36" s="62"/>
    </row>
  </sheetData>
  <mergeCells count="3">
    <mergeCell ref="A1:F1"/>
    <mergeCell ref="A20:B21"/>
    <mergeCell ref="C20:F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5" workbookViewId="0">
      <selection activeCell="J10" sqref="J10"/>
    </sheetView>
  </sheetViews>
  <sheetFormatPr defaultColWidth="9" defaultRowHeight="14.25" outlineLevelCol="7"/>
  <cols>
    <col min="1" max="1" width="10.125" style="40" customWidth="1"/>
    <col min="2" max="2" width="10.5" style="40" customWidth="1"/>
    <col min="3" max="3" width="4.5" style="40" customWidth="1"/>
    <col min="4" max="4" width="9.25" style="40" customWidth="1"/>
    <col min="5" max="5" width="10.625" style="40" customWidth="1"/>
    <col min="6" max="6" width="12" style="40" customWidth="1"/>
    <col min="7" max="7" width="12.75" style="40" customWidth="1"/>
    <col min="8" max="8" width="12.25" style="40" customWidth="1"/>
    <col min="9" max="16384" width="9" style="40"/>
  </cols>
  <sheetData>
    <row r="1" s="40" customFormat="1" ht="54" customHeight="1" spans="1:8">
      <c r="A1" s="42" t="s">
        <v>50</v>
      </c>
      <c r="B1" s="42"/>
      <c r="C1" s="42"/>
      <c r="D1" s="42"/>
      <c r="E1" s="42"/>
      <c r="F1" s="42"/>
      <c r="G1" s="42"/>
      <c r="H1" s="42"/>
    </row>
    <row r="2" s="40" customFormat="1" ht="22" customHeight="1" spans="1:8">
      <c r="A2" s="43" t="s">
        <v>51</v>
      </c>
      <c r="B2" s="43"/>
      <c r="C2" s="43"/>
      <c r="D2" s="43"/>
      <c r="E2" s="43"/>
      <c r="F2" s="43"/>
      <c r="G2" s="43"/>
      <c r="H2" s="43"/>
    </row>
    <row r="3" s="40" customFormat="1" ht="22" customHeight="1" spans="1:8">
      <c r="A3" s="43" t="s">
        <v>52</v>
      </c>
      <c r="B3" s="43"/>
      <c r="C3" s="43"/>
      <c r="D3" s="43"/>
      <c r="E3" s="43"/>
      <c r="F3" s="43"/>
      <c r="G3" s="43"/>
      <c r="H3" s="43"/>
    </row>
    <row r="4" s="40" customFormat="1" ht="22" customHeight="1" spans="1:8">
      <c r="A4" s="43" t="s">
        <v>53</v>
      </c>
      <c r="B4" s="43"/>
      <c r="C4" s="43"/>
      <c r="D4" s="43"/>
      <c r="E4" s="43"/>
      <c r="F4" s="43"/>
      <c r="G4" s="43"/>
      <c r="H4" s="43"/>
    </row>
    <row r="5" s="40" customFormat="1" ht="22" customHeight="1" spans="1:8">
      <c r="A5" s="44" t="s">
        <v>54</v>
      </c>
      <c r="B5" s="44"/>
      <c r="C5" s="44"/>
      <c r="D5" s="44"/>
      <c r="E5" s="44"/>
      <c r="F5" s="44"/>
      <c r="G5" s="44"/>
      <c r="H5" s="44"/>
    </row>
    <row r="6" s="41" customFormat="1" ht="24" customHeight="1" spans="1:8">
      <c r="A6" s="45" t="s">
        <v>1</v>
      </c>
      <c r="B6" s="45" t="s">
        <v>55</v>
      </c>
      <c r="C6" s="45"/>
      <c r="D6" s="45"/>
      <c r="E6" s="45" t="s">
        <v>56</v>
      </c>
      <c r="F6" s="45" t="s">
        <v>57</v>
      </c>
      <c r="G6" s="45" t="s">
        <v>58</v>
      </c>
      <c r="H6" s="45" t="s">
        <v>59</v>
      </c>
    </row>
    <row r="7" s="40" customFormat="1" ht="20.25" customHeight="1" spans="1:8">
      <c r="A7" s="46" t="s">
        <v>60</v>
      </c>
      <c r="B7" s="47" t="s">
        <v>61</v>
      </c>
      <c r="C7" s="47"/>
      <c r="D7" s="47"/>
      <c r="E7" s="48">
        <f>E8+E9+E10+E11</f>
        <v>0</v>
      </c>
      <c r="F7" s="48">
        <v>0</v>
      </c>
      <c r="G7" s="48">
        <f>G8+G9+G10+G11</f>
        <v>0</v>
      </c>
      <c r="H7" s="48">
        <f ca="1">H8+H102+H10+H9+H11+H12</f>
        <v>297000</v>
      </c>
    </row>
    <row r="8" s="40" customFormat="1" ht="20.25" customHeight="1" spans="1:8">
      <c r="A8" s="49">
        <v>1.1</v>
      </c>
      <c r="B8" s="50" t="s">
        <v>62</v>
      </c>
      <c r="C8" s="50"/>
      <c r="D8" s="50"/>
      <c r="E8" s="48">
        <v>0</v>
      </c>
      <c r="F8" s="48">
        <v>0</v>
      </c>
      <c r="G8" s="48">
        <v>0</v>
      </c>
      <c r="H8" s="48">
        <f ca="1">结算明细表!D3+结算明细表!D4</f>
        <v>191142.39472</v>
      </c>
    </row>
    <row r="9" s="40" customFormat="1" ht="20.25" customHeight="1" spans="1:8">
      <c r="A9" s="49">
        <v>1.2</v>
      </c>
      <c r="B9" s="50" t="s">
        <v>63</v>
      </c>
      <c r="C9" s="50"/>
      <c r="D9" s="50"/>
      <c r="E9" s="48">
        <v>0</v>
      </c>
      <c r="F9" s="48">
        <v>0</v>
      </c>
      <c r="G9" s="48">
        <v>0</v>
      </c>
      <c r="H9" s="48">
        <f>结算明细表!D5</f>
        <v>106679.95</v>
      </c>
    </row>
    <row r="10" s="40" customFormat="1" ht="20.25" customHeight="1" spans="1:8">
      <c r="A10" s="49">
        <v>1.3</v>
      </c>
      <c r="B10" s="50" t="s">
        <v>64</v>
      </c>
      <c r="C10" s="50"/>
      <c r="D10" s="50"/>
      <c r="E10" s="48">
        <v>0</v>
      </c>
      <c r="F10" s="48">
        <v>0</v>
      </c>
      <c r="G10" s="48">
        <v>0</v>
      </c>
      <c r="H10" s="48"/>
    </row>
    <row r="11" s="40" customFormat="1" ht="20.25" customHeight="1" spans="1:8">
      <c r="A11" s="49">
        <v>1.4</v>
      </c>
      <c r="B11" s="50" t="s">
        <v>65</v>
      </c>
      <c r="C11" s="50"/>
      <c r="D11" s="50"/>
      <c r="E11" s="48">
        <v>0</v>
      </c>
      <c r="F11" s="48">
        <v>0</v>
      </c>
      <c r="G11" s="48">
        <v>0</v>
      </c>
      <c r="H11" s="48"/>
    </row>
    <row r="12" s="40" customFormat="1" ht="20.25" customHeight="1" spans="1:8">
      <c r="A12" s="49">
        <v>1.5</v>
      </c>
      <c r="B12" s="50" t="s">
        <v>66</v>
      </c>
      <c r="C12" s="50"/>
      <c r="D12" s="50"/>
      <c r="E12" s="50"/>
      <c r="F12" s="50"/>
      <c r="G12" s="50"/>
      <c r="H12" s="48">
        <f ca="1">结算明细表!D7-结算明细表!D6</f>
        <v>-822.344719999994</v>
      </c>
    </row>
    <row r="13" s="40" customFormat="1" ht="20.25" customHeight="1" spans="1:8">
      <c r="A13" s="46" t="s">
        <v>67</v>
      </c>
      <c r="B13" s="47" t="s">
        <v>68</v>
      </c>
      <c r="C13" s="47"/>
      <c r="D13" s="47"/>
      <c r="E13" s="48">
        <v>0</v>
      </c>
      <c r="F13" s="48"/>
      <c r="G13" s="48">
        <v>0</v>
      </c>
      <c r="H13" s="48">
        <v>0</v>
      </c>
    </row>
    <row r="14" s="40" customFormat="1" ht="20.25" customHeight="1" spans="1:8">
      <c r="A14" s="49">
        <v>2.1</v>
      </c>
      <c r="B14" s="50" t="s">
        <v>69</v>
      </c>
      <c r="C14" s="50"/>
      <c r="D14" s="50"/>
      <c r="E14" s="48">
        <v>0</v>
      </c>
      <c r="F14" s="48"/>
      <c r="G14" s="48">
        <v>0</v>
      </c>
      <c r="H14" s="48">
        <v>0</v>
      </c>
    </row>
    <row r="15" s="40" customFormat="1" ht="20.25" customHeight="1" spans="1:8">
      <c r="A15" s="49">
        <v>2.2</v>
      </c>
      <c r="B15" s="50" t="s">
        <v>69</v>
      </c>
      <c r="C15" s="50"/>
      <c r="D15" s="50"/>
      <c r="E15" s="48">
        <v>0</v>
      </c>
      <c r="F15" s="48"/>
      <c r="G15" s="48">
        <v>0</v>
      </c>
      <c r="H15" s="48">
        <v>0</v>
      </c>
    </row>
    <row r="16" s="40" customFormat="1" ht="20.25" customHeight="1" spans="1:8">
      <c r="A16" s="46" t="s">
        <v>70</v>
      </c>
      <c r="B16" s="47" t="s">
        <v>71</v>
      </c>
      <c r="C16" s="47"/>
      <c r="D16" s="50" t="s">
        <v>72</v>
      </c>
      <c r="E16" s="51">
        <f ca="1">H7</f>
        <v>297000</v>
      </c>
      <c r="F16" s="51"/>
      <c r="G16" s="51"/>
      <c r="H16" s="51"/>
    </row>
    <row r="17" s="40" customFormat="1" ht="20.25" customHeight="1" spans="1:8">
      <c r="A17" s="46"/>
      <c r="B17" s="47"/>
      <c r="C17" s="47"/>
      <c r="D17" s="50" t="s">
        <v>73</v>
      </c>
      <c r="E17" s="52">
        <f ca="1">E16</f>
        <v>297000</v>
      </c>
      <c r="F17" s="52"/>
      <c r="G17" s="52"/>
      <c r="H17" s="52"/>
    </row>
    <row r="18" s="40" customFormat="1" ht="20.25" customHeight="1" spans="1:8">
      <c r="A18" s="46" t="s">
        <v>74</v>
      </c>
      <c r="B18" s="47" t="s">
        <v>75</v>
      </c>
      <c r="C18" s="47"/>
      <c r="D18" s="47"/>
      <c r="E18" s="48">
        <v>0</v>
      </c>
      <c r="F18" s="48"/>
      <c r="G18" s="48"/>
      <c r="H18" s="48"/>
    </row>
    <row r="19" s="40" customFormat="1" ht="20.25" customHeight="1" spans="1:8">
      <c r="A19" s="49">
        <v>4.1</v>
      </c>
      <c r="B19" s="50" t="s">
        <v>76</v>
      </c>
      <c r="C19" s="50"/>
      <c r="D19" s="50"/>
      <c r="E19" s="48">
        <v>0</v>
      </c>
      <c r="F19" s="48"/>
      <c r="G19" s="48"/>
      <c r="H19" s="48"/>
    </row>
    <row r="20" s="40" customFormat="1" ht="20.25" customHeight="1" spans="1:8">
      <c r="A20" s="49">
        <v>4.2</v>
      </c>
      <c r="B20" s="50" t="s">
        <v>77</v>
      </c>
      <c r="C20" s="50"/>
      <c r="D20" s="50"/>
      <c r="E20" s="48">
        <v>0</v>
      </c>
      <c r="F20" s="48"/>
      <c r="G20" s="48"/>
      <c r="H20" s="48"/>
    </row>
    <row r="21" s="40" customFormat="1" ht="20.25" customHeight="1" spans="1:8">
      <c r="A21" s="46" t="s">
        <v>78</v>
      </c>
      <c r="B21" s="47" t="s">
        <v>79</v>
      </c>
      <c r="C21" s="47"/>
      <c r="D21" s="47"/>
      <c r="E21" s="48">
        <v>0</v>
      </c>
      <c r="F21" s="48"/>
      <c r="G21" s="48"/>
      <c r="H21" s="48"/>
    </row>
    <row r="22" s="40" customFormat="1" ht="20.25" customHeight="1" spans="1:8">
      <c r="A22" s="49">
        <v>5.1</v>
      </c>
      <c r="B22" s="50" t="s">
        <v>80</v>
      </c>
      <c r="C22" s="50"/>
      <c r="D22" s="50"/>
      <c r="E22" s="50" t="s">
        <v>81</v>
      </c>
      <c r="F22" s="50"/>
      <c r="G22" s="50"/>
      <c r="H22" s="50"/>
    </row>
    <row r="23" s="40" customFormat="1" ht="20.25" customHeight="1" spans="1:8">
      <c r="A23" s="49">
        <v>5.2</v>
      </c>
      <c r="B23" s="50" t="s">
        <v>82</v>
      </c>
      <c r="C23" s="50"/>
      <c r="D23" s="50"/>
      <c r="E23" s="50" t="s">
        <v>81</v>
      </c>
      <c r="F23" s="50"/>
      <c r="G23" s="50"/>
      <c r="H23" s="50"/>
    </row>
    <row r="24" s="40" customFormat="1" ht="20.25" customHeight="1" spans="1:8">
      <c r="A24" s="46" t="s">
        <v>83</v>
      </c>
      <c r="B24" s="47" t="s">
        <v>84</v>
      </c>
      <c r="C24" s="50" t="s">
        <v>72</v>
      </c>
      <c r="D24" s="50"/>
      <c r="E24" s="51">
        <f ca="1">E16</f>
        <v>297000</v>
      </c>
      <c r="F24" s="51"/>
      <c r="G24" s="51"/>
      <c r="H24" s="51"/>
    </row>
    <row r="25" s="40" customFormat="1" ht="20.25" customHeight="1" spans="1:8">
      <c r="A25" s="46"/>
      <c r="B25" s="47"/>
      <c r="C25" s="50" t="s">
        <v>73</v>
      </c>
      <c r="D25" s="50"/>
      <c r="E25" s="52">
        <f ca="1">E17</f>
        <v>297000</v>
      </c>
      <c r="F25" s="52"/>
      <c r="G25" s="52"/>
      <c r="H25" s="52"/>
    </row>
    <row r="26" s="40" customFormat="1" ht="20.25" customHeight="1" spans="1:8">
      <c r="A26" s="46" t="s">
        <v>85</v>
      </c>
      <c r="B26" s="47" t="s">
        <v>86</v>
      </c>
      <c r="C26" s="50" t="s">
        <v>72</v>
      </c>
      <c r="D26" s="50"/>
      <c r="E26" s="51">
        <f ca="1">E24</f>
        <v>297000</v>
      </c>
      <c r="F26" s="51"/>
      <c r="G26" s="51"/>
      <c r="H26" s="51"/>
    </row>
    <row r="27" s="40" customFormat="1" ht="20.25" customHeight="1" spans="1:8">
      <c r="A27" s="46"/>
      <c r="B27" s="47"/>
      <c r="C27" s="50" t="s">
        <v>73</v>
      </c>
      <c r="D27" s="50"/>
      <c r="E27" s="52">
        <f ca="1">E17</f>
        <v>297000</v>
      </c>
      <c r="F27" s="52"/>
      <c r="G27" s="52"/>
      <c r="H27" s="52"/>
    </row>
    <row r="28" s="40" customFormat="1" spans="1:8">
      <c r="A28" s="53"/>
      <c r="B28" s="53"/>
      <c r="C28" s="53"/>
      <c r="D28" s="53"/>
      <c r="E28" s="53"/>
      <c r="F28" s="53"/>
      <c r="G28" s="53"/>
      <c r="H28" s="53"/>
    </row>
    <row r="29" s="40" customFormat="1" spans="1:8">
      <c r="A29" s="54" t="s">
        <v>87</v>
      </c>
      <c r="B29" s="54"/>
      <c r="C29" s="54"/>
      <c r="D29" s="54"/>
      <c r="E29" s="54"/>
      <c r="F29" s="54"/>
      <c r="G29" s="54"/>
      <c r="H29" s="54"/>
    </row>
    <row r="30" s="40" customFormat="1" spans="1:1">
      <c r="A30" s="55"/>
    </row>
    <row r="31" s="40" customFormat="1" spans="1:1">
      <c r="A31" s="55"/>
    </row>
    <row r="32" s="40" customFormat="1" spans="1:8">
      <c r="A32" s="54" t="s">
        <v>88</v>
      </c>
      <c r="B32" s="54"/>
      <c r="C32" s="54"/>
      <c r="D32" s="54"/>
      <c r="E32" s="54"/>
      <c r="F32" s="54"/>
      <c r="G32" s="54"/>
      <c r="H32" s="54"/>
    </row>
    <row r="33" s="40" customFormat="1" spans="1:1">
      <c r="A33" s="55"/>
    </row>
    <row r="34" s="40" customFormat="1" ht="27" customHeight="1" spans="1:8">
      <c r="A34" s="56"/>
      <c r="B34" s="56"/>
      <c r="C34" s="56"/>
      <c r="D34" s="56"/>
      <c r="E34" s="56"/>
      <c r="F34" s="56"/>
      <c r="G34" s="56"/>
      <c r="H34" s="56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D7" sqref="D7"/>
    </sheetView>
  </sheetViews>
  <sheetFormatPr defaultColWidth="9" defaultRowHeight="13.5" outlineLevelCol="4"/>
  <cols>
    <col min="1" max="1" width="11.75" style="1" customWidth="1"/>
    <col min="2" max="2" width="22.625" customWidth="1"/>
    <col min="3" max="3" width="11.625" customWidth="1"/>
    <col min="4" max="4" width="22" customWidth="1"/>
    <col min="5" max="5" width="19.5" customWidth="1"/>
  </cols>
  <sheetData>
    <row r="1" ht="93" customHeight="1" spans="1:5">
      <c r="A1" s="37" t="s">
        <v>89</v>
      </c>
      <c r="B1" s="37"/>
      <c r="C1" s="37"/>
      <c r="D1" s="37"/>
      <c r="E1" s="37"/>
    </row>
    <row r="2" s="1" customFormat="1" ht="74" customHeight="1" spans="1:5">
      <c r="A2" s="3" t="s">
        <v>1</v>
      </c>
      <c r="B2" s="3" t="s">
        <v>2</v>
      </c>
      <c r="C2" s="3" t="s">
        <v>90</v>
      </c>
      <c r="D2" s="3" t="s">
        <v>91</v>
      </c>
      <c r="E2" s="3" t="s">
        <v>6</v>
      </c>
    </row>
    <row r="3" ht="74" customHeight="1" spans="1:5">
      <c r="A3" s="3">
        <v>1</v>
      </c>
      <c r="B3" s="3" t="s">
        <v>92</v>
      </c>
      <c r="C3" s="3" t="s">
        <v>93</v>
      </c>
      <c r="D3" s="5">
        <f>土建!F50</f>
        <v>161342.66332</v>
      </c>
      <c r="E3" s="3" t="s">
        <v>94</v>
      </c>
    </row>
    <row r="4" ht="74" customHeight="1" spans="1:5">
      <c r="A4" s="3">
        <v>2</v>
      </c>
      <c r="B4" s="3" t="s">
        <v>95</v>
      </c>
      <c r="C4" s="3" t="s">
        <v>93</v>
      </c>
      <c r="D4" s="5">
        <f ca="1">安装审核!F46</f>
        <v>29799.7314</v>
      </c>
      <c r="E4" s="3" t="s">
        <v>94</v>
      </c>
    </row>
    <row r="5" ht="74" customHeight="1" spans="1:5">
      <c r="A5" s="3">
        <v>3</v>
      </c>
      <c r="B5" s="3" t="s">
        <v>96</v>
      </c>
      <c r="C5" s="3" t="s">
        <v>93</v>
      </c>
      <c r="D5" s="5">
        <f>设计变更!F65</f>
        <v>106679.95</v>
      </c>
      <c r="E5" s="3" t="s">
        <v>94</v>
      </c>
    </row>
    <row r="6" ht="74" customHeight="1" spans="1:5">
      <c r="A6" s="3">
        <v>4</v>
      </c>
      <c r="B6" s="3" t="s">
        <v>97</v>
      </c>
      <c r="C6" s="38"/>
      <c r="D6" s="5">
        <f ca="1">D3+D4+D5</f>
        <v>297822.34472</v>
      </c>
      <c r="E6" s="3"/>
    </row>
    <row r="7" ht="74" customHeight="1" spans="1:5">
      <c r="A7" s="3">
        <v>5</v>
      </c>
      <c r="B7" s="3" t="s">
        <v>98</v>
      </c>
      <c r="C7" s="2"/>
      <c r="D7" s="5">
        <v>297000</v>
      </c>
      <c r="E7" s="2"/>
    </row>
    <row r="8" ht="32" customHeight="1" spans="4:4">
      <c r="D8" s="39"/>
    </row>
    <row r="9" spans="2:4">
      <c r="B9" t="s">
        <v>99</v>
      </c>
      <c r="D9" t="s">
        <v>100</v>
      </c>
    </row>
    <row r="13" spans="2:4">
      <c r="B13" t="s">
        <v>101</v>
      </c>
      <c r="D13" t="s">
        <v>100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opLeftCell="A6" workbookViewId="0">
      <selection activeCell="I4" sqref="I4"/>
    </sheetView>
  </sheetViews>
  <sheetFormatPr defaultColWidth="9" defaultRowHeight="13.5" outlineLevelCol="6"/>
  <cols>
    <col min="1" max="1" width="6.5" style="28" customWidth="1"/>
    <col min="2" max="2" width="23.775" style="28" customWidth="1"/>
    <col min="3" max="3" width="7.89166666666667" style="28" customWidth="1"/>
    <col min="4" max="4" width="13.75" style="34" customWidth="1"/>
    <col min="5" max="5" width="10.6666666666667" style="34" customWidth="1"/>
    <col min="6" max="6" width="12.5583333333333" style="35" customWidth="1"/>
    <col min="7" max="7" width="10.8916666666667" style="28" customWidth="1"/>
    <col min="8" max="16384" width="9" style="28"/>
  </cols>
  <sheetData>
    <row r="1" ht="15" customHeight="1" spans="1:7">
      <c r="A1" s="8" t="s">
        <v>102</v>
      </c>
      <c r="B1" s="8"/>
      <c r="C1" s="8"/>
      <c r="D1" s="8"/>
      <c r="E1" s="8"/>
      <c r="F1" s="9"/>
      <c r="G1" s="8"/>
    </row>
    <row r="2" ht="35" customHeight="1" spans="1:7">
      <c r="A2" s="10" t="s">
        <v>1</v>
      </c>
      <c r="B2" s="10" t="s">
        <v>2</v>
      </c>
      <c r="C2" s="10" t="s">
        <v>90</v>
      </c>
      <c r="D2" s="10" t="s">
        <v>103</v>
      </c>
      <c r="E2" s="10" t="s">
        <v>104</v>
      </c>
      <c r="F2" s="11" t="s">
        <v>105</v>
      </c>
      <c r="G2" s="10" t="s">
        <v>6</v>
      </c>
    </row>
    <row r="3" ht="27" spans="1:7">
      <c r="A3" s="10" t="s">
        <v>106</v>
      </c>
      <c r="B3" s="30" t="s">
        <v>107</v>
      </c>
      <c r="C3" s="10"/>
      <c r="D3" s="10"/>
      <c r="E3" s="10"/>
      <c r="F3" s="11"/>
      <c r="G3" s="26"/>
    </row>
    <row r="4" ht="25" customHeight="1" spans="1:7">
      <c r="A4" s="10" t="s">
        <v>108</v>
      </c>
      <c r="B4" s="30" t="s">
        <v>109</v>
      </c>
      <c r="C4" s="10"/>
      <c r="D4" s="10"/>
      <c r="E4" s="10"/>
      <c r="F4" s="11"/>
      <c r="G4" s="26"/>
    </row>
    <row r="5" ht="32" customHeight="1" spans="1:7">
      <c r="A5" s="10" t="s">
        <v>110</v>
      </c>
      <c r="B5" s="30" t="s">
        <v>111</v>
      </c>
      <c r="C5" s="13" t="s">
        <v>112</v>
      </c>
      <c r="D5" s="10">
        <f>13.4+24.2</f>
        <v>37.6</v>
      </c>
      <c r="E5" s="10">
        <v>190</v>
      </c>
      <c r="F5" s="11">
        <f t="shared" ref="F5:F8" si="0">E5*D5</f>
        <v>7144</v>
      </c>
      <c r="G5" s="26"/>
    </row>
    <row r="6" ht="48" customHeight="1" spans="1:7">
      <c r="A6" s="10" t="s">
        <v>113</v>
      </c>
      <c r="B6" s="30" t="s">
        <v>114</v>
      </c>
      <c r="C6" s="13" t="s">
        <v>115</v>
      </c>
      <c r="D6" s="10">
        <f>(17.5+15.86)/2+19.8</f>
        <v>36.48</v>
      </c>
      <c r="E6" s="10">
        <v>130</v>
      </c>
      <c r="F6" s="11">
        <f t="shared" si="0"/>
        <v>4742.4</v>
      </c>
      <c r="G6" s="26"/>
    </row>
    <row r="7" spans="1:7">
      <c r="A7" s="10" t="s">
        <v>116</v>
      </c>
      <c r="B7" s="30" t="s">
        <v>117</v>
      </c>
      <c r="C7" s="13" t="s">
        <v>112</v>
      </c>
      <c r="D7" s="10">
        <f>1.1*2.1*2</f>
        <v>4.62</v>
      </c>
      <c r="E7" s="10">
        <v>800</v>
      </c>
      <c r="F7" s="11">
        <f t="shared" si="0"/>
        <v>3696</v>
      </c>
      <c r="G7" s="26"/>
    </row>
    <row r="8" spans="1:7">
      <c r="A8" s="10" t="s">
        <v>118</v>
      </c>
      <c r="B8" s="30" t="s">
        <v>119</v>
      </c>
      <c r="C8" s="13" t="s">
        <v>115</v>
      </c>
      <c r="D8" s="11">
        <f>(2.1*2+1.1)*2</f>
        <v>10.6</v>
      </c>
      <c r="E8" s="10">
        <v>100</v>
      </c>
      <c r="F8" s="11">
        <f t="shared" si="0"/>
        <v>1060</v>
      </c>
      <c r="G8" s="26"/>
    </row>
    <row r="9" spans="1:7">
      <c r="A9" s="10" t="s">
        <v>120</v>
      </c>
      <c r="B9" s="30" t="s">
        <v>121</v>
      </c>
      <c r="C9" s="10"/>
      <c r="D9" s="10"/>
      <c r="E9" s="10"/>
      <c r="F9" s="11"/>
      <c r="G9" s="26"/>
    </row>
    <row r="10" spans="1:7">
      <c r="A10" s="10" t="s">
        <v>122</v>
      </c>
      <c r="B10" s="30" t="s">
        <v>111</v>
      </c>
      <c r="C10" s="13" t="s">
        <v>112</v>
      </c>
      <c r="D10" s="10">
        <f>16.3+16.3</f>
        <v>32.6</v>
      </c>
      <c r="E10" s="10">
        <v>190</v>
      </c>
      <c r="F10" s="11">
        <f t="shared" ref="F10:F13" si="1">E10*D10</f>
        <v>6194</v>
      </c>
      <c r="G10" s="26"/>
    </row>
    <row r="11" ht="40.5" spans="1:7">
      <c r="A11" s="10" t="s">
        <v>123</v>
      </c>
      <c r="B11" s="30" t="s">
        <v>114</v>
      </c>
      <c r="C11" s="13" t="s">
        <v>115</v>
      </c>
      <c r="D11" s="10">
        <f>(18.4+16.83+18.4+16.83)/2</f>
        <v>35.23</v>
      </c>
      <c r="E11" s="10">
        <v>130</v>
      </c>
      <c r="F11" s="11">
        <f t="shared" si="1"/>
        <v>4579.9</v>
      </c>
      <c r="G11" s="26"/>
    </row>
    <row r="12" spans="1:7">
      <c r="A12" s="10" t="s">
        <v>124</v>
      </c>
      <c r="B12" s="30" t="s">
        <v>117</v>
      </c>
      <c r="C12" s="13" t="s">
        <v>112</v>
      </c>
      <c r="D12" s="10">
        <f>1.2*2.1*2</f>
        <v>5.04</v>
      </c>
      <c r="E12" s="10">
        <v>800</v>
      </c>
      <c r="F12" s="11">
        <f t="shared" si="1"/>
        <v>4032</v>
      </c>
      <c r="G12" s="26"/>
    </row>
    <row r="13" spans="1:7">
      <c r="A13" s="10" t="s">
        <v>125</v>
      </c>
      <c r="B13" s="30" t="s">
        <v>119</v>
      </c>
      <c r="C13" s="13" t="s">
        <v>115</v>
      </c>
      <c r="D13" s="10">
        <f>(1.2+2.1*2)*2</f>
        <v>10.8</v>
      </c>
      <c r="E13" s="10">
        <v>100</v>
      </c>
      <c r="F13" s="11">
        <f t="shared" si="1"/>
        <v>1080</v>
      </c>
      <c r="G13" s="26"/>
    </row>
    <row r="14" spans="1:7">
      <c r="A14" s="10" t="s">
        <v>126</v>
      </c>
      <c r="B14" s="30" t="s">
        <v>127</v>
      </c>
      <c r="C14" s="10"/>
      <c r="D14" s="10"/>
      <c r="E14" s="10"/>
      <c r="F14" s="11"/>
      <c r="G14" s="26"/>
    </row>
    <row r="15" ht="25" customHeight="1" spans="1:7">
      <c r="A15" s="10" t="s">
        <v>128</v>
      </c>
      <c r="B15" s="30" t="s">
        <v>111</v>
      </c>
      <c r="C15" s="13" t="s">
        <v>112</v>
      </c>
      <c r="D15" s="10">
        <f>23.2+20.1</f>
        <v>43.3</v>
      </c>
      <c r="E15" s="10">
        <v>190</v>
      </c>
      <c r="F15" s="11">
        <f t="shared" ref="F15:F18" si="2">E15*D15</f>
        <v>8227</v>
      </c>
      <c r="G15" s="26"/>
    </row>
    <row r="16" ht="49" customHeight="1" spans="1:7">
      <c r="A16" s="10" t="s">
        <v>129</v>
      </c>
      <c r="B16" s="30" t="s">
        <v>114</v>
      </c>
      <c r="C16" s="13" t="s">
        <v>115</v>
      </c>
      <c r="D16" s="10">
        <f>(21.3+19.7+21.3+19.7)/2</f>
        <v>41</v>
      </c>
      <c r="E16" s="10">
        <v>130</v>
      </c>
      <c r="F16" s="11">
        <f t="shared" si="2"/>
        <v>5330</v>
      </c>
      <c r="G16" s="26"/>
    </row>
    <row r="17" ht="25" customHeight="1" spans="1:7">
      <c r="A17" s="10" t="s">
        <v>130</v>
      </c>
      <c r="B17" s="30" t="s">
        <v>117</v>
      </c>
      <c r="C17" s="13" t="s">
        <v>112</v>
      </c>
      <c r="D17" s="10">
        <f>1.1*2.1*2</f>
        <v>4.62</v>
      </c>
      <c r="E17" s="10">
        <v>800</v>
      </c>
      <c r="F17" s="11">
        <f t="shared" si="2"/>
        <v>3696</v>
      </c>
      <c r="G17" s="26"/>
    </row>
    <row r="18" ht="25" customHeight="1" spans="1:7">
      <c r="A18" s="10" t="s">
        <v>131</v>
      </c>
      <c r="B18" s="30" t="s">
        <v>119</v>
      </c>
      <c r="C18" s="13" t="s">
        <v>115</v>
      </c>
      <c r="D18" s="10">
        <f>(1.1+2.1*2)*2</f>
        <v>10.6</v>
      </c>
      <c r="E18" s="10">
        <v>100</v>
      </c>
      <c r="F18" s="11">
        <f t="shared" si="2"/>
        <v>1060</v>
      </c>
      <c r="G18" s="26"/>
    </row>
    <row r="19" ht="25" customHeight="1" spans="1:7">
      <c r="A19" s="10" t="s">
        <v>132</v>
      </c>
      <c r="B19" s="30" t="s">
        <v>133</v>
      </c>
      <c r="C19" s="13"/>
      <c r="D19" s="10"/>
      <c r="E19" s="10"/>
      <c r="F19" s="11"/>
      <c r="G19" s="26"/>
    </row>
    <row r="20" ht="25" customHeight="1" spans="1:7">
      <c r="A20" s="10" t="s">
        <v>134</v>
      </c>
      <c r="B20" s="30" t="s">
        <v>135</v>
      </c>
      <c r="C20" s="13" t="s">
        <v>112</v>
      </c>
      <c r="D20" s="10"/>
      <c r="E20" s="10"/>
      <c r="F20" s="11"/>
      <c r="G20" s="26"/>
    </row>
    <row r="21" ht="25" customHeight="1" spans="1:7">
      <c r="A21" s="10" t="s">
        <v>136</v>
      </c>
      <c r="B21" s="30" t="s">
        <v>111</v>
      </c>
      <c r="C21" s="13" t="s">
        <v>112</v>
      </c>
      <c r="D21" s="10">
        <f>10.5+53.5</f>
        <v>64</v>
      </c>
      <c r="E21" s="10">
        <v>190</v>
      </c>
      <c r="F21" s="11">
        <f t="shared" ref="F20:F24" si="3">E21*D21</f>
        <v>12160</v>
      </c>
      <c r="G21" s="26"/>
    </row>
    <row r="22" ht="53" customHeight="1" spans="1:7">
      <c r="A22" s="10" t="s">
        <v>137</v>
      </c>
      <c r="B22" s="30" t="s">
        <v>114</v>
      </c>
      <c r="C22" s="13" t="s">
        <v>115</v>
      </c>
      <c r="D22" s="10"/>
      <c r="E22" s="10"/>
      <c r="F22" s="11"/>
      <c r="G22" s="26" t="s">
        <v>138</v>
      </c>
    </row>
    <row r="23" spans="1:7">
      <c r="A23" s="10" t="s">
        <v>139</v>
      </c>
      <c r="B23" s="30" t="s">
        <v>117</v>
      </c>
      <c r="C23" s="13" t="s">
        <v>112</v>
      </c>
      <c r="D23" s="10">
        <f>1.48*2.13+1.1*2.1</f>
        <v>5.4624</v>
      </c>
      <c r="E23" s="10">
        <v>800</v>
      </c>
      <c r="F23" s="11">
        <f t="shared" si="3"/>
        <v>4369.92</v>
      </c>
      <c r="G23" s="26"/>
    </row>
    <row r="24" spans="1:7">
      <c r="A24" s="10" t="s">
        <v>140</v>
      </c>
      <c r="B24" s="30" t="s">
        <v>119</v>
      </c>
      <c r="C24" s="13" t="s">
        <v>115</v>
      </c>
      <c r="D24" s="10">
        <f>(1.48+2.13*2)+(1.1+2.1*2)</f>
        <v>11.04</v>
      </c>
      <c r="E24" s="10">
        <v>100</v>
      </c>
      <c r="F24" s="11">
        <f t="shared" si="3"/>
        <v>1104</v>
      </c>
      <c r="G24" s="26"/>
    </row>
    <row r="25" spans="1:7">
      <c r="A25" s="10" t="s">
        <v>141</v>
      </c>
      <c r="B25" s="30" t="s">
        <v>142</v>
      </c>
      <c r="C25" s="10"/>
      <c r="D25" s="10"/>
      <c r="E25" s="10"/>
      <c r="F25" s="11"/>
      <c r="G25" s="26"/>
    </row>
    <row r="26" ht="25" customHeight="1" spans="1:7">
      <c r="A26" s="10" t="s">
        <v>143</v>
      </c>
      <c r="B26" s="30" t="s">
        <v>111</v>
      </c>
      <c r="C26" s="13" t="s">
        <v>112</v>
      </c>
      <c r="D26" s="10">
        <f>6+3.9</f>
        <v>9.9</v>
      </c>
      <c r="E26" s="10">
        <v>190</v>
      </c>
      <c r="F26" s="11">
        <f t="shared" ref="F26:F29" si="4">E26*D26</f>
        <v>1881</v>
      </c>
      <c r="G26" s="26"/>
    </row>
    <row r="27" ht="40.5" spans="1:7">
      <c r="A27" s="10" t="s">
        <v>144</v>
      </c>
      <c r="B27" s="30" t="s">
        <v>114</v>
      </c>
      <c r="C27" s="13" t="s">
        <v>115</v>
      </c>
      <c r="D27" s="10">
        <f>(12.2+10.58+9.86+8.26)/2</f>
        <v>20.45</v>
      </c>
      <c r="E27" s="10">
        <v>130</v>
      </c>
      <c r="F27" s="11">
        <f t="shared" si="4"/>
        <v>2658.5</v>
      </c>
      <c r="G27" s="26"/>
    </row>
    <row r="28" spans="1:7">
      <c r="A28" s="10" t="s">
        <v>145</v>
      </c>
      <c r="B28" s="30" t="s">
        <v>117</v>
      </c>
      <c r="C28" s="13" t="s">
        <v>112</v>
      </c>
      <c r="D28" s="10">
        <f>1.1*2.1*2</f>
        <v>4.62</v>
      </c>
      <c r="E28" s="10">
        <v>800</v>
      </c>
      <c r="F28" s="11">
        <f t="shared" si="4"/>
        <v>3696</v>
      </c>
      <c r="G28" s="26"/>
    </row>
    <row r="29" spans="1:7">
      <c r="A29" s="10" t="s">
        <v>146</v>
      </c>
      <c r="B29" s="30" t="s">
        <v>119</v>
      </c>
      <c r="C29" s="13" t="s">
        <v>115</v>
      </c>
      <c r="D29" s="10">
        <f>(1.1+2.1*2)*2</f>
        <v>10.6</v>
      </c>
      <c r="E29" s="10">
        <v>100</v>
      </c>
      <c r="F29" s="11">
        <f t="shared" si="4"/>
        <v>1060</v>
      </c>
      <c r="G29" s="26"/>
    </row>
    <row r="30" spans="1:7">
      <c r="A30" s="10" t="s">
        <v>147</v>
      </c>
      <c r="B30" s="30" t="s">
        <v>148</v>
      </c>
      <c r="C30" s="10"/>
      <c r="D30" s="10"/>
      <c r="E30" s="10"/>
      <c r="F30" s="11"/>
      <c r="G30" s="26"/>
    </row>
    <row r="31" spans="1:7">
      <c r="A31" s="10" t="s">
        <v>149</v>
      </c>
      <c r="B31" s="30" t="s">
        <v>111</v>
      </c>
      <c r="C31" s="13" t="s">
        <v>112</v>
      </c>
      <c r="D31" s="10">
        <f>12+12.3</f>
        <v>24.3</v>
      </c>
      <c r="E31" s="10">
        <v>190</v>
      </c>
      <c r="F31" s="11">
        <f t="shared" ref="F31:F34" si="5">E31*D31</f>
        <v>4617</v>
      </c>
      <c r="G31" s="26"/>
    </row>
    <row r="32" ht="40.5" spans="1:7">
      <c r="A32" s="10" t="s">
        <v>150</v>
      </c>
      <c r="B32" s="30" t="s">
        <v>114</v>
      </c>
      <c r="C32" s="13" t="s">
        <v>115</v>
      </c>
      <c r="D32" s="10">
        <f>(16.3+14.69+16.5+14.95)/2</f>
        <v>31.22</v>
      </c>
      <c r="E32" s="10">
        <v>130</v>
      </c>
      <c r="F32" s="11">
        <f t="shared" si="5"/>
        <v>4058.6</v>
      </c>
      <c r="G32" s="26"/>
    </row>
    <row r="33" ht="25" customHeight="1" spans="1:7">
      <c r="A33" s="10" t="s">
        <v>151</v>
      </c>
      <c r="B33" s="30" t="s">
        <v>117</v>
      </c>
      <c r="C33" s="13" t="s">
        <v>112</v>
      </c>
      <c r="D33" s="10">
        <f>1.12*2.1*2</f>
        <v>4.704</v>
      </c>
      <c r="E33" s="10">
        <v>800</v>
      </c>
      <c r="F33" s="11">
        <f t="shared" si="5"/>
        <v>3763.2</v>
      </c>
      <c r="G33" s="26"/>
    </row>
    <row r="34" ht="25" customHeight="1" spans="1:7">
      <c r="A34" s="10" t="s">
        <v>152</v>
      </c>
      <c r="B34" s="30" t="s">
        <v>119</v>
      </c>
      <c r="C34" s="13" t="s">
        <v>115</v>
      </c>
      <c r="D34" s="10">
        <f>(1.12+2.1*2)*2</f>
        <v>10.64</v>
      </c>
      <c r="E34" s="10">
        <v>100</v>
      </c>
      <c r="F34" s="11">
        <f t="shared" si="5"/>
        <v>1064</v>
      </c>
      <c r="G34" s="26"/>
    </row>
    <row r="35" ht="25" customHeight="1" spans="1:7">
      <c r="A35" s="10" t="s">
        <v>153</v>
      </c>
      <c r="B35" s="30" t="s">
        <v>154</v>
      </c>
      <c r="C35" s="10"/>
      <c r="D35" s="10"/>
      <c r="E35" s="10"/>
      <c r="F35" s="11"/>
      <c r="G35" s="26"/>
    </row>
    <row r="36" ht="25" customHeight="1" spans="1:7">
      <c r="A36" s="10" t="s">
        <v>155</v>
      </c>
      <c r="B36" s="30" t="s">
        <v>111</v>
      </c>
      <c r="C36" s="13" t="s">
        <v>112</v>
      </c>
      <c r="D36" s="10">
        <f>21.7+15.6</f>
        <v>37.3</v>
      </c>
      <c r="E36" s="10">
        <v>190</v>
      </c>
      <c r="F36" s="11">
        <f t="shared" ref="F36:F39" si="6">E36*D36</f>
        <v>7087</v>
      </c>
      <c r="G36" s="26"/>
    </row>
    <row r="37" ht="40.5" spans="1:7">
      <c r="A37" s="10" t="s">
        <v>156</v>
      </c>
      <c r="B37" s="30" t="s">
        <v>114</v>
      </c>
      <c r="C37" s="13" t="s">
        <v>115</v>
      </c>
      <c r="D37" s="10">
        <f>(21.2+19.58+18+17.28)/2</f>
        <v>38.03</v>
      </c>
      <c r="E37" s="10">
        <v>130</v>
      </c>
      <c r="F37" s="11">
        <f t="shared" si="6"/>
        <v>4943.9</v>
      </c>
      <c r="G37" s="26"/>
    </row>
    <row r="38" ht="25" customHeight="1" spans="1:7">
      <c r="A38" s="10" t="s">
        <v>157</v>
      </c>
      <c r="B38" s="30" t="s">
        <v>117</v>
      </c>
      <c r="C38" s="13" t="s">
        <v>112</v>
      </c>
      <c r="D38" s="10">
        <f>1.1*2.1*2</f>
        <v>4.62</v>
      </c>
      <c r="E38" s="10">
        <v>800</v>
      </c>
      <c r="F38" s="11">
        <f t="shared" si="6"/>
        <v>3696</v>
      </c>
      <c r="G38" s="26"/>
    </row>
    <row r="39" ht="25" customHeight="1" spans="1:7">
      <c r="A39" s="10" t="s">
        <v>158</v>
      </c>
      <c r="B39" s="30" t="s">
        <v>119</v>
      </c>
      <c r="C39" s="13" t="s">
        <v>115</v>
      </c>
      <c r="D39" s="10">
        <f>(1.1+2.1*2)*2</f>
        <v>10.6</v>
      </c>
      <c r="E39" s="10">
        <v>100</v>
      </c>
      <c r="F39" s="11">
        <f t="shared" si="6"/>
        <v>1060</v>
      </c>
      <c r="G39" s="26"/>
    </row>
    <row r="40" ht="25" customHeight="1" spans="1:7">
      <c r="A40" s="10" t="s">
        <v>159</v>
      </c>
      <c r="B40" s="30" t="s">
        <v>160</v>
      </c>
      <c r="C40" s="10"/>
      <c r="D40" s="10"/>
      <c r="E40" s="10"/>
      <c r="F40" s="11"/>
      <c r="G40" s="26"/>
    </row>
    <row r="41" ht="25" customHeight="1" spans="1:7">
      <c r="A41" s="10" t="s">
        <v>161</v>
      </c>
      <c r="B41" s="30" t="s">
        <v>135</v>
      </c>
      <c r="C41" s="13" t="s">
        <v>112</v>
      </c>
      <c r="D41" s="10"/>
      <c r="E41" s="10"/>
      <c r="F41" s="11"/>
      <c r="G41" s="26"/>
    </row>
    <row r="42" spans="1:7">
      <c r="A42" s="10" t="s">
        <v>162</v>
      </c>
      <c r="B42" s="30" t="s">
        <v>111</v>
      </c>
      <c r="C42" s="13" t="s">
        <v>112</v>
      </c>
      <c r="D42" s="10">
        <f>4.8+13.2</f>
        <v>18</v>
      </c>
      <c r="E42" s="10">
        <v>190</v>
      </c>
      <c r="F42" s="11">
        <f t="shared" ref="F42:F45" si="7">E42*D42</f>
        <v>3420</v>
      </c>
      <c r="G42" s="26"/>
    </row>
    <row r="43" ht="40.5" spans="1:7">
      <c r="A43" s="10" t="s">
        <v>163</v>
      </c>
      <c r="B43" s="30" t="s">
        <v>114</v>
      </c>
      <c r="C43" s="13" t="s">
        <v>115</v>
      </c>
      <c r="D43" s="10">
        <f>(10.5+8.88+16.9+15.28)/2</f>
        <v>25.78</v>
      </c>
      <c r="E43" s="10">
        <v>130</v>
      </c>
      <c r="F43" s="11">
        <f t="shared" si="7"/>
        <v>3351.4</v>
      </c>
      <c r="G43" s="26"/>
    </row>
    <row r="44" ht="25" customHeight="1" spans="1:7">
      <c r="A44" s="10" t="s">
        <v>164</v>
      </c>
      <c r="B44" s="30" t="s">
        <v>117</v>
      </c>
      <c r="C44" s="13" t="s">
        <v>112</v>
      </c>
      <c r="D44" s="10">
        <f>1.1*2.1*2</f>
        <v>4.62</v>
      </c>
      <c r="E44" s="10">
        <v>800</v>
      </c>
      <c r="F44" s="11">
        <f t="shared" si="7"/>
        <v>3696</v>
      </c>
      <c r="G44" s="26"/>
    </row>
    <row r="45" ht="25" customHeight="1" spans="1:7">
      <c r="A45" s="10" t="s">
        <v>165</v>
      </c>
      <c r="B45" s="30" t="s">
        <v>119</v>
      </c>
      <c r="C45" s="13" t="s">
        <v>115</v>
      </c>
      <c r="D45" s="10">
        <f>(1.1+2.1*2)*2</f>
        <v>10.6</v>
      </c>
      <c r="E45" s="10">
        <v>100</v>
      </c>
      <c r="F45" s="11">
        <f t="shared" si="7"/>
        <v>1060</v>
      </c>
      <c r="G45" s="26"/>
    </row>
    <row r="46" ht="25" customHeight="1" spans="1:7">
      <c r="A46" s="10" t="s">
        <v>166</v>
      </c>
      <c r="B46" s="30" t="s">
        <v>167</v>
      </c>
      <c r="C46" s="13"/>
      <c r="D46" s="10"/>
      <c r="E46" s="10"/>
      <c r="F46" s="11"/>
      <c r="G46" s="26"/>
    </row>
    <row r="47" ht="25" customHeight="1" spans="1:7">
      <c r="A47" s="10" t="s">
        <v>168</v>
      </c>
      <c r="B47" s="30" t="s">
        <v>169</v>
      </c>
      <c r="C47" s="13" t="s">
        <v>112</v>
      </c>
      <c r="D47" s="10">
        <f>154.25+3.39</f>
        <v>157.64</v>
      </c>
      <c r="E47" s="10">
        <v>165.5</v>
      </c>
      <c r="F47" s="11">
        <f>E47*D47</f>
        <v>26089.42</v>
      </c>
      <c r="G47" s="26"/>
    </row>
    <row r="48" ht="25" customHeight="1" spans="1:7">
      <c r="A48" s="10" t="s">
        <v>170</v>
      </c>
      <c r="B48" s="30" t="s">
        <v>171</v>
      </c>
      <c r="C48" s="13" t="s">
        <v>112</v>
      </c>
      <c r="D48" s="10">
        <f>计算底稿!G10</f>
        <v>332.668</v>
      </c>
      <c r="E48" s="36">
        <v>39.89</v>
      </c>
      <c r="F48" s="11">
        <f>E48*D48</f>
        <v>13270.12652</v>
      </c>
      <c r="G48" s="26"/>
    </row>
    <row r="49" ht="25" customHeight="1" spans="1:7">
      <c r="A49" s="10" t="s">
        <v>172</v>
      </c>
      <c r="B49" s="30" t="s">
        <v>173</v>
      </c>
      <c r="C49" s="13" t="s">
        <v>112</v>
      </c>
      <c r="D49" s="10">
        <f>7.4*2.4-0.8*2.1-1.5*1.7+(1.5+1.7)*2*0.1</f>
        <v>14.17</v>
      </c>
      <c r="E49" s="10">
        <v>169.04</v>
      </c>
      <c r="F49" s="11">
        <f>E49*D49</f>
        <v>2395.2968</v>
      </c>
      <c r="G49" s="26"/>
    </row>
    <row r="50" ht="25" customHeight="1" spans="1:7">
      <c r="A50" s="10" t="s">
        <v>174</v>
      </c>
      <c r="B50" s="10" t="s">
        <v>97</v>
      </c>
      <c r="C50" s="10"/>
      <c r="D50" s="10"/>
      <c r="E50" s="11"/>
      <c r="F50" s="11">
        <f>SUM(F3:F49)</f>
        <v>161342.66332</v>
      </c>
      <c r="G50" s="26"/>
    </row>
    <row r="51" ht="35" customHeight="1" spans="1:5">
      <c r="A51" s="34"/>
      <c r="B51" s="34"/>
      <c r="C51" s="34"/>
      <c r="D51" s="35"/>
      <c r="E51" s="35"/>
    </row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</sheetData>
  <autoFilter xmlns:etc="http://www.wps.cn/officeDocument/2017/etCustomData" ref="A2:G50" etc:filterBottomFollowUsedRange="0">
    <extLst/>
  </autoFilter>
  <mergeCells count="1">
    <mergeCell ref="A1:G1"/>
  </mergeCells>
  <pageMargins left="0.751388888888889" right="0.751388888888889" top="0.60625" bottom="0.802777777777778" header="0.511805555555556" footer="0.511805555555556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opLeftCell="A24" workbookViewId="0">
      <selection activeCell="J44" sqref="J44"/>
    </sheetView>
  </sheetViews>
  <sheetFormatPr defaultColWidth="9" defaultRowHeight="13.5" outlineLevelCol="6"/>
  <cols>
    <col min="1" max="1" width="9" style="28"/>
    <col min="2" max="2" width="21.25" style="28" customWidth="1"/>
    <col min="3" max="3" width="9" style="28"/>
    <col min="4" max="4" width="11.75" style="28" customWidth="1"/>
    <col min="5" max="5" width="11" style="29" customWidth="1"/>
    <col min="6" max="6" width="10.8833333333333" style="29" customWidth="1"/>
    <col min="7" max="16384" width="9" style="28"/>
  </cols>
  <sheetData>
    <row r="1" s="28" customFormat="1" ht="25" customHeight="1" spans="1:7">
      <c r="A1" s="8" t="s">
        <v>175</v>
      </c>
      <c r="B1" s="8"/>
      <c r="C1" s="8"/>
      <c r="D1" s="8"/>
      <c r="E1" s="9"/>
      <c r="F1" s="9"/>
      <c r="G1" s="8"/>
    </row>
    <row r="2" s="28" customFormat="1" spans="1:7">
      <c r="A2" s="10" t="s">
        <v>1</v>
      </c>
      <c r="B2" s="10" t="s">
        <v>2</v>
      </c>
      <c r="C2" s="10" t="s">
        <v>90</v>
      </c>
      <c r="D2" s="10" t="s">
        <v>103</v>
      </c>
      <c r="E2" s="11" t="s">
        <v>104</v>
      </c>
      <c r="F2" s="11" t="s">
        <v>105</v>
      </c>
      <c r="G2" s="10" t="s">
        <v>6</v>
      </c>
    </row>
    <row r="3" s="28" customFormat="1" spans="1:7">
      <c r="A3" s="10" t="s">
        <v>108</v>
      </c>
      <c r="B3" s="30" t="s">
        <v>109</v>
      </c>
      <c r="C3" s="10"/>
      <c r="D3" s="10"/>
      <c r="E3" s="31"/>
      <c r="F3" s="31"/>
      <c r="G3" s="26"/>
    </row>
    <row r="4" s="28" customFormat="1" spans="1:7">
      <c r="A4" s="10" t="s">
        <v>110</v>
      </c>
      <c r="B4" s="26" t="s">
        <v>176</v>
      </c>
      <c r="C4" s="26" t="s">
        <v>115</v>
      </c>
      <c r="D4" s="27">
        <f ca="1">配管计算式!E3</f>
        <v>37.03</v>
      </c>
      <c r="E4" s="27">
        <v>20.87</v>
      </c>
      <c r="F4" s="27">
        <f ca="1" t="shared" ref="F4:F7" si="0">E4*D4</f>
        <v>772.8161</v>
      </c>
      <c r="G4" s="26"/>
    </row>
    <row r="5" s="28" customFormat="1" spans="1:7">
      <c r="A5" s="10" t="s">
        <v>113</v>
      </c>
      <c r="B5" s="26" t="s">
        <v>177</v>
      </c>
      <c r="C5" s="26" t="s">
        <v>115</v>
      </c>
      <c r="D5" s="27">
        <f ca="1">D4*2</f>
        <v>74.06</v>
      </c>
      <c r="E5" s="27">
        <v>3.7</v>
      </c>
      <c r="F5" s="27">
        <f ca="1" t="shared" si="0"/>
        <v>274.022</v>
      </c>
      <c r="G5" s="26"/>
    </row>
    <row r="6" s="28" customFormat="1" spans="1:7">
      <c r="A6" s="10" t="s">
        <v>116</v>
      </c>
      <c r="B6" s="26" t="s">
        <v>178</v>
      </c>
      <c r="C6" s="26" t="s">
        <v>115</v>
      </c>
      <c r="D6" s="32">
        <f>12*1.2</f>
        <v>14.4</v>
      </c>
      <c r="E6" s="27">
        <v>120</v>
      </c>
      <c r="F6" s="27">
        <f t="shared" si="0"/>
        <v>1728</v>
      </c>
      <c r="G6" s="26"/>
    </row>
    <row r="7" s="28" customFormat="1" spans="1:7">
      <c r="A7" s="10" t="s">
        <v>118</v>
      </c>
      <c r="B7" s="26" t="s">
        <v>179</v>
      </c>
      <c r="C7" s="26" t="s">
        <v>180</v>
      </c>
      <c r="D7" s="26">
        <v>5</v>
      </c>
      <c r="E7" s="27">
        <v>90</v>
      </c>
      <c r="F7" s="27">
        <f t="shared" si="0"/>
        <v>450</v>
      </c>
      <c r="G7" s="26"/>
    </row>
    <row r="8" s="28" customFormat="1" spans="1:7">
      <c r="A8" s="10" t="s">
        <v>120</v>
      </c>
      <c r="B8" s="30" t="s">
        <v>121</v>
      </c>
      <c r="C8" s="10"/>
      <c r="D8" s="10"/>
      <c r="E8" s="31"/>
      <c r="F8" s="31"/>
      <c r="G8" s="26"/>
    </row>
    <row r="9" s="28" customFormat="1" spans="1:7">
      <c r="A9" s="10" t="s">
        <v>122</v>
      </c>
      <c r="B9" s="26" t="s">
        <v>176</v>
      </c>
      <c r="C9" s="26" t="s">
        <v>115</v>
      </c>
      <c r="D9" s="27">
        <f ca="1">配管计算式!E5</f>
        <v>41.17</v>
      </c>
      <c r="E9" s="27">
        <v>20.87</v>
      </c>
      <c r="F9" s="27">
        <f ca="1" t="shared" ref="F9:F12" si="1">E9*D9</f>
        <v>859.2179</v>
      </c>
      <c r="G9" s="26"/>
    </row>
    <row r="10" s="28" customFormat="1" spans="1:7">
      <c r="A10" s="10" t="s">
        <v>123</v>
      </c>
      <c r="B10" s="26" t="s">
        <v>177</v>
      </c>
      <c r="C10" s="26" t="s">
        <v>115</v>
      </c>
      <c r="D10" s="27">
        <f ca="1">D9*2</f>
        <v>82.34</v>
      </c>
      <c r="E10" s="27">
        <v>3.7</v>
      </c>
      <c r="F10" s="27">
        <f ca="1" t="shared" si="1"/>
        <v>304.658</v>
      </c>
      <c r="G10" s="26"/>
    </row>
    <row r="11" s="28" customFormat="1" spans="1:7">
      <c r="A11" s="10" t="s">
        <v>124</v>
      </c>
      <c r="B11" s="26" t="s">
        <v>178</v>
      </c>
      <c r="C11" s="26" t="s">
        <v>115</v>
      </c>
      <c r="D11" s="32">
        <f>1.2*8</f>
        <v>9.6</v>
      </c>
      <c r="E11" s="27">
        <v>120</v>
      </c>
      <c r="F11" s="27">
        <f t="shared" si="1"/>
        <v>1152</v>
      </c>
      <c r="G11" s="26"/>
    </row>
    <row r="12" s="28" customFormat="1" spans="1:7">
      <c r="A12" s="10" t="s">
        <v>125</v>
      </c>
      <c r="B12" s="26" t="s">
        <v>179</v>
      </c>
      <c r="C12" s="26" t="s">
        <v>180</v>
      </c>
      <c r="D12" s="26">
        <v>4</v>
      </c>
      <c r="E12" s="27">
        <v>90</v>
      </c>
      <c r="F12" s="27">
        <f t="shared" si="1"/>
        <v>360</v>
      </c>
      <c r="G12" s="26"/>
    </row>
    <row r="13" s="28" customFormat="1" spans="1:7">
      <c r="A13" s="10" t="s">
        <v>126</v>
      </c>
      <c r="B13" s="30" t="s">
        <v>127</v>
      </c>
      <c r="C13" s="10"/>
      <c r="D13" s="10"/>
      <c r="E13" s="31"/>
      <c r="F13" s="31"/>
      <c r="G13" s="26"/>
    </row>
    <row r="14" s="28" customFormat="1" spans="1:7">
      <c r="A14" s="10" t="s">
        <v>128</v>
      </c>
      <c r="B14" s="26" t="s">
        <v>176</v>
      </c>
      <c r="C14" s="26" t="s">
        <v>115</v>
      </c>
      <c r="D14" s="27">
        <f ca="1">配管计算式!E7</f>
        <v>37.21</v>
      </c>
      <c r="E14" s="27">
        <v>20.87</v>
      </c>
      <c r="F14" s="27">
        <f ca="1" t="shared" ref="F14:F17" si="2">E14*D14</f>
        <v>776.5727</v>
      </c>
      <c r="G14" s="26"/>
    </row>
    <row r="15" s="28" customFormat="1" spans="1:7">
      <c r="A15" s="10" t="s">
        <v>129</v>
      </c>
      <c r="B15" s="26" t="s">
        <v>177</v>
      </c>
      <c r="C15" s="26" t="s">
        <v>115</v>
      </c>
      <c r="D15" s="27">
        <f ca="1">D14*2</f>
        <v>74.42</v>
      </c>
      <c r="E15" s="27">
        <v>3.7</v>
      </c>
      <c r="F15" s="27">
        <f ca="1" t="shared" si="2"/>
        <v>275.354</v>
      </c>
      <c r="G15" s="26"/>
    </row>
    <row r="16" s="28" customFormat="1" spans="1:7">
      <c r="A16" s="10" t="s">
        <v>130</v>
      </c>
      <c r="B16" s="26" t="s">
        <v>178</v>
      </c>
      <c r="C16" s="26" t="s">
        <v>115</v>
      </c>
      <c r="D16" s="32">
        <f>11*1.2</f>
        <v>13.2</v>
      </c>
      <c r="E16" s="27">
        <v>120</v>
      </c>
      <c r="F16" s="27">
        <f t="shared" si="2"/>
        <v>1584</v>
      </c>
      <c r="G16" s="26"/>
    </row>
    <row r="17" s="28" customFormat="1" spans="1:7">
      <c r="A17" s="10" t="s">
        <v>131</v>
      </c>
      <c r="B17" s="26" t="s">
        <v>179</v>
      </c>
      <c r="C17" s="26" t="s">
        <v>180</v>
      </c>
      <c r="D17" s="26">
        <v>4</v>
      </c>
      <c r="E17" s="27">
        <v>90</v>
      </c>
      <c r="F17" s="27">
        <f t="shared" si="2"/>
        <v>360</v>
      </c>
      <c r="G17" s="26"/>
    </row>
    <row r="18" s="28" customFormat="1" spans="1:7">
      <c r="A18" s="10" t="s">
        <v>132</v>
      </c>
      <c r="B18" s="30" t="s">
        <v>133</v>
      </c>
      <c r="C18" s="10"/>
      <c r="D18" s="10"/>
      <c r="E18" s="31"/>
      <c r="F18" s="31"/>
      <c r="G18" s="26"/>
    </row>
    <row r="19" s="28" customFormat="1" spans="1:7">
      <c r="A19" s="10" t="s">
        <v>134</v>
      </c>
      <c r="B19" s="26" t="s">
        <v>176</v>
      </c>
      <c r="C19" s="26" t="s">
        <v>115</v>
      </c>
      <c r="D19" s="27">
        <f ca="1">配管计算式!E9</f>
        <v>68.57</v>
      </c>
      <c r="E19" s="27">
        <v>20.87</v>
      </c>
      <c r="F19" s="27">
        <f ca="1" t="shared" ref="F19:F23" si="3">E19*D19</f>
        <v>1431.0559</v>
      </c>
      <c r="G19" s="26"/>
    </row>
    <row r="20" s="28" customFormat="1" spans="1:7">
      <c r="A20" s="10" t="s">
        <v>136</v>
      </c>
      <c r="B20" s="26" t="s">
        <v>177</v>
      </c>
      <c r="C20" s="26" t="s">
        <v>115</v>
      </c>
      <c r="D20" s="27">
        <f ca="1">D19*2</f>
        <v>137.14</v>
      </c>
      <c r="E20" s="27">
        <v>3.7</v>
      </c>
      <c r="F20" s="27">
        <f ca="1" t="shared" si="3"/>
        <v>507.418</v>
      </c>
      <c r="G20" s="26"/>
    </row>
    <row r="21" s="28" customFormat="1" spans="1:7">
      <c r="A21" s="10" t="s">
        <v>137</v>
      </c>
      <c r="B21" s="26" t="s">
        <v>178</v>
      </c>
      <c r="C21" s="26" t="s">
        <v>115</v>
      </c>
      <c r="D21" s="32">
        <f>17*1.2</f>
        <v>20.4</v>
      </c>
      <c r="E21" s="27">
        <v>120</v>
      </c>
      <c r="F21" s="27">
        <f t="shared" si="3"/>
        <v>2448</v>
      </c>
      <c r="G21" s="26"/>
    </row>
    <row r="22" s="28" customFormat="1" spans="1:7">
      <c r="A22" s="10" t="s">
        <v>139</v>
      </c>
      <c r="B22" s="26" t="s">
        <v>179</v>
      </c>
      <c r="C22" s="26" t="s">
        <v>180</v>
      </c>
      <c r="D22" s="26">
        <v>4</v>
      </c>
      <c r="E22" s="27">
        <v>90</v>
      </c>
      <c r="F22" s="27">
        <f t="shared" si="3"/>
        <v>360</v>
      </c>
      <c r="G22" s="26"/>
    </row>
    <row r="23" s="28" customFormat="1" spans="1:7">
      <c r="A23" s="10" t="s">
        <v>140</v>
      </c>
      <c r="B23" s="26" t="s">
        <v>181</v>
      </c>
      <c r="C23" s="26" t="s">
        <v>182</v>
      </c>
      <c r="D23" s="33">
        <v>0</v>
      </c>
      <c r="E23" s="27">
        <v>60.08</v>
      </c>
      <c r="F23" s="27">
        <f t="shared" si="3"/>
        <v>0</v>
      </c>
      <c r="G23" s="26"/>
    </row>
    <row r="24" s="28" customFormat="1" spans="1:7">
      <c r="A24" s="10" t="s">
        <v>141</v>
      </c>
      <c r="B24" s="30" t="s">
        <v>142</v>
      </c>
      <c r="C24" s="10"/>
      <c r="D24" s="10"/>
      <c r="E24" s="31"/>
      <c r="F24" s="31"/>
      <c r="G24" s="26"/>
    </row>
    <row r="25" s="28" customFormat="1" spans="1:7">
      <c r="A25" s="10" t="s">
        <v>143</v>
      </c>
      <c r="B25" s="26" t="s">
        <v>176</v>
      </c>
      <c r="C25" s="26" t="s">
        <v>115</v>
      </c>
      <c r="D25" s="27">
        <f ca="1">配管计算式!E11</f>
        <v>38.91</v>
      </c>
      <c r="E25" s="27">
        <v>20.87</v>
      </c>
      <c r="F25" s="27">
        <f ca="1" t="shared" ref="F25:F28" si="4">E25*D25</f>
        <v>812.0517</v>
      </c>
      <c r="G25" s="26"/>
    </row>
    <row r="26" s="28" customFormat="1" spans="1:7">
      <c r="A26" s="10" t="s">
        <v>144</v>
      </c>
      <c r="B26" s="26" t="s">
        <v>177</v>
      </c>
      <c r="C26" s="26" t="s">
        <v>115</v>
      </c>
      <c r="D26" s="27">
        <f ca="1">D25*2</f>
        <v>77.82</v>
      </c>
      <c r="E26" s="27">
        <v>3.7</v>
      </c>
      <c r="F26" s="27">
        <f ca="1" t="shared" si="4"/>
        <v>287.934</v>
      </c>
      <c r="G26" s="26"/>
    </row>
    <row r="27" s="28" customFormat="1" spans="1:7">
      <c r="A27" s="10" t="s">
        <v>145</v>
      </c>
      <c r="B27" s="26" t="s">
        <v>178</v>
      </c>
      <c r="C27" s="26" t="s">
        <v>115</v>
      </c>
      <c r="D27" s="32">
        <f>12*1.2</f>
        <v>14.4</v>
      </c>
      <c r="E27" s="27">
        <v>120</v>
      </c>
      <c r="F27" s="27">
        <f t="shared" si="4"/>
        <v>1728</v>
      </c>
      <c r="G27" s="26"/>
    </row>
    <row r="28" s="28" customFormat="1" spans="1:7">
      <c r="A28" s="10" t="s">
        <v>146</v>
      </c>
      <c r="B28" s="26" t="s">
        <v>179</v>
      </c>
      <c r="C28" s="26" t="s">
        <v>180</v>
      </c>
      <c r="D28" s="26">
        <v>6</v>
      </c>
      <c r="E28" s="27">
        <v>90</v>
      </c>
      <c r="F28" s="27">
        <f t="shared" si="4"/>
        <v>540</v>
      </c>
      <c r="G28" s="26"/>
    </row>
    <row r="29" s="28" customFormat="1" spans="1:7">
      <c r="A29" s="10" t="s">
        <v>147</v>
      </c>
      <c r="B29" s="30" t="s">
        <v>148</v>
      </c>
      <c r="C29" s="10"/>
      <c r="D29" s="10"/>
      <c r="E29" s="31"/>
      <c r="F29" s="31"/>
      <c r="G29" s="26"/>
    </row>
    <row r="30" s="28" customFormat="1" spans="1:7">
      <c r="A30" s="10" t="s">
        <v>149</v>
      </c>
      <c r="B30" s="26" t="s">
        <v>176</v>
      </c>
      <c r="C30" s="26" t="s">
        <v>115</v>
      </c>
      <c r="D30" s="27">
        <f ca="1">配管计算式!E13</f>
        <v>49.92</v>
      </c>
      <c r="E30" s="27">
        <v>20.87</v>
      </c>
      <c r="F30" s="27">
        <f ca="1" t="shared" ref="F30:F33" si="5">E30*D30</f>
        <v>1041.8304</v>
      </c>
      <c r="G30" s="26"/>
    </row>
    <row r="31" s="28" customFormat="1" spans="1:7">
      <c r="A31" s="10" t="s">
        <v>150</v>
      </c>
      <c r="B31" s="26" t="s">
        <v>177</v>
      </c>
      <c r="C31" s="26" t="s">
        <v>115</v>
      </c>
      <c r="D31" s="27">
        <f ca="1">D30*2</f>
        <v>99.84</v>
      </c>
      <c r="E31" s="27">
        <v>3.7</v>
      </c>
      <c r="F31" s="27">
        <f ca="1" t="shared" si="5"/>
        <v>369.408</v>
      </c>
      <c r="G31" s="26"/>
    </row>
    <row r="32" s="28" customFormat="1" spans="1:7">
      <c r="A32" s="10" t="s">
        <v>151</v>
      </c>
      <c r="B32" s="26" t="s">
        <v>178</v>
      </c>
      <c r="C32" s="26" t="s">
        <v>115</v>
      </c>
      <c r="D32" s="32">
        <f>17*1.2</f>
        <v>20.4</v>
      </c>
      <c r="E32" s="27">
        <v>120</v>
      </c>
      <c r="F32" s="27">
        <f t="shared" si="5"/>
        <v>2448</v>
      </c>
      <c r="G32" s="26"/>
    </row>
    <row r="33" s="28" customFormat="1" spans="1:7">
      <c r="A33" s="10" t="s">
        <v>152</v>
      </c>
      <c r="B33" s="26" t="s">
        <v>179</v>
      </c>
      <c r="C33" s="26" t="s">
        <v>180</v>
      </c>
      <c r="D33" s="26">
        <f>3*2</f>
        <v>6</v>
      </c>
      <c r="E33" s="27">
        <v>90</v>
      </c>
      <c r="F33" s="27">
        <f t="shared" si="5"/>
        <v>540</v>
      </c>
      <c r="G33" s="26"/>
    </row>
    <row r="34" s="28" customFormat="1" spans="1:7">
      <c r="A34" s="10" t="s">
        <v>153</v>
      </c>
      <c r="B34" s="30" t="s">
        <v>154</v>
      </c>
      <c r="C34" s="10"/>
      <c r="D34" s="10"/>
      <c r="E34" s="31"/>
      <c r="F34" s="31"/>
      <c r="G34" s="26"/>
    </row>
    <row r="35" s="28" customFormat="1" spans="1:7">
      <c r="A35" s="10" t="s">
        <v>155</v>
      </c>
      <c r="B35" s="26" t="s">
        <v>176</v>
      </c>
      <c r="C35" s="26" t="s">
        <v>115</v>
      </c>
      <c r="D35" s="27">
        <f ca="1">配管计算式!E15</f>
        <v>51.3</v>
      </c>
      <c r="E35" s="27">
        <v>20.87</v>
      </c>
      <c r="F35" s="27">
        <f ca="1" t="shared" ref="F35:F38" si="6">E35*D35</f>
        <v>1070.631</v>
      </c>
      <c r="G35" s="26"/>
    </row>
    <row r="36" s="28" customFormat="1" spans="1:7">
      <c r="A36" s="10" t="s">
        <v>156</v>
      </c>
      <c r="B36" s="26" t="s">
        <v>177</v>
      </c>
      <c r="C36" s="26" t="s">
        <v>115</v>
      </c>
      <c r="D36" s="27">
        <f ca="1">D35*2</f>
        <v>102.6</v>
      </c>
      <c r="E36" s="27">
        <v>3.7</v>
      </c>
      <c r="F36" s="27">
        <f ca="1" t="shared" si="6"/>
        <v>379.62</v>
      </c>
      <c r="G36" s="26"/>
    </row>
    <row r="37" s="28" customFormat="1" spans="1:7">
      <c r="A37" s="10" t="s">
        <v>157</v>
      </c>
      <c r="B37" s="26" t="s">
        <v>178</v>
      </c>
      <c r="C37" s="26" t="s">
        <v>115</v>
      </c>
      <c r="D37" s="32">
        <f>18*1.2</f>
        <v>21.6</v>
      </c>
      <c r="E37" s="27">
        <v>120</v>
      </c>
      <c r="F37" s="27">
        <f t="shared" si="6"/>
        <v>2592</v>
      </c>
      <c r="G37" s="26"/>
    </row>
    <row r="38" s="28" customFormat="1" spans="1:7">
      <c r="A38" s="10" t="s">
        <v>158</v>
      </c>
      <c r="B38" s="26" t="s">
        <v>179</v>
      </c>
      <c r="C38" s="26" t="s">
        <v>180</v>
      </c>
      <c r="D38" s="26">
        <v>7</v>
      </c>
      <c r="E38" s="27">
        <v>90</v>
      </c>
      <c r="F38" s="27">
        <f t="shared" si="6"/>
        <v>630</v>
      </c>
      <c r="G38" s="26"/>
    </row>
    <row r="39" s="28" customFormat="1" spans="1:7">
      <c r="A39" s="10" t="s">
        <v>159</v>
      </c>
      <c r="B39" s="30" t="s">
        <v>160</v>
      </c>
      <c r="C39" s="10"/>
      <c r="D39" s="10"/>
      <c r="E39" s="31"/>
      <c r="F39" s="31"/>
      <c r="G39" s="26"/>
    </row>
    <row r="40" s="28" customFormat="1" spans="1:7">
      <c r="A40" s="10" t="s">
        <v>161</v>
      </c>
      <c r="B40" s="26" t="s">
        <v>176</v>
      </c>
      <c r="C40" s="26" t="s">
        <v>115</v>
      </c>
      <c r="D40" s="27">
        <f ca="1">配管计算式!E17</f>
        <v>41.71</v>
      </c>
      <c r="E40" s="27">
        <v>20.87</v>
      </c>
      <c r="F40" s="27">
        <f ca="1" t="shared" ref="F40:F45" si="7">E40*D40</f>
        <v>870.4877</v>
      </c>
      <c r="G40" s="26"/>
    </row>
    <row r="41" s="28" customFormat="1" spans="1:7">
      <c r="A41" s="10" t="s">
        <v>162</v>
      </c>
      <c r="B41" s="26" t="s">
        <v>177</v>
      </c>
      <c r="C41" s="26" t="s">
        <v>115</v>
      </c>
      <c r="D41" s="27">
        <f ca="1">D40*2</f>
        <v>83.42</v>
      </c>
      <c r="E41" s="27">
        <v>3.7</v>
      </c>
      <c r="F41" s="27">
        <f ca="1" t="shared" si="7"/>
        <v>308.654</v>
      </c>
      <c r="G41" s="26"/>
    </row>
    <row r="42" s="28" customFormat="1" spans="1:7">
      <c r="A42" s="10" t="s">
        <v>163</v>
      </c>
      <c r="B42" s="6" t="s">
        <v>183</v>
      </c>
      <c r="C42" s="6" t="s">
        <v>115</v>
      </c>
      <c r="D42" s="33">
        <v>0</v>
      </c>
      <c r="E42" s="22">
        <v>40.44</v>
      </c>
      <c r="F42" s="22">
        <f t="shared" si="7"/>
        <v>0</v>
      </c>
      <c r="G42" s="26"/>
    </row>
    <row r="43" s="28" customFormat="1" spans="1:7">
      <c r="A43" s="10" t="s">
        <v>164</v>
      </c>
      <c r="B43" s="6" t="s">
        <v>184</v>
      </c>
      <c r="C43" s="6" t="s">
        <v>182</v>
      </c>
      <c r="D43" s="26">
        <v>0</v>
      </c>
      <c r="E43" s="22">
        <v>77.41</v>
      </c>
      <c r="F43" s="22">
        <f t="shared" si="7"/>
        <v>0</v>
      </c>
      <c r="G43" s="26"/>
    </row>
    <row r="44" s="28" customFormat="1" spans="1:7">
      <c r="A44" s="10" t="s">
        <v>165</v>
      </c>
      <c r="B44" s="26" t="s">
        <v>178</v>
      </c>
      <c r="C44" s="26" t="s">
        <v>115</v>
      </c>
      <c r="D44" s="33">
        <f>1.2*12</f>
        <v>14.4</v>
      </c>
      <c r="E44" s="27">
        <v>120</v>
      </c>
      <c r="F44" s="27">
        <f t="shared" si="7"/>
        <v>1728</v>
      </c>
      <c r="G44" s="26"/>
    </row>
    <row r="45" s="28" customFormat="1" spans="1:7">
      <c r="A45" s="10" t="s">
        <v>166</v>
      </c>
      <c r="B45" s="26" t="s">
        <v>179</v>
      </c>
      <c r="C45" s="26" t="s">
        <v>180</v>
      </c>
      <c r="D45" s="26">
        <v>9</v>
      </c>
      <c r="E45" s="27">
        <v>90</v>
      </c>
      <c r="F45" s="27">
        <f t="shared" si="7"/>
        <v>810</v>
      </c>
      <c r="G45" s="26"/>
    </row>
    <row r="46" s="28" customFormat="1" spans="1:7">
      <c r="A46" s="10" t="s">
        <v>168</v>
      </c>
      <c r="B46" s="10" t="s">
        <v>97</v>
      </c>
      <c r="C46" s="10"/>
      <c r="D46" s="26"/>
      <c r="E46" s="27"/>
      <c r="F46" s="27">
        <f ca="1">SUM(F4:F45)</f>
        <v>29799.7314</v>
      </c>
      <c r="G46" s="26"/>
    </row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</sheetData>
  <mergeCells count="2">
    <mergeCell ref="A1:G1"/>
    <mergeCell ref="B46:C4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opLeftCell="A4" workbookViewId="0">
      <selection activeCell="H15" sqref="H15"/>
    </sheetView>
  </sheetViews>
  <sheetFormatPr defaultColWidth="8.89166666666667" defaultRowHeight="13.5" outlineLevelCol="6"/>
  <cols>
    <col min="1" max="1" width="4.55833333333333" customWidth="1"/>
    <col min="2" max="2" width="35.225" customWidth="1"/>
    <col min="3" max="3" width="6.44166666666667" style="1" customWidth="1"/>
    <col min="4" max="4" width="9.66666666666667" customWidth="1"/>
    <col min="5" max="5" width="8.55833333333333" customWidth="1"/>
    <col min="6" max="6" width="10.5583333333333" customWidth="1"/>
    <col min="7" max="7" width="11.775" customWidth="1"/>
  </cols>
  <sheetData>
    <row r="1" ht="29" customHeight="1" spans="1:7">
      <c r="A1" s="8" t="s">
        <v>185</v>
      </c>
      <c r="B1" s="8"/>
      <c r="C1" s="8"/>
      <c r="D1" s="8"/>
      <c r="E1" s="8"/>
      <c r="F1" s="9"/>
      <c r="G1" s="8"/>
    </row>
    <row r="2" ht="27" customHeight="1" spans="1:7">
      <c r="A2" s="10" t="s">
        <v>1</v>
      </c>
      <c r="B2" s="10" t="s">
        <v>2</v>
      </c>
      <c r="C2" s="10" t="s">
        <v>90</v>
      </c>
      <c r="D2" s="10" t="s">
        <v>103</v>
      </c>
      <c r="E2" s="10" t="s">
        <v>104</v>
      </c>
      <c r="F2" s="11" t="s">
        <v>105</v>
      </c>
      <c r="G2" s="10" t="s">
        <v>6</v>
      </c>
    </row>
    <row r="3" ht="21" customHeight="1" spans="1:7">
      <c r="A3" s="2" t="s">
        <v>108</v>
      </c>
      <c r="B3" s="12" t="s">
        <v>186</v>
      </c>
      <c r="C3" s="13" t="s">
        <v>112</v>
      </c>
      <c r="D3" s="14">
        <f>10.6+10.3</f>
        <v>20.9</v>
      </c>
      <c r="E3" s="2">
        <v>245</v>
      </c>
      <c r="F3" s="2">
        <f t="shared" ref="F3:F18" si="0">E3*D3</f>
        <v>5120.5</v>
      </c>
      <c r="G3" s="2" t="s">
        <v>187</v>
      </c>
    </row>
    <row r="4" ht="21" customHeight="1" spans="1:7">
      <c r="A4" s="2" t="s">
        <v>110</v>
      </c>
      <c r="B4" s="12" t="s">
        <v>188</v>
      </c>
      <c r="C4" s="13" t="s">
        <v>112</v>
      </c>
      <c r="D4" s="14">
        <f>17.88+17.88</f>
        <v>35.76</v>
      </c>
      <c r="E4" s="2">
        <v>245</v>
      </c>
      <c r="F4" s="2">
        <f t="shared" si="0"/>
        <v>8761.2</v>
      </c>
      <c r="G4" s="2"/>
    </row>
    <row r="5" ht="21" customHeight="1" spans="1:7">
      <c r="A5" s="2" t="s">
        <v>113</v>
      </c>
      <c r="B5" s="12" t="s">
        <v>189</v>
      </c>
      <c r="C5" s="13" t="s">
        <v>112</v>
      </c>
      <c r="D5" s="14">
        <f>7.75+7.75</f>
        <v>15.5</v>
      </c>
      <c r="E5" s="2">
        <v>245</v>
      </c>
      <c r="F5" s="2">
        <f t="shared" si="0"/>
        <v>3797.5</v>
      </c>
      <c r="G5" s="2"/>
    </row>
    <row r="6" ht="21" customHeight="1" spans="1:7">
      <c r="A6" s="2" t="s">
        <v>116</v>
      </c>
      <c r="B6" s="12" t="s">
        <v>190</v>
      </c>
      <c r="C6" s="13" t="s">
        <v>112</v>
      </c>
      <c r="D6" s="14">
        <f>13.79+9.51+26.42</f>
        <v>49.72</v>
      </c>
      <c r="E6" s="2">
        <v>245</v>
      </c>
      <c r="F6" s="2">
        <f t="shared" si="0"/>
        <v>12181.4</v>
      </c>
      <c r="G6" s="2"/>
    </row>
    <row r="7" ht="21" customHeight="1" spans="1:7">
      <c r="A7" s="2" t="s">
        <v>118</v>
      </c>
      <c r="B7" s="12" t="s">
        <v>191</v>
      </c>
      <c r="C7" s="13" t="s">
        <v>112</v>
      </c>
      <c r="D7" s="14">
        <f>7.44+10.63</f>
        <v>18.07</v>
      </c>
      <c r="E7" s="2">
        <v>245</v>
      </c>
      <c r="F7" s="2">
        <f t="shared" si="0"/>
        <v>4427.15</v>
      </c>
      <c r="G7" s="2"/>
    </row>
    <row r="8" ht="21" customHeight="1" spans="1:7">
      <c r="A8" s="2" t="s">
        <v>120</v>
      </c>
      <c r="B8" s="12" t="s">
        <v>192</v>
      </c>
      <c r="C8" s="13" t="s">
        <v>112</v>
      </c>
      <c r="D8" s="14">
        <f>5.01+8.75+9.14</f>
        <v>22.9</v>
      </c>
      <c r="E8" s="2">
        <v>190</v>
      </c>
      <c r="F8" s="2">
        <f t="shared" si="0"/>
        <v>4351</v>
      </c>
      <c r="G8" s="2" t="s">
        <v>193</v>
      </c>
    </row>
    <row r="9" ht="21" customHeight="1" spans="1:7">
      <c r="A9" s="2" t="s">
        <v>122</v>
      </c>
      <c r="B9" s="12" t="s">
        <v>194</v>
      </c>
      <c r="C9" s="13" t="s">
        <v>112</v>
      </c>
      <c r="D9" s="14">
        <f>10.63+10.62</f>
        <v>21.25</v>
      </c>
      <c r="E9" s="2">
        <v>250</v>
      </c>
      <c r="F9" s="2">
        <f t="shared" si="0"/>
        <v>5312.5</v>
      </c>
      <c r="G9" s="2"/>
    </row>
    <row r="10" ht="21" customHeight="1" spans="1:7">
      <c r="A10" s="2" t="s">
        <v>124</v>
      </c>
      <c r="B10" s="12" t="s">
        <v>195</v>
      </c>
      <c r="C10" s="13" t="s">
        <v>112</v>
      </c>
      <c r="D10" s="14">
        <f>6.63+4.09+8.3+8.36</f>
        <v>27.38</v>
      </c>
      <c r="E10" s="2">
        <v>190</v>
      </c>
      <c r="F10" s="2">
        <f t="shared" si="0"/>
        <v>5202.2</v>
      </c>
      <c r="G10" s="2"/>
    </row>
    <row r="11" ht="21" customHeight="1" spans="1:7">
      <c r="A11" s="2" t="s">
        <v>125</v>
      </c>
      <c r="B11" s="12" t="s">
        <v>196</v>
      </c>
      <c r="C11" s="13" t="s">
        <v>112</v>
      </c>
      <c r="D11" s="14">
        <f>10.63+10.63</f>
        <v>21.26</v>
      </c>
      <c r="E11" s="2">
        <v>250</v>
      </c>
      <c r="F11" s="2">
        <f t="shared" si="0"/>
        <v>5315</v>
      </c>
      <c r="G11" s="2"/>
    </row>
    <row r="12" ht="21" customHeight="1" spans="1:7">
      <c r="A12" s="2" t="s">
        <v>128</v>
      </c>
      <c r="B12" s="12" t="s">
        <v>197</v>
      </c>
      <c r="C12" s="13" t="s">
        <v>112</v>
      </c>
      <c r="D12" s="14">
        <f>7.92+7.32+5.09+7.92</f>
        <v>28.25</v>
      </c>
      <c r="E12" s="2">
        <v>190</v>
      </c>
      <c r="F12" s="2">
        <f t="shared" si="0"/>
        <v>5367.5</v>
      </c>
      <c r="G12" s="2"/>
    </row>
    <row r="13" ht="21" customHeight="1" spans="1:7">
      <c r="A13" s="2" t="s">
        <v>129</v>
      </c>
      <c r="B13" s="12" t="s">
        <v>198</v>
      </c>
      <c r="C13" s="13" t="s">
        <v>112</v>
      </c>
      <c r="D13" s="14">
        <f>9.52+7.44</f>
        <v>16.96</v>
      </c>
      <c r="E13" s="2">
        <v>250</v>
      </c>
      <c r="F13" s="2">
        <f t="shared" si="0"/>
        <v>4240</v>
      </c>
      <c r="G13" s="2"/>
    </row>
    <row r="14" ht="21" customHeight="1" spans="1:7">
      <c r="A14" s="2" t="s">
        <v>131</v>
      </c>
      <c r="B14" s="12" t="s">
        <v>199</v>
      </c>
      <c r="C14" s="13" t="s">
        <v>112</v>
      </c>
      <c r="D14" s="14">
        <f>8.29+15.9</f>
        <v>24.19</v>
      </c>
      <c r="E14" s="2">
        <v>190</v>
      </c>
      <c r="F14" s="2">
        <f t="shared" si="0"/>
        <v>4596.1</v>
      </c>
      <c r="G14" s="2"/>
    </row>
    <row r="15" ht="21" customHeight="1" spans="1:7">
      <c r="A15" s="2" t="s">
        <v>132</v>
      </c>
      <c r="B15" s="12" t="s">
        <v>200</v>
      </c>
      <c r="C15" s="13" t="s">
        <v>112</v>
      </c>
      <c r="D15" s="15">
        <f>1.83*2.3*2+1.74*2.2*2+2*2.3*2+2*2.44+1.96*2.44+2*2.24*2+2*2.38+2*2.39</f>
        <v>53.4364</v>
      </c>
      <c r="E15" s="2">
        <v>150</v>
      </c>
      <c r="F15" s="2">
        <f t="shared" si="0"/>
        <v>8015.46</v>
      </c>
      <c r="G15" s="2" t="s">
        <v>187</v>
      </c>
    </row>
    <row r="16" ht="30" customHeight="1" spans="1:7">
      <c r="A16" s="2" t="s">
        <v>134</v>
      </c>
      <c r="B16" s="12" t="s">
        <v>201</v>
      </c>
      <c r="C16" s="13" t="s">
        <v>182</v>
      </c>
      <c r="D16" s="14">
        <v>24</v>
      </c>
      <c r="E16" s="2">
        <v>500</v>
      </c>
      <c r="F16" s="2">
        <f t="shared" si="0"/>
        <v>12000</v>
      </c>
      <c r="G16" s="16" t="s">
        <v>202</v>
      </c>
    </row>
    <row r="17" ht="30" customHeight="1" spans="1:7">
      <c r="A17" s="2" t="s">
        <v>136</v>
      </c>
      <c r="B17" s="12" t="s">
        <v>203</v>
      </c>
      <c r="C17" s="13" t="s">
        <v>182</v>
      </c>
      <c r="D17" s="14">
        <v>5</v>
      </c>
      <c r="E17" s="2">
        <v>500</v>
      </c>
      <c r="F17" s="2">
        <f t="shared" si="0"/>
        <v>2500</v>
      </c>
      <c r="G17" s="16" t="s">
        <v>202</v>
      </c>
    </row>
    <row r="18" ht="21" customHeight="1" spans="1:7">
      <c r="A18" s="17" t="s">
        <v>137</v>
      </c>
      <c r="B18" s="18" t="s">
        <v>204</v>
      </c>
      <c r="C18" s="19" t="s">
        <v>115</v>
      </c>
      <c r="D18" s="20">
        <f>56.56-1.8-2.8-1.5+1.6</f>
        <v>52.06</v>
      </c>
      <c r="E18" s="17">
        <v>30</v>
      </c>
      <c r="F18" s="2">
        <f t="shared" si="0"/>
        <v>1561.8</v>
      </c>
      <c r="G18" s="2" t="s">
        <v>205</v>
      </c>
    </row>
    <row r="19" ht="21" customHeight="1" spans="1:5">
      <c r="A19" s="21" t="s">
        <v>206</v>
      </c>
      <c r="B19" s="21"/>
      <c r="C19" s="21"/>
      <c r="D19" s="21"/>
      <c r="E19" s="21"/>
    </row>
    <row r="20" ht="21" customHeight="1" spans="1:7">
      <c r="A20" s="2" t="s">
        <v>141</v>
      </c>
      <c r="B20" s="12" t="s">
        <v>207</v>
      </c>
      <c r="C20" s="13" t="s">
        <v>112</v>
      </c>
      <c r="D20" s="2">
        <f>8.4+8.2</f>
        <v>16.6</v>
      </c>
      <c r="E20" s="22">
        <v>40.44</v>
      </c>
      <c r="F20" s="4">
        <f t="shared" ref="F20:F24" si="1">E20*D20</f>
        <v>671.304</v>
      </c>
      <c r="G20" s="2"/>
    </row>
    <row r="21" ht="21" customHeight="1" spans="1:7">
      <c r="A21" s="2" t="s">
        <v>143</v>
      </c>
      <c r="B21" s="2" t="s">
        <v>208</v>
      </c>
      <c r="C21" s="3" t="s">
        <v>182</v>
      </c>
      <c r="D21" s="2">
        <f>3+3</f>
        <v>6</v>
      </c>
      <c r="E21" s="22">
        <v>77.41</v>
      </c>
      <c r="F21" s="4">
        <f t="shared" si="1"/>
        <v>464.46</v>
      </c>
      <c r="G21" s="2"/>
    </row>
    <row r="22" ht="21" customHeight="1" spans="1:7">
      <c r="A22" s="2" t="s">
        <v>144</v>
      </c>
      <c r="B22" s="14" t="s">
        <v>209</v>
      </c>
      <c r="C22" s="23" t="s">
        <v>115</v>
      </c>
      <c r="D22" s="14">
        <v>0</v>
      </c>
      <c r="E22" s="24">
        <v>20.87</v>
      </c>
      <c r="F22" s="15">
        <f t="shared" si="1"/>
        <v>0</v>
      </c>
      <c r="G22" s="25" t="s">
        <v>210</v>
      </c>
    </row>
    <row r="23" ht="21" customHeight="1" spans="1:7">
      <c r="A23" s="2" t="s">
        <v>145</v>
      </c>
      <c r="B23" s="14" t="s">
        <v>211</v>
      </c>
      <c r="C23" s="23" t="s">
        <v>115</v>
      </c>
      <c r="D23" s="14">
        <v>0</v>
      </c>
      <c r="E23" s="24">
        <v>3.7</v>
      </c>
      <c r="F23" s="15">
        <f t="shared" si="1"/>
        <v>0</v>
      </c>
      <c r="G23" s="14"/>
    </row>
    <row r="24" ht="21" customHeight="1" spans="1:7">
      <c r="A24" s="2" t="s">
        <v>146</v>
      </c>
      <c r="B24" s="2" t="s">
        <v>212</v>
      </c>
      <c r="C24" s="10" t="s">
        <v>180</v>
      </c>
      <c r="D24" s="26">
        <v>2</v>
      </c>
      <c r="E24" s="27">
        <v>90</v>
      </c>
      <c r="F24" s="27">
        <f t="shared" si="1"/>
        <v>180</v>
      </c>
      <c r="G24" s="2"/>
    </row>
    <row r="25" ht="21" customHeight="1" spans="1:7">
      <c r="A25" s="2" t="s">
        <v>147</v>
      </c>
      <c r="B25" s="12" t="s">
        <v>213</v>
      </c>
      <c r="C25" s="13" t="s">
        <v>112</v>
      </c>
      <c r="D25" s="2">
        <f>10.2+10.2</f>
        <v>20.4</v>
      </c>
      <c r="E25" s="22">
        <v>40.44</v>
      </c>
      <c r="F25" s="4">
        <f t="shared" ref="F25:F45" si="2">E25*D25</f>
        <v>824.976</v>
      </c>
      <c r="G25" s="2"/>
    </row>
    <row r="26" ht="21" customHeight="1" spans="1:7">
      <c r="A26" s="2" t="s">
        <v>149</v>
      </c>
      <c r="B26" s="2" t="s">
        <v>214</v>
      </c>
      <c r="C26" s="3" t="s">
        <v>182</v>
      </c>
      <c r="D26" s="2">
        <v>10</v>
      </c>
      <c r="E26" s="22">
        <v>77.41</v>
      </c>
      <c r="F26" s="4">
        <f t="shared" si="2"/>
        <v>774.1</v>
      </c>
      <c r="G26" s="2"/>
    </row>
    <row r="27" ht="21" customHeight="1" spans="1:7">
      <c r="A27" s="2" t="s">
        <v>150</v>
      </c>
      <c r="B27" s="14" t="s">
        <v>215</v>
      </c>
      <c r="C27" s="23" t="s">
        <v>115</v>
      </c>
      <c r="D27" s="14">
        <v>0</v>
      </c>
      <c r="E27" s="24">
        <v>20.87</v>
      </c>
      <c r="F27" s="15">
        <f t="shared" si="2"/>
        <v>0</v>
      </c>
      <c r="G27" s="14"/>
    </row>
    <row r="28" ht="21" customHeight="1" spans="1:7">
      <c r="A28" s="2" t="s">
        <v>151</v>
      </c>
      <c r="B28" s="14" t="s">
        <v>216</v>
      </c>
      <c r="C28" s="23" t="s">
        <v>115</v>
      </c>
      <c r="D28" s="14">
        <v>0</v>
      </c>
      <c r="E28" s="24">
        <v>3.7</v>
      </c>
      <c r="F28" s="15">
        <f t="shared" si="2"/>
        <v>0</v>
      </c>
      <c r="G28" s="14"/>
    </row>
    <row r="29" ht="21" customHeight="1" spans="1:7">
      <c r="A29" s="2" t="s">
        <v>152</v>
      </c>
      <c r="B29" s="2" t="s">
        <v>217</v>
      </c>
      <c r="C29" s="10" t="s">
        <v>180</v>
      </c>
      <c r="D29" s="26">
        <v>2</v>
      </c>
      <c r="E29" s="27">
        <v>90</v>
      </c>
      <c r="F29" s="27">
        <f t="shared" si="2"/>
        <v>180</v>
      </c>
      <c r="G29" s="2"/>
    </row>
    <row r="30" ht="21" customHeight="1" spans="1:7">
      <c r="A30" s="2" t="s">
        <v>153</v>
      </c>
      <c r="B30" s="12" t="s">
        <v>218</v>
      </c>
      <c r="C30" s="13" t="s">
        <v>112</v>
      </c>
      <c r="D30" s="2">
        <f>9.4+9.4</f>
        <v>18.8</v>
      </c>
      <c r="E30" s="22">
        <v>40.44</v>
      </c>
      <c r="F30" s="4">
        <f t="shared" si="2"/>
        <v>760.272</v>
      </c>
      <c r="G30" s="2"/>
    </row>
    <row r="31" ht="21" customHeight="1" spans="1:7">
      <c r="A31" s="2" t="s">
        <v>155</v>
      </c>
      <c r="B31" s="2" t="s">
        <v>219</v>
      </c>
      <c r="C31" s="3" t="s">
        <v>182</v>
      </c>
      <c r="D31" s="2">
        <v>6</v>
      </c>
      <c r="E31" s="22">
        <v>77.41</v>
      </c>
      <c r="F31" s="4">
        <f t="shared" si="2"/>
        <v>464.46</v>
      </c>
      <c r="G31" s="2"/>
    </row>
    <row r="32" ht="21" customHeight="1" spans="1:7">
      <c r="A32" s="14" t="s">
        <v>156</v>
      </c>
      <c r="B32" s="14" t="s">
        <v>220</v>
      </c>
      <c r="C32" s="23" t="s">
        <v>115</v>
      </c>
      <c r="D32" s="14">
        <v>0</v>
      </c>
      <c r="E32" s="24">
        <v>20.87</v>
      </c>
      <c r="F32" s="15">
        <f t="shared" si="2"/>
        <v>0</v>
      </c>
      <c r="G32" s="14"/>
    </row>
    <row r="33" ht="21" customHeight="1" spans="1:7">
      <c r="A33" s="14" t="s">
        <v>157</v>
      </c>
      <c r="B33" s="14" t="s">
        <v>221</v>
      </c>
      <c r="C33" s="23" t="s">
        <v>115</v>
      </c>
      <c r="D33" s="14">
        <v>0</v>
      </c>
      <c r="E33" s="24">
        <v>3.7</v>
      </c>
      <c r="F33" s="15">
        <f t="shared" si="2"/>
        <v>0</v>
      </c>
      <c r="G33" s="14"/>
    </row>
    <row r="34" ht="21" customHeight="1" spans="1:7">
      <c r="A34" s="2" t="s">
        <v>158</v>
      </c>
      <c r="B34" s="2" t="s">
        <v>222</v>
      </c>
      <c r="C34" s="10" t="s">
        <v>180</v>
      </c>
      <c r="D34" s="26">
        <v>2</v>
      </c>
      <c r="E34" s="27">
        <v>90</v>
      </c>
      <c r="F34" s="27">
        <f t="shared" si="2"/>
        <v>180</v>
      </c>
      <c r="G34" s="2"/>
    </row>
    <row r="35" ht="21" customHeight="1" spans="1:7">
      <c r="A35" s="2" t="s">
        <v>159</v>
      </c>
      <c r="B35" s="12" t="s">
        <v>223</v>
      </c>
      <c r="C35" s="13" t="s">
        <v>112</v>
      </c>
      <c r="D35" s="2">
        <f>8.2+10.8</f>
        <v>19</v>
      </c>
      <c r="E35" s="22">
        <v>40.44</v>
      </c>
      <c r="F35" s="4">
        <f t="shared" si="2"/>
        <v>768.36</v>
      </c>
      <c r="G35" s="2"/>
    </row>
    <row r="36" ht="21" customHeight="1" spans="1:7">
      <c r="A36" s="2" t="s">
        <v>161</v>
      </c>
      <c r="B36" s="2" t="s">
        <v>224</v>
      </c>
      <c r="C36" s="3" t="s">
        <v>182</v>
      </c>
      <c r="D36" s="2">
        <f>7+9</f>
        <v>16</v>
      </c>
      <c r="E36" s="22">
        <v>77.41</v>
      </c>
      <c r="F36" s="4">
        <f t="shared" si="2"/>
        <v>1238.56</v>
      </c>
      <c r="G36" s="2"/>
    </row>
    <row r="37" ht="21" customHeight="1" spans="1:7">
      <c r="A37" s="2" t="s">
        <v>162</v>
      </c>
      <c r="B37" s="2" t="s">
        <v>225</v>
      </c>
      <c r="C37" s="10" t="s">
        <v>115</v>
      </c>
      <c r="D37" s="2">
        <v>0</v>
      </c>
      <c r="E37" s="27">
        <v>20.87</v>
      </c>
      <c r="F37" s="4">
        <f t="shared" si="2"/>
        <v>0</v>
      </c>
      <c r="G37" s="2"/>
    </row>
    <row r="38" ht="21" customHeight="1" spans="1:7">
      <c r="A38" s="2" t="s">
        <v>163</v>
      </c>
      <c r="B38" s="2" t="s">
        <v>226</v>
      </c>
      <c r="C38" s="10" t="s">
        <v>115</v>
      </c>
      <c r="D38" s="2">
        <v>0</v>
      </c>
      <c r="E38" s="27">
        <v>3.7</v>
      </c>
      <c r="F38" s="4">
        <f t="shared" si="2"/>
        <v>0</v>
      </c>
      <c r="G38" s="2"/>
    </row>
    <row r="39" ht="21" customHeight="1" spans="1:7">
      <c r="A39" s="2" t="s">
        <v>164</v>
      </c>
      <c r="B39" s="2" t="s">
        <v>227</v>
      </c>
      <c r="C39" s="10" t="s">
        <v>180</v>
      </c>
      <c r="D39" s="26">
        <v>2</v>
      </c>
      <c r="E39" s="27">
        <v>90</v>
      </c>
      <c r="F39" s="27">
        <f t="shared" si="2"/>
        <v>180</v>
      </c>
      <c r="G39" s="2"/>
    </row>
    <row r="40" ht="21" customHeight="1" spans="1:7">
      <c r="A40" s="2" t="s">
        <v>165</v>
      </c>
      <c r="B40" s="12" t="s">
        <v>228</v>
      </c>
      <c r="C40" s="13" t="s">
        <v>112</v>
      </c>
      <c r="D40" s="2">
        <v>8.4</v>
      </c>
      <c r="E40" s="22">
        <v>40.44</v>
      </c>
      <c r="F40" s="4">
        <f t="shared" si="2"/>
        <v>339.696</v>
      </c>
      <c r="G40" s="2"/>
    </row>
    <row r="41" ht="21" customHeight="1" spans="1:7">
      <c r="A41" s="2" t="s">
        <v>166</v>
      </c>
      <c r="B41" s="2" t="s">
        <v>229</v>
      </c>
      <c r="C41" s="3" t="s">
        <v>182</v>
      </c>
      <c r="D41" s="2">
        <f>2+3</f>
        <v>5</v>
      </c>
      <c r="E41" s="22">
        <v>77.41</v>
      </c>
      <c r="F41" s="4">
        <f t="shared" si="2"/>
        <v>387.05</v>
      </c>
      <c r="G41" s="2"/>
    </row>
    <row r="42" ht="21" customHeight="1" spans="1:7">
      <c r="A42" s="2" t="s">
        <v>168</v>
      </c>
      <c r="B42" s="2" t="s">
        <v>230</v>
      </c>
      <c r="C42" s="10" t="s">
        <v>115</v>
      </c>
      <c r="D42" s="2">
        <v>0</v>
      </c>
      <c r="E42" s="27">
        <v>20.87</v>
      </c>
      <c r="F42" s="4">
        <f t="shared" si="2"/>
        <v>0</v>
      </c>
      <c r="G42" s="2"/>
    </row>
    <row r="43" ht="21" customHeight="1" spans="1:7">
      <c r="A43" s="2" t="s">
        <v>170</v>
      </c>
      <c r="B43" s="2" t="s">
        <v>231</v>
      </c>
      <c r="C43" s="10" t="s">
        <v>115</v>
      </c>
      <c r="D43" s="2">
        <v>0</v>
      </c>
      <c r="E43" s="27">
        <v>3.7</v>
      </c>
      <c r="F43" s="4">
        <f t="shared" si="2"/>
        <v>0</v>
      </c>
      <c r="G43" s="2"/>
    </row>
    <row r="44" ht="21" customHeight="1" spans="1:7">
      <c r="A44" s="2" t="s">
        <v>172</v>
      </c>
      <c r="B44" s="2" t="s">
        <v>232</v>
      </c>
      <c r="C44" s="10" t="s">
        <v>180</v>
      </c>
      <c r="D44" s="26">
        <f>1+7</f>
        <v>8</v>
      </c>
      <c r="E44" s="27">
        <v>90</v>
      </c>
      <c r="F44" s="27">
        <f t="shared" si="2"/>
        <v>720</v>
      </c>
      <c r="G44" s="2"/>
    </row>
    <row r="45" ht="21" customHeight="1" spans="1:7">
      <c r="A45" s="2" t="s">
        <v>174</v>
      </c>
      <c r="B45" s="2" t="s">
        <v>233</v>
      </c>
      <c r="C45" s="10" t="s">
        <v>115</v>
      </c>
      <c r="D45" s="14">
        <v>0</v>
      </c>
      <c r="E45" s="2">
        <v>120</v>
      </c>
      <c r="F45" s="27">
        <f t="shared" si="2"/>
        <v>0</v>
      </c>
      <c r="G45" s="2"/>
    </row>
    <row r="46" ht="21" customHeight="1" spans="1:7">
      <c r="A46" s="2" t="s">
        <v>234</v>
      </c>
      <c r="B46" s="2" t="s">
        <v>235</v>
      </c>
      <c r="C46" s="3" t="s">
        <v>182</v>
      </c>
      <c r="D46" s="2">
        <f>3+3</f>
        <v>6</v>
      </c>
      <c r="E46" s="22">
        <v>77.41</v>
      </c>
      <c r="F46" s="4">
        <f t="shared" ref="F46:F51" si="3">E46*D46</f>
        <v>464.46</v>
      </c>
      <c r="G46" s="2"/>
    </row>
    <row r="47" ht="21" customHeight="1" spans="1:7">
      <c r="A47" s="2" t="s">
        <v>236</v>
      </c>
      <c r="B47" s="2" t="s">
        <v>237</v>
      </c>
      <c r="C47" s="10" t="s">
        <v>115</v>
      </c>
      <c r="D47" s="2">
        <v>0</v>
      </c>
      <c r="E47" s="27">
        <v>20.87</v>
      </c>
      <c r="F47" s="4">
        <f t="shared" si="3"/>
        <v>0</v>
      </c>
      <c r="G47" s="2"/>
    </row>
    <row r="48" ht="21" customHeight="1" spans="1:7">
      <c r="A48" s="2" t="s">
        <v>238</v>
      </c>
      <c r="B48" s="2" t="s">
        <v>239</v>
      </c>
      <c r="C48" s="10" t="s">
        <v>115</v>
      </c>
      <c r="D48" s="2">
        <v>0</v>
      </c>
      <c r="E48" s="27">
        <v>3.7</v>
      </c>
      <c r="F48" s="4">
        <f t="shared" si="3"/>
        <v>0</v>
      </c>
      <c r="G48" s="2"/>
    </row>
    <row r="49" ht="21" customHeight="1" spans="1:7">
      <c r="A49" s="2" t="s">
        <v>240</v>
      </c>
      <c r="B49" s="2" t="s">
        <v>241</v>
      </c>
      <c r="C49" s="10" t="s">
        <v>180</v>
      </c>
      <c r="D49" s="26">
        <v>9</v>
      </c>
      <c r="E49" s="27">
        <v>90</v>
      </c>
      <c r="F49" s="27">
        <f t="shared" si="3"/>
        <v>810</v>
      </c>
      <c r="G49" s="2"/>
    </row>
    <row r="50" ht="21" customHeight="1" spans="1:7">
      <c r="A50" s="2" t="s">
        <v>242</v>
      </c>
      <c r="B50" s="2" t="s">
        <v>243</v>
      </c>
      <c r="C50" s="10" t="s">
        <v>115</v>
      </c>
      <c r="D50" s="14">
        <v>0</v>
      </c>
      <c r="E50" s="2">
        <v>120</v>
      </c>
      <c r="F50" s="27">
        <f t="shared" si="3"/>
        <v>0</v>
      </c>
      <c r="G50" s="2"/>
    </row>
    <row r="51" ht="21" customHeight="1" spans="1:7">
      <c r="A51" s="2" t="s">
        <v>244</v>
      </c>
      <c r="B51" s="12" t="s">
        <v>245</v>
      </c>
      <c r="C51" s="13" t="s">
        <v>112</v>
      </c>
      <c r="D51" s="2">
        <f>8.2+8.2</f>
        <v>16.4</v>
      </c>
      <c r="E51" s="22">
        <v>40.44</v>
      </c>
      <c r="F51" s="4">
        <f t="shared" si="3"/>
        <v>663.216</v>
      </c>
      <c r="G51" s="2"/>
    </row>
    <row r="52" ht="21" customHeight="1" spans="1:7">
      <c r="A52" s="2" t="s">
        <v>246</v>
      </c>
      <c r="B52" s="2" t="s">
        <v>247</v>
      </c>
      <c r="C52" s="3" t="s">
        <v>182</v>
      </c>
      <c r="D52" s="2">
        <v>6</v>
      </c>
      <c r="E52" s="22">
        <v>77.41</v>
      </c>
      <c r="F52" s="4">
        <f t="shared" ref="F52:F64" si="4">E52*D52</f>
        <v>464.46</v>
      </c>
      <c r="G52" s="2"/>
    </row>
    <row r="53" ht="21" customHeight="1" spans="1:7">
      <c r="A53" s="2" t="s">
        <v>248</v>
      </c>
      <c r="B53" s="2" t="s">
        <v>249</v>
      </c>
      <c r="C53" s="10" t="s">
        <v>115</v>
      </c>
      <c r="D53" s="2">
        <v>0</v>
      </c>
      <c r="E53" s="27">
        <v>20.87</v>
      </c>
      <c r="F53" s="4">
        <f t="shared" si="4"/>
        <v>0</v>
      </c>
      <c r="G53" s="2"/>
    </row>
    <row r="54" ht="21" customHeight="1" spans="1:7">
      <c r="A54" s="2" t="s">
        <v>250</v>
      </c>
      <c r="B54" s="2" t="s">
        <v>251</v>
      </c>
      <c r="C54" s="10" t="s">
        <v>115</v>
      </c>
      <c r="D54" s="2">
        <v>0</v>
      </c>
      <c r="E54" s="27">
        <v>3.7</v>
      </c>
      <c r="F54" s="4">
        <f t="shared" si="4"/>
        <v>0</v>
      </c>
      <c r="G54" s="2"/>
    </row>
    <row r="55" ht="21" customHeight="1" spans="1:7">
      <c r="A55" s="2" t="s">
        <v>252</v>
      </c>
      <c r="B55" s="2" t="s">
        <v>253</v>
      </c>
      <c r="C55" s="10" t="s">
        <v>180</v>
      </c>
      <c r="D55" s="26">
        <v>8</v>
      </c>
      <c r="E55" s="27">
        <v>90</v>
      </c>
      <c r="F55" s="27">
        <f t="shared" si="4"/>
        <v>720</v>
      </c>
      <c r="G55" s="2"/>
    </row>
    <row r="56" ht="21" customHeight="1" spans="1:7">
      <c r="A56" s="2" t="s">
        <v>254</v>
      </c>
      <c r="B56" s="2" t="s">
        <v>255</v>
      </c>
      <c r="C56" s="10" t="s">
        <v>115</v>
      </c>
      <c r="D56" s="14">
        <v>0</v>
      </c>
      <c r="E56" s="2">
        <v>120</v>
      </c>
      <c r="F56" s="27">
        <f t="shared" si="4"/>
        <v>0</v>
      </c>
      <c r="G56" s="2"/>
    </row>
    <row r="57" ht="21" customHeight="1" spans="1:7">
      <c r="A57" s="2" t="s">
        <v>256</v>
      </c>
      <c r="B57" s="12" t="s">
        <v>257</v>
      </c>
      <c r="C57" s="13" t="s">
        <v>112</v>
      </c>
      <c r="D57" s="2">
        <f>8.2+8.2</f>
        <v>16.4</v>
      </c>
      <c r="E57" s="22">
        <v>40.44</v>
      </c>
      <c r="F57" s="4">
        <f t="shared" si="4"/>
        <v>663.216</v>
      </c>
      <c r="G57" s="2"/>
    </row>
    <row r="58" ht="21" customHeight="1" spans="1:7">
      <c r="A58" s="2" t="s">
        <v>258</v>
      </c>
      <c r="B58" s="2" t="s">
        <v>259</v>
      </c>
      <c r="C58" s="3" t="s">
        <v>182</v>
      </c>
      <c r="D58" s="2">
        <v>5</v>
      </c>
      <c r="E58" s="22">
        <v>77.41</v>
      </c>
      <c r="F58" s="4">
        <f t="shared" si="4"/>
        <v>387.05</v>
      </c>
      <c r="G58" s="2"/>
    </row>
    <row r="59" ht="21" customHeight="1" spans="1:7">
      <c r="A59" s="2" t="s">
        <v>260</v>
      </c>
      <c r="B59" s="2" t="s">
        <v>261</v>
      </c>
      <c r="C59" s="10" t="s">
        <v>115</v>
      </c>
      <c r="D59" s="2">
        <v>0</v>
      </c>
      <c r="E59" s="27">
        <v>20.87</v>
      </c>
      <c r="F59" s="4">
        <f t="shared" si="4"/>
        <v>0</v>
      </c>
      <c r="G59" s="2"/>
    </row>
    <row r="60" ht="21" customHeight="1" spans="1:7">
      <c r="A60" s="2" t="s">
        <v>262</v>
      </c>
      <c r="B60" s="2" t="s">
        <v>263</v>
      </c>
      <c r="C60" s="10" t="s">
        <v>115</v>
      </c>
      <c r="D60" s="2">
        <v>0</v>
      </c>
      <c r="E60" s="27">
        <v>3.7</v>
      </c>
      <c r="F60" s="4">
        <f t="shared" si="4"/>
        <v>0</v>
      </c>
      <c r="G60" s="2"/>
    </row>
    <row r="61" ht="21" customHeight="1" spans="1:7">
      <c r="A61" s="2" t="s">
        <v>264</v>
      </c>
      <c r="B61" s="2" t="s">
        <v>265</v>
      </c>
      <c r="C61" s="10" t="s">
        <v>180</v>
      </c>
      <c r="D61" s="26">
        <v>8</v>
      </c>
      <c r="E61" s="27">
        <v>90</v>
      </c>
      <c r="F61" s="27">
        <f t="shared" si="4"/>
        <v>720</v>
      </c>
      <c r="G61" s="2"/>
    </row>
    <row r="62" ht="21" customHeight="1" spans="1:7">
      <c r="A62" s="2" t="s">
        <v>266</v>
      </c>
      <c r="B62" s="2" t="s">
        <v>267</v>
      </c>
      <c r="C62" s="10" t="s">
        <v>115</v>
      </c>
      <c r="D62" s="14">
        <v>0</v>
      </c>
      <c r="E62" s="2">
        <v>120</v>
      </c>
      <c r="F62" s="27">
        <f t="shared" si="4"/>
        <v>0</v>
      </c>
      <c r="G62" s="2"/>
    </row>
    <row r="63" ht="21" customHeight="1" spans="1:7">
      <c r="A63" s="2" t="s">
        <v>268</v>
      </c>
      <c r="B63" s="2" t="s">
        <v>269</v>
      </c>
      <c r="C63" s="10" t="s">
        <v>180</v>
      </c>
      <c r="D63" s="2">
        <v>1</v>
      </c>
      <c r="E63" s="14">
        <v>325</v>
      </c>
      <c r="F63" s="27">
        <f t="shared" si="4"/>
        <v>325</v>
      </c>
      <c r="G63" s="2" t="s">
        <v>205</v>
      </c>
    </row>
    <row r="64" ht="21" customHeight="1" spans="1:7">
      <c r="A64" s="2" t="s">
        <v>270</v>
      </c>
      <c r="B64" s="2" t="s">
        <v>271</v>
      </c>
      <c r="C64" s="10" t="s">
        <v>180</v>
      </c>
      <c r="D64" s="2">
        <v>1</v>
      </c>
      <c r="E64" s="14">
        <v>580</v>
      </c>
      <c r="F64" s="27">
        <f t="shared" si="4"/>
        <v>580</v>
      </c>
      <c r="G64" s="2" t="s">
        <v>205</v>
      </c>
    </row>
    <row r="65" ht="21" customHeight="1" spans="1:7">
      <c r="A65" s="2" t="s">
        <v>272</v>
      </c>
      <c r="B65" s="3" t="s">
        <v>97</v>
      </c>
      <c r="C65" s="3"/>
      <c r="D65" s="2"/>
      <c r="E65" s="2"/>
      <c r="F65" s="4">
        <f>SUM(F3:F64)</f>
        <v>106679.95</v>
      </c>
      <c r="G65" s="2"/>
    </row>
  </sheetData>
  <autoFilter xmlns:etc="http://www.wps.cn/officeDocument/2017/etCustomData" ref="A2:G65" etc:filterBottomFollowUsedRange="0">
    <extLst/>
  </autoFilter>
  <mergeCells count="3">
    <mergeCell ref="A1:G1"/>
    <mergeCell ref="A19:E19"/>
    <mergeCell ref="B65:C65"/>
  </mergeCells>
  <pageMargins left="0.554861111111111" right="0.554861111111111" top="0.60625" bottom="0.60625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23" sqref="G23"/>
    </sheetView>
  </sheetViews>
  <sheetFormatPr defaultColWidth="9" defaultRowHeight="13.5" outlineLevelCol="6"/>
  <cols>
    <col min="3" max="3" width="15.25" customWidth="1"/>
    <col min="4" max="4" width="14.3833333333333" customWidth="1"/>
    <col min="6" max="6" width="10.1333333333333" customWidth="1"/>
    <col min="7" max="7" width="12.5" customWidth="1"/>
  </cols>
  <sheetData>
    <row r="1" ht="28" customHeight="1" spans="1:7">
      <c r="A1" s="1" t="s">
        <v>273</v>
      </c>
      <c r="B1" s="1"/>
      <c r="C1" s="1"/>
      <c r="D1" s="1"/>
      <c r="E1" s="1"/>
      <c r="F1" s="1"/>
      <c r="G1" s="1"/>
    </row>
    <row r="2" spans="1:7">
      <c r="A2">
        <v>1</v>
      </c>
      <c r="B2" t="s">
        <v>55</v>
      </c>
      <c r="C2" t="s">
        <v>274</v>
      </c>
      <c r="D2" t="s">
        <v>275</v>
      </c>
      <c r="E2" t="s">
        <v>276</v>
      </c>
      <c r="F2" t="s">
        <v>277</v>
      </c>
      <c r="G2" t="s">
        <v>97</v>
      </c>
    </row>
    <row r="3" spans="2:7">
      <c r="B3" t="s">
        <v>278</v>
      </c>
      <c r="C3">
        <v>56.56</v>
      </c>
      <c r="D3">
        <v>2.8</v>
      </c>
      <c r="E3">
        <f>1.5*1.7*6</f>
        <v>15.3</v>
      </c>
      <c r="F3">
        <f>1.8*2.3+2.8*2.3+1.5*2.3</f>
        <v>14.03</v>
      </c>
      <c r="G3">
        <f>C3*D3-E3-F3</f>
        <v>129.038</v>
      </c>
    </row>
    <row r="4" spans="1:7">
      <c r="A4">
        <v>2</v>
      </c>
      <c r="B4" t="s">
        <v>279</v>
      </c>
      <c r="C4">
        <v>154.25</v>
      </c>
      <c r="G4">
        <f>C4</f>
        <v>154.25</v>
      </c>
    </row>
    <row r="5" spans="1:7">
      <c r="A5">
        <v>3</v>
      </c>
      <c r="B5" t="s">
        <v>280</v>
      </c>
      <c r="C5">
        <v>11.5</v>
      </c>
      <c r="D5">
        <f>0.45*2</f>
        <v>0.9</v>
      </c>
      <c r="G5">
        <f>C5*D5*2</f>
        <v>20.7</v>
      </c>
    </row>
    <row r="6" spans="2:7">
      <c r="B6" t="s">
        <v>280</v>
      </c>
      <c r="C6">
        <v>3.2</v>
      </c>
      <c r="D6">
        <f>0.2*2</f>
        <v>0.4</v>
      </c>
      <c r="G6">
        <f>C6*D6</f>
        <v>1.28</v>
      </c>
    </row>
    <row r="7" spans="2:7">
      <c r="B7" t="s">
        <v>280</v>
      </c>
      <c r="C7">
        <v>12.2</v>
      </c>
      <c r="D7">
        <f>0.4*2</f>
        <v>0.8</v>
      </c>
      <c r="G7">
        <f>C7*D7</f>
        <v>9.76</v>
      </c>
    </row>
    <row r="8" spans="2:7">
      <c r="B8" t="s">
        <v>281</v>
      </c>
      <c r="C8">
        <v>1.6</v>
      </c>
      <c r="D8">
        <v>2.8</v>
      </c>
      <c r="G8">
        <f>C8*D8</f>
        <v>4.48</v>
      </c>
    </row>
    <row r="9" spans="2:7">
      <c r="B9" t="s">
        <v>282</v>
      </c>
      <c r="C9">
        <f>1.6+3.9-0.4*2</f>
        <v>4.7</v>
      </c>
      <c r="D9">
        <v>2.8</v>
      </c>
      <c r="G9">
        <f>C9*D9</f>
        <v>13.16</v>
      </c>
    </row>
    <row r="10" spans="2:7">
      <c r="B10" t="s">
        <v>97</v>
      </c>
      <c r="G10">
        <f>SUM(G3:G9)</f>
        <v>332.668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H3" sqref="H3"/>
    </sheetView>
  </sheetViews>
  <sheetFormatPr defaultColWidth="8.89166666666667" defaultRowHeight="13.5" outlineLevelCol="4"/>
  <cols>
    <col min="1" max="1" width="6.66666666666667" customWidth="1"/>
    <col min="2" max="2" width="14.3333333333333" customWidth="1"/>
    <col min="3" max="3" width="77" customWidth="1"/>
    <col min="4" max="4" width="11.5583333333333" customWidth="1"/>
    <col min="5" max="5" width="10.4416666666667" customWidth="1"/>
  </cols>
  <sheetData>
    <row r="1" ht="25" customHeight="1" spans="1:5">
      <c r="A1" s="1" t="s">
        <v>283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3" t="s">
        <v>284</v>
      </c>
      <c r="D2" s="4" t="s">
        <v>285</v>
      </c>
      <c r="E2" s="4" t="s">
        <v>97</v>
      </c>
    </row>
    <row r="3" ht="25" customHeight="1" spans="1:5">
      <c r="A3" s="2" t="s">
        <v>108</v>
      </c>
      <c r="B3" s="2" t="s">
        <v>286</v>
      </c>
      <c r="C3" s="2" t="s">
        <v>287</v>
      </c>
      <c r="D3" s="4">
        <f ca="1">EVALUATE(C3)</f>
        <v>17.67</v>
      </c>
      <c r="E3" s="5">
        <f ca="1">D3+D4</f>
        <v>37.03</v>
      </c>
    </row>
    <row r="4" ht="25" customHeight="1" spans="1:5">
      <c r="A4" s="2" t="s">
        <v>110</v>
      </c>
      <c r="B4" s="2" t="s">
        <v>288</v>
      </c>
      <c r="C4" s="2" t="s">
        <v>289</v>
      </c>
      <c r="D4" s="4">
        <f ca="1" t="shared" ref="D4:D18" si="0">EVALUATE(C4)</f>
        <v>19.36</v>
      </c>
      <c r="E4" s="5"/>
    </row>
    <row r="5" ht="25" customHeight="1" spans="1:5">
      <c r="A5" s="2" t="s">
        <v>113</v>
      </c>
      <c r="B5" s="2" t="s">
        <v>290</v>
      </c>
      <c r="C5" s="2" t="s">
        <v>291</v>
      </c>
      <c r="D5" s="4">
        <f ca="1" t="shared" si="0"/>
        <v>20.61</v>
      </c>
      <c r="E5" s="5">
        <f ca="1">D5+D6</f>
        <v>41.17</v>
      </c>
    </row>
    <row r="6" ht="25" customHeight="1" spans="1:5">
      <c r="A6" s="2" t="s">
        <v>116</v>
      </c>
      <c r="B6" s="2" t="s">
        <v>292</v>
      </c>
      <c r="C6" s="2" t="s">
        <v>293</v>
      </c>
      <c r="D6" s="4">
        <f ca="1" t="shared" si="0"/>
        <v>20.56</v>
      </c>
      <c r="E6" s="5"/>
    </row>
    <row r="7" ht="25" customHeight="1" spans="1:5">
      <c r="A7" s="2" t="s">
        <v>118</v>
      </c>
      <c r="B7" s="2" t="s">
        <v>294</v>
      </c>
      <c r="C7" s="2" t="s">
        <v>295</v>
      </c>
      <c r="D7" s="4">
        <f ca="1" t="shared" si="0"/>
        <v>19.36</v>
      </c>
      <c r="E7" s="5">
        <f ca="1">D7+D8</f>
        <v>37.21</v>
      </c>
    </row>
    <row r="8" ht="25" customHeight="1" spans="1:5">
      <c r="A8" s="2" t="s">
        <v>120</v>
      </c>
      <c r="B8" s="2" t="s">
        <v>296</v>
      </c>
      <c r="C8" s="2" t="s">
        <v>297</v>
      </c>
      <c r="D8" s="4">
        <f ca="1" t="shared" si="0"/>
        <v>17.85</v>
      </c>
      <c r="E8" s="5"/>
    </row>
    <row r="9" ht="25" customHeight="1" spans="1:5">
      <c r="A9" s="2" t="s">
        <v>122</v>
      </c>
      <c r="B9" s="2" t="s">
        <v>298</v>
      </c>
      <c r="C9" s="2" t="s">
        <v>299</v>
      </c>
      <c r="D9" s="4">
        <f ca="1" t="shared" si="0"/>
        <v>23.2</v>
      </c>
      <c r="E9" s="5">
        <f ca="1">D9+D10</f>
        <v>68.57</v>
      </c>
    </row>
    <row r="10" ht="25" customHeight="1" spans="1:5">
      <c r="A10" s="2" t="s">
        <v>123</v>
      </c>
      <c r="B10" s="2" t="s">
        <v>300</v>
      </c>
      <c r="C10" s="2" t="s">
        <v>301</v>
      </c>
      <c r="D10" s="4">
        <f ca="1" t="shared" si="0"/>
        <v>45.37</v>
      </c>
      <c r="E10" s="5"/>
    </row>
    <row r="11" ht="25" customHeight="1" spans="1:5">
      <c r="A11" s="2" t="s">
        <v>124</v>
      </c>
      <c r="B11" s="2" t="s">
        <v>302</v>
      </c>
      <c r="C11" s="6" t="s">
        <v>303</v>
      </c>
      <c r="D11" s="4">
        <f ca="1" t="shared" si="0"/>
        <v>19.89</v>
      </c>
      <c r="E11" s="5">
        <f ca="1">D11+D12</f>
        <v>38.91</v>
      </c>
    </row>
    <row r="12" ht="25" customHeight="1" spans="1:5">
      <c r="A12" s="2" t="s">
        <v>125</v>
      </c>
      <c r="B12" s="2" t="s">
        <v>304</v>
      </c>
      <c r="C12" s="6" t="s">
        <v>305</v>
      </c>
      <c r="D12" s="4">
        <f ca="1" t="shared" si="0"/>
        <v>19.02</v>
      </c>
      <c r="E12" s="5"/>
    </row>
    <row r="13" ht="25" customHeight="1" spans="1:5">
      <c r="A13" s="2" t="s">
        <v>126</v>
      </c>
      <c r="B13" s="2" t="s">
        <v>306</v>
      </c>
      <c r="C13" s="6" t="s">
        <v>307</v>
      </c>
      <c r="D13" s="4">
        <f ca="1" t="shared" si="0"/>
        <v>24.12</v>
      </c>
      <c r="E13" s="5">
        <f ca="1">D13+D14</f>
        <v>49.92</v>
      </c>
    </row>
    <row r="14" ht="25" customHeight="1" spans="1:5">
      <c r="A14" s="2" t="s">
        <v>128</v>
      </c>
      <c r="B14" s="2" t="s">
        <v>308</v>
      </c>
      <c r="C14" s="6" t="s">
        <v>309</v>
      </c>
      <c r="D14" s="4">
        <f ca="1" t="shared" si="0"/>
        <v>25.8</v>
      </c>
      <c r="E14" s="5"/>
    </row>
    <row r="15" ht="25" customHeight="1" spans="1:5">
      <c r="A15" s="2" t="s">
        <v>129</v>
      </c>
      <c r="B15" s="2" t="s">
        <v>310</v>
      </c>
      <c r="C15" s="6" t="s">
        <v>311</v>
      </c>
      <c r="D15" s="4">
        <f ca="1" t="shared" si="0"/>
        <v>31.44</v>
      </c>
      <c r="E15" s="5">
        <f ca="1">D15+D16</f>
        <v>51.3</v>
      </c>
    </row>
    <row r="16" ht="25" customHeight="1" spans="1:5">
      <c r="A16" s="2" t="s">
        <v>130</v>
      </c>
      <c r="B16" s="2" t="s">
        <v>312</v>
      </c>
      <c r="C16" s="6" t="s">
        <v>313</v>
      </c>
      <c r="D16" s="4">
        <f ca="1" t="shared" si="0"/>
        <v>19.86</v>
      </c>
      <c r="E16" s="5"/>
    </row>
    <row r="17" ht="25" customHeight="1" spans="1:5">
      <c r="A17" s="2" t="s">
        <v>131</v>
      </c>
      <c r="B17" s="2" t="s">
        <v>314</v>
      </c>
      <c r="C17" s="6" t="s">
        <v>315</v>
      </c>
      <c r="D17" s="4">
        <f ca="1" t="shared" si="0"/>
        <v>17.59</v>
      </c>
      <c r="E17" s="5">
        <f ca="1">D17+D18</f>
        <v>41.71</v>
      </c>
    </row>
    <row r="18" ht="25" customHeight="1" spans="1:5">
      <c r="A18" s="2" t="s">
        <v>132</v>
      </c>
      <c r="B18" s="2" t="s">
        <v>316</v>
      </c>
      <c r="C18" s="6" t="s">
        <v>317</v>
      </c>
      <c r="D18" s="4">
        <f ca="1" t="shared" si="0"/>
        <v>24.12</v>
      </c>
      <c r="E18" s="5"/>
    </row>
    <row r="19" ht="21" customHeight="1" spans="4:5">
      <c r="D19" s="7"/>
      <c r="E19" s="7">
        <f ca="1">SUM(E3:E18)</f>
        <v>365.82</v>
      </c>
    </row>
  </sheetData>
  <mergeCells count="9">
    <mergeCell ref="A1:E1"/>
    <mergeCell ref="E3:E4"/>
    <mergeCell ref="E5:E6"/>
    <mergeCell ref="E7:E8"/>
    <mergeCell ref="E9:E10"/>
    <mergeCell ref="E11:E12"/>
    <mergeCell ref="E13:E14"/>
    <mergeCell ref="E15:E16"/>
    <mergeCell ref="E17:E1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结算目录</vt:lpstr>
      <vt:lpstr>结算汇总表</vt:lpstr>
      <vt:lpstr>结算明细表</vt:lpstr>
      <vt:lpstr>土建</vt:lpstr>
      <vt:lpstr>安装审核</vt:lpstr>
      <vt:lpstr>设计变更</vt:lpstr>
      <vt:lpstr>计算底稿</vt:lpstr>
      <vt:lpstr>配管计算式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</cp:lastModifiedBy>
  <dcterms:created xsi:type="dcterms:W3CDTF">2018-10-23T09:51:00Z</dcterms:created>
  <dcterms:modified xsi:type="dcterms:W3CDTF">2025-04-15T02:18:18Z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31C91A15B3A240BAAC26FCB9B7338979_13</vt:lpwstr>
  </property>
</Properties>
</file>