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880" tabRatio="944" activeTab="1"/>
  </bookViews>
  <sheets>
    <sheet name="报价说明" sheetId="7" r:id="rId1"/>
    <sheet name="汇总表" sheetId="119" r:id="rId2"/>
    <sheet name="01门窗工程量清单清单" sheetId="120" r:id="rId3"/>
    <sheet name="栏杆工程量价格清单" sheetId="142" r:id="rId4"/>
    <sheet name="05工程量计算底稿你" sheetId="122" r:id="rId5"/>
    <sheet name="主要材料品牌单价" sheetId="9" r:id="rId6"/>
    <sheet name="五金配置表" sheetId="10" r:id="rId7"/>
    <sheet name="玻璃调整表" sheetId="11" r:id="rId8"/>
    <sheet name="栏杆工程量计算书" sheetId="143" r:id="rId9"/>
    <sheet name="百叶工程量计算书" sheetId="144" r:id="rId10"/>
  </sheets>
  <externalReferences>
    <externalReference r:id="rId11"/>
    <externalReference r:id="rId12"/>
  </externalReferences>
  <definedNames>
    <definedName name="_xlnm.Print_Area" localSheetId="0">报价说明!$A$1:$B$19</definedName>
    <definedName name="\b">#N/A</definedName>
    <definedName name="\c">#N/A</definedName>
    <definedName name="\f">#N/A</definedName>
    <definedName name="\h">#N/A</definedName>
    <definedName name="\i">#N/A</definedName>
    <definedName name="\j">#N/A</definedName>
    <definedName name="\k">#N/A</definedName>
    <definedName name="\l">#N/A</definedName>
    <definedName name="\m">#N/A</definedName>
    <definedName name="\n">#N/A</definedName>
    <definedName name="\p">#N/A</definedName>
    <definedName name="\q">#N/A</definedName>
    <definedName name="\x">#N/A</definedName>
    <definedName name="\z">#N/A</definedName>
    <definedName name="___ST1">#N/A</definedName>
    <definedName name="__1_">#N/A</definedName>
    <definedName name="__IntlFixup" hidden="1">TRUE</definedName>
    <definedName name="__ST1">#N/A</definedName>
    <definedName name="_1">#N/A</definedName>
    <definedName name="_10">#N/A</definedName>
    <definedName name="_11">#N/A</definedName>
    <definedName name="_12">#N/A</definedName>
    <definedName name="_13">#N/A</definedName>
    <definedName name="_14">#N/A</definedName>
    <definedName name="_15">#N/A</definedName>
    <definedName name="_16">#N/A</definedName>
    <definedName name="_17">#N/A</definedName>
    <definedName name="_18">#N/A</definedName>
    <definedName name="_19">#N/A</definedName>
    <definedName name="_2">#N/A</definedName>
    <definedName name="_20">#N/A</definedName>
    <definedName name="_21">#N/A</definedName>
    <definedName name="_22">#N/A</definedName>
    <definedName name="_23">#N/A</definedName>
    <definedName name="_24">#N/A</definedName>
    <definedName name="_25">#N/A</definedName>
    <definedName name="_26">#N/A</definedName>
    <definedName name="_27">#N/A</definedName>
    <definedName name="_28">#N/A</definedName>
    <definedName name="_29">#N/A</definedName>
    <definedName name="_3">#N/A</definedName>
    <definedName name="_30">#N/A</definedName>
    <definedName name="_31">#N/A</definedName>
    <definedName name="_32">#N/A</definedName>
    <definedName name="_33">#N/A</definedName>
    <definedName name="_34">#N/A</definedName>
    <definedName name="_35">#N/A</definedName>
    <definedName name="_36">#N/A</definedName>
    <definedName name="_37">#N/A</definedName>
    <definedName name="_38">#N/A</definedName>
    <definedName name="_39">#N/A</definedName>
    <definedName name="_4">#N/A</definedName>
    <definedName name="_40">#N/A</definedName>
    <definedName name="_41">#N/A</definedName>
    <definedName name="_42">#N/A</definedName>
    <definedName name="_43">#N/A</definedName>
    <definedName name="_44">#N/A</definedName>
    <definedName name="_45">#N/A</definedName>
    <definedName name="_46">#N/A</definedName>
    <definedName name="_47">#N/A</definedName>
    <definedName name="_48">#N/A</definedName>
    <definedName name="_49">#N/A</definedName>
    <definedName name="_5">#N/A</definedName>
    <definedName name="_50">#N/A</definedName>
    <definedName name="_51">#N/A</definedName>
    <definedName name="_52">#N/A</definedName>
    <definedName name="_53">#N/A</definedName>
    <definedName name="_54">#N/A</definedName>
    <definedName name="_55">#N/A</definedName>
    <definedName name="_56">#N/A</definedName>
    <definedName name="_57">#N/A</definedName>
    <definedName name="_58">#N/A</definedName>
    <definedName name="_59">#N/A</definedName>
    <definedName name="_6">#N/A</definedName>
    <definedName name="_60">#N/A</definedName>
    <definedName name="_61">#N/A</definedName>
    <definedName name="_62">#N/A</definedName>
    <definedName name="_63">#N/A</definedName>
    <definedName name="_64">#N/A</definedName>
    <definedName name="_65">#N/A</definedName>
    <definedName name="_66">#N/A</definedName>
    <definedName name="_67">#N/A</definedName>
    <definedName name="_68">#N/A</definedName>
    <definedName name="_69">#N/A</definedName>
    <definedName name="_7">#N/A</definedName>
    <definedName name="_70">#N/A</definedName>
    <definedName name="_71">#N/A</definedName>
    <definedName name="_72">#N/A</definedName>
    <definedName name="_73">#N/A</definedName>
    <definedName name="_74">#N/A</definedName>
    <definedName name="_75">#N/A</definedName>
    <definedName name="_76">#N/A</definedName>
    <definedName name="_77">#N/A</definedName>
    <definedName name="_78">#N/A</definedName>
    <definedName name="_79">#N/A</definedName>
    <definedName name="_8">#N/A</definedName>
    <definedName name="_80">#N/A</definedName>
    <definedName name="_81">#N/A</definedName>
    <definedName name="_82">#N/A</definedName>
    <definedName name="_83">#N/A</definedName>
    <definedName name="_84">#N/A</definedName>
    <definedName name="_85">#N/A</definedName>
    <definedName name="_86">#N/A</definedName>
    <definedName name="_87">#N/A</definedName>
    <definedName name="_88">#N/A</definedName>
    <definedName name="_89">#N/A</definedName>
    <definedName name="_9">#N/A</definedName>
    <definedName name="_90">#N/A</definedName>
    <definedName name="_91">#N/A</definedName>
    <definedName name="_92">#N/A</definedName>
    <definedName name="_93">#N/A</definedName>
    <definedName name="_94">#N/A</definedName>
    <definedName name="_95">#N/A</definedName>
    <definedName name="_96">#N/A</definedName>
    <definedName name="_97">#N/A</definedName>
    <definedName name="_98">#N/A</definedName>
    <definedName name="_99">#N/A</definedName>
    <definedName name="_Order1" hidden="1">1</definedName>
    <definedName name="_Order2" hidden="1">1</definedName>
    <definedName name="_Regression_Int" hidden="1">1</definedName>
    <definedName name="A6_">#N/A</definedName>
    <definedName name="ADFV" hidden="1">{#N/A,#N/A,FALSE,"전력간선"}</definedName>
    <definedName name="BDCODE">#N/A</definedName>
    <definedName name="BLO_1">#N/A</definedName>
    <definedName name="CHO">#N/A</definedName>
    <definedName name="COMPANY">#N/A</definedName>
    <definedName name="CONC">#N/A</definedName>
    <definedName name="DAY">#N/A</definedName>
    <definedName name="DFG" hidden="1">{#N/A,#N/A,FALSE,"전력간선"}</definedName>
    <definedName name="dn" hidden="1">{#N/A,#N/A,FALSE,"혼합골재"}</definedName>
    <definedName name="ee" hidden="1">{#N/A,#N/A,FALSE,"단가표지"}</definedName>
    <definedName name="ENCOST">#N/A</definedName>
    <definedName name="Excel_BuiltIn_Print_Area_0">"$#REF!.$#REF!$#REF!:$#REF!$#REF!"</definedName>
    <definedName name="Excel_BuiltIn_Print_Area_0___0">"$#REF!.$#REF!$#REF!:$#REF!$#REF!"</definedName>
    <definedName name="EXE">#N/A</definedName>
    <definedName name="F_CODE">#N/A</definedName>
    <definedName name="F_EQ">#N/A</definedName>
    <definedName name="F_EQ0">#N/A</definedName>
    <definedName name="F_FORM">#N/A</definedName>
    <definedName name="F_INT1">#N/A</definedName>
    <definedName name="F_LA">#N/A</definedName>
    <definedName name="F_LA0">#N/A</definedName>
    <definedName name="F_LVL">#N/A</definedName>
    <definedName name="F_MA">#N/A</definedName>
    <definedName name="F_MA0">#N/A</definedName>
    <definedName name="F_MEMO">#N/A</definedName>
    <definedName name="F_PAGE">#N/A</definedName>
    <definedName name="F_QVAL">#N/A</definedName>
    <definedName name="F_REMK">#N/A</definedName>
    <definedName name="F_SEQ">#N/A</definedName>
    <definedName name="F_SOS">#N/A</definedName>
    <definedName name="F_TQTY">#N/A</definedName>
    <definedName name="FBALJUC">#N/A</definedName>
    <definedName name="FDCOMP1">#N/A</definedName>
    <definedName name="FDCOMP2">#N/A</definedName>
    <definedName name="FDCOST">#N/A</definedName>
    <definedName name="FGNNAME">#N/A</definedName>
    <definedName name="FIPDATE">#N/A</definedName>
    <definedName name="FJCOST">#N/A</definedName>
    <definedName name="FNCOST">#N/A</definedName>
    <definedName name="FPRINO">#N/A</definedName>
    <definedName name="FSCOST">#N/A</definedName>
    <definedName name="FSUYOCH">#N/A</definedName>
    <definedName name="FTAG">#N/A</definedName>
    <definedName name="FYCOST">#N/A</definedName>
    <definedName name="LL">#N/A</definedName>
    <definedName name="M">#N/A</definedName>
    <definedName name="NAK">#N/A</definedName>
    <definedName name="OO">#N/A</definedName>
    <definedName name="P">#N/A</definedName>
    <definedName name="PJT">#N/A</definedName>
    <definedName name="QA" hidden="1">{#N/A,#N/A,FALSE,"전력간선"}</definedName>
    <definedName name="qq" hidden="1">{#N/A,#N/A,FALSE,"단가표지"}</definedName>
    <definedName name="QTY">#N/A</definedName>
    <definedName name="qw" hidden="1">{#N/A,#N/A,FALSE,"단가표지"}</definedName>
    <definedName name="REM">#N/A</definedName>
    <definedName name="SELECT">#N/A</definedName>
    <definedName name="SORTCODE">#N/A</definedName>
    <definedName name="sss" hidden="1">{#N/A,#N/A,FALSE,"전력간선"}</definedName>
    <definedName name="sssss" hidden="1">{#N/A,#N/A,FALSE,"전력간선"}</definedName>
    <definedName name="sung">#N/A</definedName>
    <definedName name="SUYO">#N/A</definedName>
    <definedName name="TOO">#N/A</definedName>
    <definedName name="wm.조골재1" hidden="1">{#N/A,#N/A,FALSE,"조골재"}</definedName>
    <definedName name="wrn.2번." hidden="1">{#N/A,#N/A,FALSE,"2~8번"}</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철골집계표._.5칸." hidden="1">{#N/A,#N/A,FALSE,"Sheet1"}</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YE">#N/A</definedName>
    <definedName name="YEKA">#N/A</definedName>
    <definedName name="갑지">#N/A</definedName>
    <definedName name="낙찰가">#N/A</definedName>
    <definedName name="대비5">#N/A</definedName>
    <definedName name="대ㅣㅂ2">#N/A</definedName>
    <definedName name="보" hidden="1">{#N/A,#N/A,FALSE,"전력간선"}</definedName>
    <definedName name="산출하">#N/A</definedName>
    <definedName name="설계">#N/A</definedName>
    <definedName name="설계가">#N/A</definedName>
    <definedName name="안산">#N/A</definedName>
    <definedName name="억이상" hidden="1">{#N/A,#N/A,FALSE,"2~8번"}</definedName>
    <definedName name="원가" hidden="1">{#N/A,#N/A,FALSE,"운반시간"}</definedName>
    <definedName name="위치">#N/A</definedName>
    <definedName name="의" hidden="1">{#N/A,#N/A,FALSE,"운반시간"}</definedName>
    <definedName name="전월">#N/A</definedName>
    <definedName name="중량산출" hidden="1">{#N/A,#N/A,FALSE,"Sheet1"}</definedName>
    <definedName name="지역">#N/A</definedName>
    <definedName name="철2" hidden="1">{#N/A,#N/A,FALSE,"혼합골재"}</definedName>
    <definedName name="총공" hidden="1">{#N/A,#N/A,FALSE,"운반시간"}</definedName>
    <definedName name="최종대비표">#N/A</definedName>
    <definedName name="토공2" hidden="1">{#N/A,#N/A,FALSE,"2~8번"}</definedName>
    <definedName name="토공전체" hidden="1">{#N/A,#N/A,FALSE,"운반시간"}</definedName>
    <definedName name="토목설계" hidden="1">{#N/A,#N/A,FALSE,"골재소요량";#N/A,#N/A,FALSE,"골재소요량"}</definedName>
    <definedName name="표지3" hidden="1">{#N/A,#N/A,FALSE,"Sheet1"}</definedName>
    <definedName name="_xlnm.Print_Area" localSheetId="2">'01门窗工程量清单清单'!$A$1:$J$90</definedName>
    <definedName name="_xlnm.Print_Area" localSheetId="1">汇总表!$A$1:$G$22</definedName>
    <definedName name="_xlnm.Print_Area" localSheetId="4">'05工程量计算底稿你'!$A$1:$T$110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<sst xmlns="http://schemas.openxmlformats.org/spreadsheetml/2006/main" count="1296" uniqueCount="547">
  <si>
    <t>工程量清单编制说明</t>
  </si>
  <si>
    <t>一</t>
  </si>
  <si>
    <t>报价范围</t>
  </si>
  <si>
    <t>承包范围： 洛阳市洛龙区开元壹号·天逸项目铝合金门窗、栏杆制作安装工程，包含断桥铝合金门窗、防火窗、耐火窗、推拉门、地弹门、平开门、栏杆等；</t>
  </si>
  <si>
    <t>清单及报价依据：天逸项目建筑施工图(图纸版本为2023.03)、门窗深化图(图纸版本为2024.11)、栏杆图纸工程质量及技术标准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</si>
  <si>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</si>
  <si>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</si>
  <si>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</si>
  <si>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</si>
  <si>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</si>
  <si>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</si>
  <si>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</si>
  <si>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</si>
  <si>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</si>
  <si>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</si>
  <si>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</si>
  <si>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</si>
  <si>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</si>
  <si>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</si>
  <si>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2025年3月5日长江有色金属A00铝MA1当日价格20550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2025年3月5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</si>
  <si>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</si>
  <si>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</si>
  <si>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天逸项目门窗工程造价汇总表</t>
  </si>
  <si>
    <t>序号</t>
  </si>
  <si>
    <t>项目名称</t>
  </si>
  <si>
    <t>特征描述</t>
  </si>
  <si>
    <t>门窗面积
（m2）</t>
  </si>
  <si>
    <t>含税9%金额(元)</t>
  </si>
  <si>
    <t>含税9%综合单价
(元/m2)</t>
  </si>
  <si>
    <t>备注</t>
  </si>
  <si>
    <t>①</t>
  </si>
  <si>
    <t>②</t>
  </si>
  <si>
    <t>③=②/①</t>
  </si>
  <si>
    <t xml:space="preserve">  外窗</t>
  </si>
  <si>
    <t>固定窗</t>
  </si>
  <si>
    <t>1.型材：50系列普铝固定窗；
2.玻璃：单层钢化玻璃6mm；</t>
  </si>
  <si>
    <t>1.型材：60系列普铝固定窗；
2.玻璃：5+12A+5中空钢化玻璃；</t>
  </si>
  <si>
    <t>外开窗</t>
  </si>
  <si>
    <t>1.60系列普通铝合金平开窗
2.玻璃：5+12A+5中空钢化玻璃；</t>
  </si>
  <si>
    <t>1.60系列断桥铝合金外平开窗
2.玻璃：5+12A+5+12A+5Low-E中空钢化玻璃；</t>
  </si>
  <si>
    <t>1.60系列断桥铝合金外平开窗
2.玻璃：5+12A+5+12A+5Low-E中空钢化玻璃；3m2≥单片玻璃≥2m2需用6+12A+6+12A+6Low-E；</t>
  </si>
  <si>
    <t>1.65系列断桥铝合金外平开窗
2.玻璃：5+12A+5+12A+5Low-E中空钢化玻璃；单片玻璃≥3m2，8+9A+8+9A+8Low-E；</t>
  </si>
  <si>
    <t>内开窗</t>
  </si>
  <si>
    <t>1.60系列断桥铝合金内开
2.玻璃：5+12A+5+12A+5Low-E中空钢化玻璃</t>
  </si>
  <si>
    <t>上悬窗</t>
  </si>
  <si>
    <t>1.60系列断桥铝合金上悬窗
2.玻璃：5+12A+5+12A+5Low-E中空钢化玻璃；</t>
  </si>
  <si>
    <t>门</t>
  </si>
  <si>
    <t>门联窗</t>
  </si>
  <si>
    <t>1.门联窗100*50*2铝合金扁管+46系列普铝地弹门
2.玻璃：5+12A+5中空玻璃；3m2≥单片玻璃≥2m2需用6+12A+6中空钢化玻璃；</t>
  </si>
  <si>
    <t>平开门</t>
  </si>
  <si>
    <t>1.60系普通铝合金平开门
2.玻璃：5+12A+5中空钢化玻璃；</t>
  </si>
  <si>
    <t>推拉门</t>
  </si>
  <si>
    <t>1.90系列普铝推拉门
2.玻璃：6+12A+6中空钢化玻璃；</t>
  </si>
  <si>
    <t>1.90系列普铝推拉门
2.玻璃：5+12A+5中空钢化玻璃；</t>
  </si>
  <si>
    <t>耐火窗</t>
  </si>
  <si>
    <t>耐火外平开窗</t>
  </si>
  <si>
    <t>1.型材：60系列铝合金断桥耐火外开窗；
2.玻璃：6防火+12A+6+12A+6Low-E</t>
  </si>
  <si>
    <t>1.型材：65系列铝合金断桥耐火外开窗；
2.玻璃：8防火+9A+8+9A+8Low-E；</t>
  </si>
  <si>
    <t>耐火上悬窗</t>
  </si>
  <si>
    <t>1.60系列铝合金断桥耐火上悬窗
2.玻璃：6防火+12A+6+12A+6Low-E；</t>
  </si>
  <si>
    <t>四</t>
  </si>
  <si>
    <t>小计</t>
  </si>
  <si>
    <t>五</t>
  </si>
  <si>
    <t>栏杆</t>
  </si>
  <si>
    <t>六</t>
  </si>
  <si>
    <t>合计</t>
  </si>
  <si>
    <t>天逸门窗工程量清单表</t>
  </si>
  <si>
    <t>门窗类型</t>
  </si>
  <si>
    <t>门窗编号</t>
  </si>
  <si>
    <t>门窗面积</t>
  </si>
  <si>
    <t>单位（m2）</t>
  </si>
  <si>
    <t>不含增值税综合单价（元/m2）</t>
  </si>
  <si>
    <t>税率</t>
  </si>
  <si>
    <t>含税9%综合单价（元/m2）</t>
  </si>
  <si>
    <t>含税9%合价金额
（元）</t>
  </si>
  <si>
    <t>50系列普铝固定窗</t>
  </si>
  <si>
    <t>800*1600</t>
  </si>
  <si>
    <t>m2</t>
  </si>
  <si>
    <t>1050*1600</t>
  </si>
  <si>
    <t>1400*1600</t>
  </si>
  <si>
    <t>1450*1600</t>
  </si>
  <si>
    <t>2500*1600</t>
  </si>
  <si>
    <t>4550*1600</t>
  </si>
  <si>
    <t>60系列普铝固定窗</t>
  </si>
  <si>
    <t>1500*2000</t>
  </si>
  <si>
    <t>1.型材：60系列普铝固定窗；
2.玻璃：5+12A+5中空玻璃；</t>
  </si>
  <si>
    <t>60系列铝合金断桥耐火外开窗</t>
  </si>
  <si>
    <t>1800*2250</t>
  </si>
  <si>
    <t>1.型材：60系列铝合金断桥耐火外开窗；
2.玻璃：6防火+12A+6+12A+6Low-E；</t>
  </si>
  <si>
    <t>2000*2250</t>
  </si>
  <si>
    <t>65系列铝合金断桥耐火外开窗</t>
  </si>
  <si>
    <t>2200*2250</t>
  </si>
  <si>
    <t>2000*1750</t>
  </si>
  <si>
    <t>60系列铝合金断桥耐火上悬窗</t>
  </si>
  <si>
    <t>800*1450</t>
  </si>
  <si>
    <t>1.60系列铝合金断桥耐火上悬窗
2.玻璃：6防火+12A+6+12A+6Low-E</t>
  </si>
  <si>
    <t>65系列断桥铝合金外平开窗</t>
  </si>
  <si>
    <t>2400*2050</t>
  </si>
  <si>
    <t>1.65系列断桥铝合金外平开窗
2.玻璃：扇面积大于3m2，8+9A+8+9A+8Low-E；</t>
  </si>
  <si>
    <t>3320*2250</t>
  </si>
  <si>
    <t>2900*2250</t>
  </si>
  <si>
    <t>2700*2250</t>
  </si>
  <si>
    <t>3320*1750</t>
  </si>
  <si>
    <t>2700*1750</t>
  </si>
  <si>
    <t>2900*1750</t>
  </si>
  <si>
    <t>60系列断桥铝合金外平开窗</t>
  </si>
  <si>
    <t>1450*2300</t>
  </si>
  <si>
    <t>1400*2300</t>
  </si>
  <si>
    <t>2500*2300</t>
  </si>
  <si>
    <t>1800*2000</t>
  </si>
  <si>
    <t>1.60系列断桥铝合金外平开窗
2.玻璃：5+12A+5+12A+5Low-E中空钢化玻璃；3m2≥单片玻璃≥2m2需用6+12A+6+12A+6Low-E；；</t>
  </si>
  <si>
    <t>1600*2000</t>
  </si>
  <si>
    <t>1100*1000</t>
  </si>
  <si>
    <t>1300*2000</t>
  </si>
  <si>
    <t>1000*1000</t>
  </si>
  <si>
    <t>3600*2000</t>
  </si>
  <si>
    <t>1.60系列断桥铝合金外平开窗
2.玻璃：5+12A+5+12A+5Low-E中空钢化玻璃，扇面积大于3m2，8+12A+8+12A+8Low-E；</t>
  </si>
  <si>
    <t>60系列普通铝合金平开窗</t>
  </si>
  <si>
    <t>1200*1450</t>
  </si>
  <si>
    <t>1500*2350</t>
  </si>
  <si>
    <t>61系列普通铝合金平开窗</t>
  </si>
  <si>
    <t>1100*1450</t>
  </si>
  <si>
    <t>1400*1800</t>
  </si>
  <si>
    <t>1200*1550</t>
  </si>
  <si>
    <t>1400*1450</t>
  </si>
  <si>
    <t>1400*2000</t>
  </si>
  <si>
    <t>1500*1450</t>
  </si>
  <si>
    <t>1500*1500</t>
  </si>
  <si>
    <t>1500*1740</t>
  </si>
  <si>
    <t>1500*1150</t>
  </si>
  <si>
    <t>1500*1070</t>
  </si>
  <si>
    <t>600*2700</t>
  </si>
  <si>
    <t>60系列断桥铝合金上悬窗</t>
  </si>
  <si>
    <t>900*1450</t>
  </si>
  <si>
    <t>700*1450</t>
  </si>
  <si>
    <t>800*2000</t>
  </si>
  <si>
    <t>60系列断桥铝合金内开窗</t>
  </si>
  <si>
    <t>500*1000</t>
  </si>
  <si>
    <t>1.60系列断桥铝合金内开
2.玻璃：5+12A+5+12A+5Low-E中空钢化玻璃；</t>
  </si>
  <si>
    <t>90系列普铝推拉门</t>
  </si>
  <si>
    <t>2050*2200</t>
  </si>
  <si>
    <t>1.90系列普铝推拉门
2.玻璃：6+12A+6中空玻璃</t>
  </si>
  <si>
    <t>3300*2200</t>
  </si>
  <si>
    <t>2050*2350</t>
  </si>
  <si>
    <t>3300*2760</t>
  </si>
  <si>
    <t>2900*2350</t>
  </si>
  <si>
    <t>2000*2900</t>
  </si>
  <si>
    <t>2950*2900</t>
  </si>
  <si>
    <t>3600*2900</t>
  </si>
  <si>
    <t>2400*2900</t>
  </si>
  <si>
    <t>2300*2900</t>
  </si>
  <si>
    <t>2700*2900</t>
  </si>
  <si>
    <t>46系列普铝地弹门MLC5441</t>
  </si>
  <si>
    <t>5400*4050</t>
  </si>
  <si>
    <t>1.门联窗100*50*2铝合金扁管+46系列普铝地弹门
2.玻璃：5+12A+5中空钢化玻璃，3m2≥单片玻璃≥2m2需用6+12A+6中空玻璃；</t>
  </si>
  <si>
    <t>46系列普铝地弹门MLC4941</t>
  </si>
  <si>
    <t>4900*4050</t>
  </si>
  <si>
    <t>46系列普铝地弹门MLC4641</t>
  </si>
  <si>
    <t>4600*4050</t>
  </si>
  <si>
    <t>46系列普铝地弹门MLC7041</t>
  </si>
  <si>
    <t>7000*4050</t>
  </si>
  <si>
    <t>46系列普铝地弹门MLC5741</t>
  </si>
  <si>
    <t>5700*4050</t>
  </si>
  <si>
    <t>46系列普铝地弹门MLC7041a</t>
  </si>
  <si>
    <t>46系列普铝地弹门MLC7041b</t>
  </si>
  <si>
    <t>46系列普铝地弹门MLC6841</t>
  </si>
  <si>
    <t>6800*4050</t>
  </si>
  <si>
    <t>46系列普铝地弹门MLC4128</t>
  </si>
  <si>
    <t>2800*4050</t>
  </si>
  <si>
    <t>60系普通铝合金平开门</t>
  </si>
  <si>
    <t>1400*2100</t>
  </si>
  <si>
    <t>1800*4050</t>
  </si>
  <si>
    <t>2300*4300</t>
  </si>
  <si>
    <t>1500*3850</t>
  </si>
  <si>
    <t>1400*2878</t>
  </si>
  <si>
    <t>46系列普铝地弹门MLC4243</t>
  </si>
  <si>
    <t>4200*4300</t>
  </si>
  <si>
    <t>46系列普铝地弹门MLC6843</t>
  </si>
  <si>
    <t>6800*4300</t>
  </si>
  <si>
    <t>46系列普铝地弹门MLC4143</t>
  </si>
  <si>
    <t>4100*4300</t>
  </si>
  <si>
    <t>46系列普铝地弹门MLC4128a</t>
  </si>
  <si>
    <t>天逸项目栏杆、百叶工程量清单</t>
  </si>
  <si>
    <t>名称</t>
  </si>
  <si>
    <t>单位</t>
  </si>
  <si>
    <t>工程量</t>
  </si>
  <si>
    <t>不含税综合单价</t>
  </si>
  <si>
    <t>增值税税率</t>
  </si>
  <si>
    <t>含税造价</t>
  </si>
  <si>
    <t>阳台栏杆500mm高</t>
  </si>
  <si>
    <t>m</t>
  </si>
  <si>
    <t>面管、立柱、扶手40*40*1.2镀锌方钢、横管32*32*1.0镀锌方钢管、竖杆19*19*0.8镀锌方钢管，含埋件、盖板等配件（成活价格，详见图纸设计），按要求做好成品防护措施，安装时带保护膜，交房前拆除清理。</t>
  </si>
  <si>
    <t>阳台栏杆350mm高</t>
  </si>
  <si>
    <t>面管、立柱、扶手40*40*1.2镀锌方钢、横管32*32*1.0镀锌方钢管、竖杆19*19*0.8镀锌方钢管，含埋件、盖板等配件（成活价格，详见图纸设计），按要求做好成品防护措施。</t>
  </si>
  <si>
    <t>阳台栏杆300mm高</t>
  </si>
  <si>
    <t>阳台栏杆1000mm高</t>
  </si>
  <si>
    <t>阳台栏杆1100mm高</t>
  </si>
  <si>
    <t>空调栏杆600mm高</t>
  </si>
  <si>
    <t>面管、横管、立柱25*25*1.0镀锌方钢管、底部横管、竖杆16*16*0.8镀锌方钢管，含埋件、盖板等配件（成活价格，详见图纸设计），按要求做好成品防护措施，安装时带保护膜，交房前拆除清理。</t>
  </si>
  <si>
    <t>空调栏杆1000mm高</t>
  </si>
  <si>
    <t>空调栏杆1100mm高</t>
  </si>
  <si>
    <t>飘窗栏杆900mm高</t>
  </si>
  <si>
    <t>露台栏杆1100mm高</t>
  </si>
  <si>
    <t>天井栏杆1000mm</t>
  </si>
  <si>
    <t>天井栏杆1100mm</t>
  </si>
  <si>
    <t>屋面防护栏杆1300mm</t>
  </si>
  <si>
    <t>面管、立柱、扶手40*40*1.5镀锌方钢、横管32*32*1.2镀锌方钢管、竖杆25*25*1.0镀锌方钢管，含埋件、盖板等配件（成活价格，详见图纸设计），按要求做好成品防护措施，安装时带保护膜，交房前拆除清理。</t>
  </si>
  <si>
    <t>楼梯栏杆900mm</t>
  </si>
  <si>
    <t>成品塑木扶手，立柱40*40*1.5镀锌方钢管、横杆32*32*1.0镀锌方钢管、竖杆19*19*0.8镀锌方钢管，含埋件、盖板等配件（成活价格，详见图纸设计），按要求做好成品防护措施，安装时带保护膜，交房前拆除清理。</t>
  </si>
  <si>
    <t>楼梯靠墙扶手900mm</t>
  </si>
  <si>
    <t>成品塑木扶手，25*1.0镀锌圆钢支架，含埋件、盖板等配件（成活价格，详见图纸设计），按要求做好成品防护措施，安装时带保护膜，交房前拆除清理。</t>
  </si>
  <si>
    <t>50系列普铝合金固定百叶窗</t>
  </si>
  <si>
    <t>铝管50*25*1.5铝合金固定框、铝管50*25*1.5开启扇框、30*15*1.0H型铝型材链接、70*0.8厚铝合金百叶，含成品不锈钢插销、合页、埋件等配件（成活价格，详见图纸设计）</t>
  </si>
  <si>
    <t>50系列普铝合风井百叶窗</t>
  </si>
  <si>
    <t>50系列普铝合金开启百叶</t>
  </si>
  <si>
    <t>合价（元）</t>
  </si>
  <si>
    <t>说明
1.本表的综合单价中包括图纸内所有及深化图纸要求的加工费、购置费、采管费、装卸费、运输费、安装费、损耗、垃圾外运、扬尘治理、管理费、利润、税金、风险、材料检测检验费等一切费用；
2.单价中已包括但不限于完成承包范围内所有制作及安装工程的人工费、材料及损耗费、机械（含吊篮）费、检测费、运杂费、运输保险费、资料费、工程所需的各种设备材料检测费及试验费、材料场内二次运输费、材料的装卸及保管费、合同工期内的赶工费、施工水电费、技术处理及措施费（包括雨季及异常气候施工措施费）、安装调试费、管理费、安全文明施工措施费（包括施工区域围蔽等）、成品保护（塑料膜全包裹）、垃圾清运费、临时设施费及其他措施费、税金、利润、验收、涨价风险及所有虽未提及但在完成本工程过程中必须支付的与本工程相关的其他费用</t>
  </si>
  <si>
    <t>开元壹号·天逸铝合金门窗表</t>
  </si>
  <si>
    <t>窗号</t>
  </si>
  <si>
    <t>宽(mm)</t>
  </si>
  <si>
    <t>高(mm)</t>
  </si>
  <si>
    <t>1F</t>
  </si>
  <si>
    <t>2F</t>
  </si>
  <si>
    <t>3F</t>
  </si>
  <si>
    <t>4F</t>
  </si>
  <si>
    <t>5F</t>
  </si>
  <si>
    <t>6F</t>
  </si>
  <si>
    <t>7-23F奇</t>
  </si>
  <si>
    <t>7-23F偶</t>
  </si>
  <si>
    <t>24F</t>
  </si>
  <si>
    <t>机房层</t>
  </si>
  <si>
    <t>数量合计</t>
  </si>
  <si>
    <t>面积（㎡）</t>
  </si>
  <si>
    <t>门窗系列</t>
  </si>
  <si>
    <t>玻璃规格</t>
  </si>
  <si>
    <t>位置</t>
  </si>
  <si>
    <t>C4616</t>
  </si>
  <si>
    <t>6mm</t>
  </si>
  <si>
    <t>5F露台</t>
  </si>
  <si>
    <t>C0816</t>
  </si>
  <si>
    <t>C1116</t>
  </si>
  <si>
    <t>C1516</t>
  </si>
  <si>
    <t>C1416</t>
  </si>
  <si>
    <t>C2516</t>
  </si>
  <si>
    <t>50系列普铝固定窗合计</t>
  </si>
  <si>
    <t>C1520a</t>
  </si>
  <si>
    <t>5+12A+5中空玻璃</t>
  </si>
  <si>
    <t>楼梯间</t>
  </si>
  <si>
    <t>60系列普铝固定窗合计</t>
  </si>
  <si>
    <t>NC1823</t>
  </si>
  <si>
    <t>6防火+12A+6+12A+6Low-E</t>
  </si>
  <si>
    <t>卧室</t>
  </si>
  <si>
    <t>NPC2023</t>
  </si>
  <si>
    <t>NC2223</t>
  </si>
  <si>
    <t>8防火+9A+8+9A+8Low-E</t>
  </si>
  <si>
    <t>NPC2018</t>
  </si>
  <si>
    <t>60系列铝合金断桥耐火外开窗合计</t>
  </si>
  <si>
    <t>NC0815</t>
  </si>
  <si>
    <t>60系列铝合金断桥耐火上悬窗合计</t>
  </si>
  <si>
    <t>C2421</t>
  </si>
  <si>
    <t>65系列铝合金断桥外开窗</t>
  </si>
  <si>
    <t>扇面积大于3m2，8+9A+8+9A+8Low-E；</t>
  </si>
  <si>
    <t>ZJC3323</t>
  </si>
  <si>
    <t>C2923</t>
  </si>
  <si>
    <t>起居室阳台</t>
  </si>
  <si>
    <t>C2723</t>
  </si>
  <si>
    <t>C1418</t>
  </si>
  <si>
    <t>60系列铝合金断桥外开窗</t>
  </si>
  <si>
    <t>5+12A+5+12A+5Low-E</t>
  </si>
  <si>
    <t>前室</t>
  </si>
  <si>
    <t>ZJC3318</t>
  </si>
  <si>
    <t>C2718</t>
  </si>
  <si>
    <t>C2918</t>
  </si>
  <si>
    <t>C1523</t>
  </si>
  <si>
    <t>酒店公寓</t>
  </si>
  <si>
    <t>C1423</t>
  </si>
  <si>
    <t>C2523</t>
  </si>
  <si>
    <t>C2523a</t>
  </si>
  <si>
    <t>C1820</t>
  </si>
  <si>
    <t>C1820a</t>
  </si>
  <si>
    <t>C1620</t>
  </si>
  <si>
    <t>酒店走道</t>
  </si>
  <si>
    <t>C1110</t>
  </si>
  <si>
    <t>C1320</t>
  </si>
  <si>
    <t>C1010</t>
  </si>
  <si>
    <t>C1520</t>
  </si>
  <si>
    <t>物业管理用房</t>
  </si>
  <si>
    <t>C3620</t>
  </si>
  <si>
    <t>C1523a</t>
  </si>
  <si>
    <t>商业</t>
  </si>
  <si>
    <t>60系列铝合金断桥外开窗合计</t>
  </si>
  <si>
    <t>C1215</t>
  </si>
  <si>
    <t>公共走道</t>
  </si>
  <si>
    <t>C1524</t>
  </si>
  <si>
    <t>合用前室</t>
  </si>
  <si>
    <t>C1115</t>
  </si>
  <si>
    <t>C1515</t>
  </si>
  <si>
    <t>c1320a</t>
  </si>
  <si>
    <t>C1216</t>
  </si>
  <si>
    <t>C1415</t>
  </si>
  <si>
    <t>C1515d</t>
  </si>
  <si>
    <t>C1515C</t>
  </si>
  <si>
    <t>C1420</t>
  </si>
  <si>
    <t>C1517</t>
  </si>
  <si>
    <t>C1520b</t>
  </si>
  <si>
    <t>C1512</t>
  </si>
  <si>
    <t>C1511</t>
  </si>
  <si>
    <t>C0627</t>
  </si>
  <si>
    <t>60系列普通铝合金外开窗</t>
  </si>
  <si>
    <t>C0815</t>
  </si>
  <si>
    <t>60系列铝合金断桥上悬窗</t>
  </si>
  <si>
    <t>卫生间/厨房</t>
  </si>
  <si>
    <t>C0915</t>
  </si>
  <si>
    <t>C0715</t>
  </si>
  <si>
    <t>厨房</t>
  </si>
  <si>
    <t>C0820</t>
  </si>
  <si>
    <t>酒店卫生间</t>
  </si>
  <si>
    <t>60系列铝合金断桥上悬窗合计</t>
  </si>
  <si>
    <t>M0510</t>
  </si>
  <si>
    <t>60系列铝合金断桥内开窗</t>
  </si>
  <si>
    <t>空调机位</t>
  </si>
  <si>
    <t>GC1820</t>
  </si>
  <si>
    <t>社区</t>
  </si>
  <si>
    <t>60系列铝合金断桥内开窗合计</t>
  </si>
  <si>
    <t>FTLM2122</t>
  </si>
  <si>
    <t>6+12A+6中空玻璃</t>
  </si>
  <si>
    <t>TLM2422</t>
  </si>
  <si>
    <t>起居室</t>
  </si>
  <si>
    <t>TLM3322</t>
  </si>
  <si>
    <t>TLM2722</t>
  </si>
  <si>
    <t>TLM2124</t>
  </si>
  <si>
    <t>TLM2724</t>
  </si>
  <si>
    <t>TLM3328</t>
  </si>
  <si>
    <t>TLM2424</t>
  </si>
  <si>
    <t>TLM2924</t>
  </si>
  <si>
    <t>90系列普铝推拉门合计</t>
  </si>
  <si>
    <t>TLM2029a</t>
  </si>
  <si>
    <t>TLM3029</t>
  </si>
  <si>
    <t>TLM3629</t>
  </si>
  <si>
    <t>TLM2029</t>
  </si>
  <si>
    <t>TLM2429</t>
  </si>
  <si>
    <t>TLM2329</t>
  </si>
  <si>
    <t>TLM2729</t>
  </si>
  <si>
    <t>MLC5441</t>
  </si>
  <si>
    <t>门联窗100*50*2铝合金扁管+46系列普铝地弹门型材</t>
  </si>
  <si>
    <t>MLC4941</t>
  </si>
  <si>
    <t>MLC4641</t>
  </si>
  <si>
    <t>MLC7041</t>
  </si>
  <si>
    <t>MLC5741</t>
  </si>
  <si>
    <t>MLC7041a</t>
  </si>
  <si>
    <t>MLC6841</t>
  </si>
  <si>
    <t>MLC7041b</t>
  </si>
  <si>
    <t>MLC4128</t>
  </si>
  <si>
    <t>M1421</t>
  </si>
  <si>
    <t>M1841c</t>
  </si>
  <si>
    <t>M1841b</t>
  </si>
  <si>
    <t>M1841a</t>
  </si>
  <si>
    <t>M1841</t>
  </si>
  <si>
    <t>MLC2343</t>
  </si>
  <si>
    <t>MLC4443</t>
  </si>
  <si>
    <t>M1539</t>
  </si>
  <si>
    <t>M1429</t>
  </si>
  <si>
    <t>MLC4243</t>
  </si>
  <si>
    <t>MLC6843</t>
  </si>
  <si>
    <t>MLC4143</t>
  </si>
  <si>
    <t>M1841d</t>
  </si>
  <si>
    <t>卫生间</t>
  </si>
  <si>
    <t>MLC4128a</t>
  </si>
  <si>
    <t>60系普通铝合金平开门合计</t>
  </si>
  <si>
    <t>总计</t>
  </si>
  <si>
    <t>门窗工程材料品牌及单价表（样表）</t>
  </si>
  <si>
    <t>工程名称：洛阳市洛龙区开元壹号·天逸项目铝合金门窗、幕墙制作安装工程</t>
  </si>
  <si>
    <t>规格及型号</t>
  </si>
  <si>
    <r>
      <rPr>
        <sz val="9"/>
        <rFont val="宋体"/>
        <charset val="134"/>
      </rPr>
      <t>不含增值税单价</t>
    </r>
    <r>
      <rPr>
        <sz val="9"/>
        <rFont val="Times New Roman"/>
        <charset val="134"/>
      </rPr>
      <t xml:space="preserve"> </t>
    </r>
  </si>
  <si>
    <t>铝合金型材</t>
  </si>
  <si>
    <t>t</t>
  </si>
  <si>
    <t>依据招标要求</t>
  </si>
  <si>
    <t>60系列断桥铝合金</t>
  </si>
  <si>
    <t>100系列断桥铝合金</t>
  </si>
  <si>
    <t>100系列普铝</t>
  </si>
  <si>
    <t>门窗五金（含执手）</t>
  </si>
  <si>
    <t>套</t>
  </si>
  <si>
    <t>-</t>
  </si>
  <si>
    <t>60系列断桥铝合金外开窗</t>
  </si>
  <si>
    <t>60系列断桥铝合金上悬</t>
  </si>
  <si>
    <t>100系列普铝推拉门</t>
  </si>
  <si>
    <t>100系列断桥推拉门</t>
  </si>
  <si>
    <t>60铝合金耐火外平开门（单扇）</t>
  </si>
  <si>
    <t>玻璃</t>
  </si>
  <si>
    <t>6mm单层钢化玻璃</t>
  </si>
  <si>
    <t>㎡</t>
  </si>
  <si>
    <t>6+12A+6钢化双白玻</t>
  </si>
  <si>
    <t>5防火+12A+5+12A+5Low-E</t>
  </si>
  <si>
    <t>6+12A+6+12A+6Low-E</t>
  </si>
  <si>
    <t>密封材料</t>
  </si>
  <si>
    <t>密封胶</t>
  </si>
  <si>
    <t>支</t>
  </si>
  <si>
    <t>中性硅酮耐候胶</t>
  </si>
  <si>
    <t>聚氨酯发泡剂</t>
  </si>
  <si>
    <t>组角结构胶</t>
  </si>
  <si>
    <t>辅材及其他</t>
  </si>
  <si>
    <t>三元乙丙胶条</t>
  </si>
  <si>
    <t>kg</t>
  </si>
  <si>
    <t>毛条</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</si>
  <si>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</si>
  <si>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</si>
  <si>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</si>
  <si>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</si>
  <si>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</si>
  <si>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r>
      <rPr>
        <b/>
        <sz val="16"/>
        <rFont val="等线"/>
        <charset val="134"/>
        <scheme val="minor"/>
      </rPr>
      <t>门窗五金主要配置（坚朗，</t>
    </r>
    <r>
      <rPr>
        <b/>
        <sz val="16"/>
        <color rgb="FFFF0000"/>
        <rFont val="等线"/>
        <charset val="134"/>
        <scheme val="minor"/>
      </rPr>
      <t>配件名称可根据时间情况适当增减</t>
    </r>
    <r>
      <rPr>
        <b/>
        <sz val="16"/>
        <rFont val="等线"/>
        <charset val="134"/>
        <scheme val="minor"/>
      </rPr>
      <t>）</t>
    </r>
  </si>
  <si>
    <t>配件名称</t>
  </si>
  <si>
    <t>型号</t>
  </si>
  <si>
    <t>数量</t>
  </si>
  <si>
    <t>单价</t>
  </si>
  <si>
    <t>金额</t>
  </si>
  <si>
    <t>铝合金平开窗</t>
  </si>
  <si>
    <t>执 手</t>
  </si>
  <si>
    <t>CZS309</t>
  </si>
  <si>
    <t>传动杆</t>
  </si>
  <si>
    <t>LZDC02-800</t>
  </si>
  <si>
    <t>锁 座</t>
  </si>
  <si>
    <t>ZA1-6A</t>
  </si>
  <si>
    <t>防坠落器</t>
  </si>
  <si>
    <t>FTQ101A</t>
  </si>
  <si>
    <t>滑 撑</t>
  </si>
  <si>
    <t>HCC40-16</t>
  </si>
  <si>
    <t>16寸</t>
  </si>
  <si>
    <t>铝合金外悬窗</t>
  </si>
  <si>
    <t>执手</t>
  </si>
  <si>
    <t>滑撑</t>
  </si>
  <si>
    <t>HCC60-16</t>
  </si>
  <si>
    <t>铝杆</t>
  </si>
  <si>
    <t>LZDC02-600</t>
  </si>
  <si>
    <t>锁座</t>
  </si>
  <si>
    <t>风撑</t>
  </si>
  <si>
    <t>FC310-10</t>
  </si>
  <si>
    <t>铝合金内开窗</t>
  </si>
  <si>
    <t>LCZS58</t>
  </si>
  <si>
    <t>LZDC03-800</t>
  </si>
  <si>
    <t>锁块</t>
  </si>
  <si>
    <t>合页</t>
  </si>
  <si>
    <t>CJ4</t>
  </si>
  <si>
    <t>垫块</t>
  </si>
  <si>
    <t>N33A</t>
  </si>
  <si>
    <t>支撑块</t>
  </si>
  <si>
    <t>N34A</t>
  </si>
  <si>
    <t>铝合金推拉门</t>
  </si>
  <si>
    <t>月牙锁</t>
  </si>
  <si>
    <t>Y06A/I</t>
  </si>
  <si>
    <t>锁钩</t>
  </si>
  <si>
    <t>Y05-18</t>
  </si>
  <si>
    <t>单滑轮</t>
  </si>
  <si>
    <t>CL11</t>
  </si>
  <si>
    <t>铝合金平开门（单扇）</t>
  </si>
  <si>
    <t>MZS08</t>
  </si>
  <si>
    <t>门锁</t>
  </si>
  <si>
    <t>MSC32/II</t>
  </si>
  <si>
    <t>锁芯</t>
  </si>
  <si>
    <t>KIL3272/T</t>
  </si>
  <si>
    <t>框面板</t>
  </si>
  <si>
    <t>KMB180A</t>
  </si>
  <si>
    <t>J5C</t>
  </si>
  <si>
    <t>110公斤大承重</t>
  </si>
  <si>
    <t>铝合金平开门（双扇）</t>
  </si>
  <si>
    <t>门插销</t>
  </si>
  <si>
    <t>MCX310</t>
  </si>
  <si>
    <t>SK20</t>
  </si>
  <si>
    <t>耐火外开窗五金</t>
  </si>
  <si>
    <t xml:space="preserve">执手 </t>
  </si>
  <si>
    <t>CZS309-L60</t>
  </si>
  <si>
    <t>耐火一体铝杆</t>
  </si>
  <si>
    <t>LSCDG22-800</t>
  </si>
  <si>
    <t>斜锁</t>
  </si>
  <si>
    <t>LKS11</t>
  </si>
  <si>
    <t>LSK43</t>
  </si>
  <si>
    <t>LYHE12</t>
  </si>
  <si>
    <t>温控闭窗器</t>
  </si>
  <si>
    <t>LBCQ11</t>
  </si>
  <si>
    <t>耐火上悬窗五金</t>
  </si>
  <si>
    <t>CZS309-R-L60</t>
  </si>
  <si>
    <t>锁闭传动杆</t>
  </si>
  <si>
    <t>LSCDG21</t>
  </si>
  <si>
    <t>耐火铝杆</t>
  </si>
  <si>
    <t>NHG05-300</t>
  </si>
  <si>
    <t xml:space="preserve"> 闭窗器</t>
  </si>
  <si>
    <t>LBCQ12</t>
  </si>
  <si>
    <t>铰链</t>
  </si>
  <si>
    <t>ZHS10</t>
  </si>
  <si>
    <t>玻璃调整清单</t>
  </si>
  <si>
    <t>名称及型号</t>
  </si>
  <si>
    <t>非钢化单价（元）</t>
  </si>
  <si>
    <t>钢化单价（元）</t>
  </si>
  <si>
    <t>单面low-e（元）</t>
  </si>
  <si>
    <t>防火玻璃不需要增加钢化费</t>
  </si>
  <si>
    <t>8+9A+8+9A+8Low-E</t>
  </si>
  <si>
    <t>5+12A+5</t>
  </si>
  <si>
    <t>图样</t>
  </si>
  <si>
    <t>尺寸</t>
  </si>
  <si>
    <t>高度</t>
  </si>
  <si>
    <t>长度</t>
  </si>
  <si>
    <t>所在楼层</t>
  </si>
  <si>
    <t>7~23奇数</t>
  </si>
  <si>
    <t>7~23偶数</t>
  </si>
  <si>
    <t>公寓阳台</t>
  </si>
  <si>
    <t>面管、立柱、扶手40*40*1.2镀锌方钢、横管32*32*1.0镀锌方钢管、竖杆19*19*0.8镀锌方钢管，</t>
  </si>
  <si>
    <t>2350+1320</t>
  </si>
  <si>
    <t>封闭阳台</t>
  </si>
  <si>
    <t>4000+1400</t>
  </si>
  <si>
    <t>开敞阳台</t>
  </si>
  <si>
    <t>5530+1320</t>
  </si>
  <si>
    <t>露台</t>
  </si>
  <si>
    <t>空调</t>
  </si>
  <si>
    <t>天井</t>
  </si>
  <si>
    <t>750+1350+750</t>
  </si>
  <si>
    <t>650+2550</t>
  </si>
  <si>
    <t>飘窗</t>
  </si>
  <si>
    <t>百叶明细计算书</t>
  </si>
  <si>
    <t>楼号</t>
  </si>
  <si>
    <t>宽度（m）</t>
  </si>
  <si>
    <t>高度（m）</t>
  </si>
  <si>
    <t>个数</t>
  </si>
  <si>
    <t>层数</t>
  </si>
  <si>
    <t>总面积（㎡）</t>
  </si>
  <si>
    <t>1#楼</t>
  </si>
  <si>
    <t>BYC-1116</t>
  </si>
  <si>
    <t>铝合金固定防雨百叶</t>
  </si>
  <si>
    <t>排风井</t>
  </si>
  <si>
    <t>BYC-2816</t>
  </si>
  <si>
    <t>BYC-1413</t>
  </si>
  <si>
    <t>BYC-1531</t>
  </si>
  <si>
    <t>KBYC-1123</t>
  </si>
  <si>
    <t>空调机位、铝合金固定通风百叶</t>
  </si>
  <si>
    <t>KBY-1423</t>
  </si>
  <si>
    <t>KBY-1167</t>
  </si>
  <si>
    <t>KBY-1499</t>
  </si>
  <si>
    <t>KBY-1822</t>
  </si>
  <si>
    <t>KBY-1022</t>
  </si>
  <si>
    <t>KBY-1017</t>
  </si>
  <si>
    <t>KBY-1622</t>
  </si>
  <si>
    <t>KBY-1416</t>
  </si>
  <si>
    <t>KBY-1823</t>
  </si>
  <si>
    <t>空调机位、铝合金开启通风百叶</t>
  </si>
  <si>
    <t>KBY-1423A</t>
  </si>
  <si>
    <t>KBY-1323</t>
  </si>
  <si>
    <t>KBY-11107</t>
  </si>
  <si>
    <t>KBY-1417</t>
  </si>
  <si>
    <t>KBY-1422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</si>
</sst>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
    <numFmt numFmtId="179" formatCode="#,##0.00_ "/>
    <numFmt numFmtId="180" formatCode="0.00_);[Red]\(0.00\)"/>
    <numFmt numFmtId="181" formatCode="0.0_ "/>
  </numFmts>
  <fonts count="49">
    <font>
      <sz val="11"/>
      <color theme="1"/>
      <name val="等线"/>
      <charset val="134"/>
      <scheme val="minor"/>
    </font>
    <font>
      <sz val="10"/>
      <name val="宋体"/>
      <charset val="134"/>
    </font>
    <font>
      <b/>
      <sz val="16"/>
      <name val="等线"/>
      <charset val="134"/>
      <scheme val="minor"/>
    </font>
    <font>
      <b/>
      <sz val="10"/>
      <name val="等线"/>
      <charset val="134"/>
      <scheme val="minor"/>
    </font>
    <font>
      <sz val="10"/>
      <name val="等线"/>
      <charset val="134"/>
      <scheme val="minor"/>
    </font>
    <font>
      <sz val="10"/>
      <color theme="1"/>
      <name val="等线"/>
      <charset val="134"/>
      <scheme val="minor"/>
    </font>
    <font>
      <sz val="11"/>
      <color indexed="8"/>
      <name val="等线"/>
      <charset val="134"/>
      <scheme val="minor"/>
    </font>
    <font>
      <sz val="9"/>
      <color rgb="FFFF0000"/>
      <name val="宋体"/>
      <charset val="134"/>
    </font>
    <font>
      <sz val="8"/>
      <color theme="1"/>
      <name val="Calibri"/>
      <charset val="134"/>
    </font>
    <font>
      <sz val="12"/>
      <name val="宋体"/>
      <charset val="134"/>
    </font>
    <font>
      <sz val="9"/>
      <color theme="1"/>
      <name val="等线"/>
      <charset val="134"/>
      <scheme val="minor"/>
    </font>
    <font>
      <b/>
      <sz val="14"/>
      <name val="宋体"/>
      <charset val="134"/>
    </font>
    <font>
      <sz val="9"/>
      <color indexed="8"/>
      <name val="黑体"/>
      <charset val="134"/>
    </font>
    <font>
      <sz val="9"/>
      <name val="宋体"/>
      <charset val="134"/>
    </font>
    <font>
      <b/>
      <sz val="9"/>
      <name val="宋体"/>
      <charset val="134"/>
    </font>
    <font>
      <sz val="11"/>
      <color rgb="FFFF0000"/>
      <name val="等线"/>
      <charset val="134"/>
      <scheme val="minor"/>
    </font>
    <font>
      <b/>
      <sz val="14"/>
      <color theme="1"/>
      <name val="幼圆"/>
      <charset val="134"/>
    </font>
    <font>
      <sz val="11"/>
      <name val="等线"/>
      <charset val="134"/>
      <scheme val="minor"/>
    </font>
    <font>
      <b/>
      <sz val="11"/>
      <color theme="1"/>
      <name val="等线"/>
      <charset val="134"/>
      <scheme val="minor"/>
    </font>
    <font>
      <b/>
      <sz val="12"/>
      <color theme="1"/>
      <name val="等线"/>
      <charset val="134"/>
      <scheme val="minor"/>
    </font>
    <font>
      <sz val="10"/>
      <color theme="1"/>
      <name val="宋体"/>
      <charset val="134"/>
    </font>
    <font>
      <b/>
      <sz val="10"/>
      <color theme="1"/>
      <name val="宋体"/>
      <charset val="134"/>
    </font>
    <font>
      <sz val="10"/>
      <color rgb="FFFF0000"/>
      <name val="宋体"/>
      <charset val="134"/>
    </font>
    <font>
      <sz val="10"/>
      <name val="Calibri"/>
      <charset val="134"/>
    </font>
    <font>
      <b/>
      <sz val="16"/>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sz val="11"/>
      <color indexed="8"/>
      <name val="宋体"/>
      <charset val="134"/>
    </font>
    <font>
      <sz val="10"/>
      <name val="Arial"/>
      <charset val="0"/>
    </font>
    <font>
      <sz val="9"/>
      <name val="Times New Roman"/>
      <charset val="134"/>
    </font>
    <font>
      <b/>
      <sz val="16"/>
      <color rgb="FFFF0000"/>
      <name val="等线"/>
      <charset val="134"/>
      <scheme val="minor"/>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7" borderId="1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8" borderId="14" applyNumberFormat="0" applyAlignment="0" applyProtection="0">
      <alignment vertical="center"/>
    </xf>
    <xf numFmtId="0" fontId="34" fillId="9" borderId="15" applyNumberFormat="0" applyAlignment="0" applyProtection="0">
      <alignment vertical="center"/>
    </xf>
    <xf numFmtId="0" fontId="35" fillId="9" borderId="14" applyNumberFormat="0" applyAlignment="0" applyProtection="0">
      <alignment vertical="center"/>
    </xf>
    <xf numFmtId="0" fontId="36" fillId="10" borderId="16" applyNumberFormat="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2" fillId="37" borderId="0" applyNumberFormat="0" applyBorder="0" applyAlignment="0" applyProtection="0">
      <alignment vertical="center"/>
    </xf>
    <xf numFmtId="0" fontId="44" fillId="0" borderId="0" applyProtection="0">
      <alignment vertical="center"/>
    </xf>
    <xf numFmtId="176" fontId="44" fillId="0" borderId="1">
      <alignment horizontal="right" vertical="center" wrapText="1"/>
    </xf>
    <xf numFmtId="0" fontId="0" fillId="0" borderId="0">
      <alignment vertical="center"/>
    </xf>
    <xf numFmtId="0" fontId="9" fillId="0" borderId="0"/>
    <xf numFmtId="0" fontId="45" fillId="0" borderId="0">
      <alignment vertical="center"/>
    </xf>
    <xf numFmtId="176" fontId="44" fillId="0" borderId="1">
      <alignment horizontal="right" vertical="center" wrapText="1"/>
    </xf>
    <xf numFmtId="0" fontId="9" fillId="0" borderId="0">
      <alignment vertical="center"/>
    </xf>
    <xf numFmtId="0" fontId="45" fillId="0" borderId="0">
      <alignment vertical="center"/>
    </xf>
    <xf numFmtId="0" fontId="9" fillId="0" borderId="0"/>
    <xf numFmtId="0" fontId="9" fillId="0" borderId="0">
      <alignment vertical="center"/>
    </xf>
    <xf numFmtId="0" fontId="9" fillId="0" borderId="0"/>
    <xf numFmtId="0" fontId="46" fillId="0" borderId="0"/>
    <xf numFmtId="0" fontId="1" fillId="0" borderId="0"/>
    <xf numFmtId="0" fontId="9" fillId="0" borderId="0"/>
    <xf numFmtId="0" fontId="45" fillId="0" borderId="0">
      <alignment vertical="center"/>
    </xf>
    <xf numFmtId="0" fontId="9" fillId="0" borderId="0"/>
    <xf numFmtId="43" fontId="9" fillId="0" borderId="0" applyFont="0" applyFill="0" applyBorder="0" applyAlignment="0" applyProtection="0"/>
    <xf numFmtId="0" fontId="45" fillId="0" borderId="0">
      <alignment vertical="center"/>
    </xf>
    <xf numFmtId="0" fontId="9" fillId="0" borderId="0">
      <alignment vertical="center"/>
    </xf>
  </cellStyleXfs>
  <cellXfs count="190">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176" fontId="0" fillId="0" borderId="0" xfId="0" applyNumberFormat="1" applyFill="1" applyAlignment="1">
      <alignment horizontal="center" vertical="center"/>
    </xf>
    <xf numFmtId="0" fontId="0" fillId="0" borderId="0" xfId="0" applyFill="1" applyAlignment="1">
      <alignment horizontal="left" vertical="center" wrapText="1" inden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1" xfId="0" applyFill="1" applyBorder="1" applyAlignment="1">
      <alignment horizontal="left" vertical="center" wrapText="1" indent="1"/>
    </xf>
    <xf numFmtId="0" fontId="1" fillId="0" borderId="1" xfId="0" applyFont="1" applyFill="1" applyBorder="1" applyAlignment="1">
      <alignment horizontal="left" vertical="center" wrapText="1" indent="1"/>
    </xf>
    <xf numFmtId="0" fontId="1" fillId="0" borderId="0" xfId="0" applyFont="1" applyFill="1" applyBorder="1" applyAlignment="1">
      <alignment horizontal="left" vertical="center" wrapText="1" indent="1"/>
    </xf>
    <xf numFmtId="0" fontId="0" fillId="0" borderId="0" xfId="0"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1" xfId="0" applyFill="1" applyBorder="1" applyAlignment="1">
      <alignment vertical="center"/>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0" xfId="0" applyFill="1" applyAlignment="1">
      <alignment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2" fillId="0" borderId="0" xfId="57" applyFont="1" applyBorder="1" applyAlignment="1">
      <alignment horizontal="center" vertical="center"/>
    </xf>
    <xf numFmtId="0" fontId="4" fillId="0" borderId="1" xfId="58" applyFont="1" applyFill="1" applyBorder="1" applyAlignment="1">
      <alignment horizontal="center" vertical="center"/>
    </xf>
    <xf numFmtId="0" fontId="4" fillId="0" borderId="2" xfId="58" applyFont="1" applyFill="1" applyBorder="1" applyAlignment="1">
      <alignment horizontal="center" vertical="center"/>
    </xf>
    <xf numFmtId="0" fontId="4" fillId="0" borderId="2" xfId="58"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58" applyFont="1" applyFill="1" applyBorder="1" applyAlignment="1">
      <alignment horizontal="center" vertical="center" wrapText="1"/>
    </xf>
    <xf numFmtId="0" fontId="4" fillId="0" borderId="4" xfId="58" applyFont="1" applyFill="1" applyBorder="1" applyAlignment="1">
      <alignment horizontal="center" vertical="center"/>
    </xf>
    <xf numFmtId="0" fontId="4" fillId="0" borderId="4" xfId="58"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58"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6" fillId="0" borderId="5" xfId="0" applyFont="1" applyFill="1" applyBorder="1" applyAlignment="1" applyProtection="1">
      <alignment horizontal="center" vertical="center"/>
    </xf>
    <xf numFmtId="0" fontId="4" fillId="0" borderId="3" xfId="58"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right" vertical="top" wrapText="1"/>
    </xf>
    <xf numFmtId="176" fontId="4" fillId="2"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179" fontId="0" fillId="0"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10" fillId="0" borderId="0" xfId="0" applyFont="1" applyFill="1" applyAlignment="1">
      <alignment vertical="center"/>
    </xf>
    <xf numFmtId="0" fontId="10" fillId="3" borderId="0" xfId="0" applyFont="1" applyFill="1" applyAlignment="1">
      <alignment vertical="center"/>
    </xf>
    <xf numFmtId="0" fontId="11" fillId="0" borderId="0" xfId="0" applyFont="1" applyFill="1" applyBorder="1" applyAlignment="1">
      <alignment horizontal="center" vertical="center"/>
    </xf>
    <xf numFmtId="0" fontId="12" fillId="0" borderId="6" xfId="56" applyNumberFormat="1" applyFont="1" applyFill="1" applyBorder="1" applyAlignment="1" applyProtection="1">
      <alignment horizontal="left" vertical="center" wrapText="1"/>
    </xf>
    <xf numFmtId="0" fontId="12" fillId="0" borderId="6" xfId="56"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80" fontId="14" fillId="4"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80" fontId="13" fillId="4" borderId="1" xfId="0"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181" fontId="13" fillId="0" borderId="1" xfId="0" applyNumberFormat="1" applyFont="1" applyFill="1" applyBorder="1" applyAlignment="1">
      <alignment horizontal="center" vertical="center" wrapText="1"/>
    </xf>
    <xf numFmtId="181"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177" fontId="13" fillId="4" borderId="1" xfId="0" applyNumberFormat="1" applyFont="1" applyFill="1" applyBorder="1" applyAlignment="1">
      <alignment horizontal="center" vertical="center" wrapText="1"/>
    </xf>
    <xf numFmtId="0" fontId="10" fillId="0" borderId="0" xfId="0" applyFont="1" applyFill="1" applyAlignment="1">
      <alignment horizontal="left" vertical="center" wrapText="1"/>
    </xf>
    <xf numFmtId="0" fontId="15" fillId="0" borderId="0" xfId="0" applyFont="1"/>
    <xf numFmtId="0" fontId="0" fillId="0" borderId="0" xfId="0" applyAlignment="1">
      <alignment horizontal="center" vertical="center"/>
    </xf>
    <xf numFmtId="0" fontId="0" fillId="0" borderId="0" xfId="0" applyAlignment="1">
      <alignment wrapText="1"/>
    </xf>
    <xf numFmtId="0" fontId="16" fillId="0" borderId="6" xfId="0" applyFont="1" applyBorder="1" applyAlignment="1">
      <alignment horizontal="center" vertical="center"/>
    </xf>
    <xf numFmtId="0" fontId="0" fillId="0" borderId="1" xfId="0"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15" fillId="0" borderId="1" xfId="0" applyFont="1" applyBorder="1" applyAlignment="1">
      <alignment horizontal="center" vertical="center"/>
    </xf>
    <xf numFmtId="0" fontId="0" fillId="0" borderId="5" xfId="0" applyBorder="1" applyAlignment="1">
      <alignment horizontal="center" vertical="center"/>
    </xf>
    <xf numFmtId="0" fontId="0" fillId="3" borderId="1" xfId="0" applyFill="1" applyBorder="1" applyAlignment="1">
      <alignment horizontal="center" vertical="center"/>
    </xf>
    <xf numFmtId="0" fontId="17" fillId="0" borderId="1" xfId="0" applyFon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xf>
    <xf numFmtId="0" fontId="0" fillId="2" borderId="8" xfId="0" applyFill="1" applyBorder="1" applyAlignment="1">
      <alignment horizontal="center" vertical="center"/>
    </xf>
    <xf numFmtId="176" fontId="0" fillId="2" borderId="1" xfId="0" applyNumberFormat="1" applyFill="1" applyBorder="1" applyAlignment="1">
      <alignment horizontal="center" vertical="center"/>
    </xf>
    <xf numFmtId="0" fontId="15" fillId="0" borderId="1" xfId="0" applyFont="1" applyBorder="1" applyAlignment="1">
      <alignment horizontal="center" vertical="center" wrapText="1"/>
    </xf>
    <xf numFmtId="176" fontId="15"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176" fontId="17" fillId="0" borderId="1" xfId="0" applyNumberFormat="1" applyFont="1" applyBorder="1" applyAlignment="1">
      <alignment horizontal="center" vertical="center"/>
    </xf>
    <xf numFmtId="0" fontId="0" fillId="2" borderId="1" xfId="0" applyFill="1" applyBorder="1" applyAlignment="1">
      <alignment horizontal="center" vertical="center" wrapText="1"/>
    </xf>
    <xf numFmtId="0" fontId="16" fillId="0" borderId="6" xfId="0" applyFont="1" applyBorder="1" applyAlignment="1">
      <alignment horizontal="center" vertical="center" wrapText="1"/>
    </xf>
    <xf numFmtId="0" fontId="0" fillId="2" borderId="1" xfId="0" applyFill="1" applyBorder="1"/>
    <xf numFmtId="0" fontId="0" fillId="2" borderId="1" xfId="0" applyFill="1" applyBorder="1" applyAlignment="1">
      <alignment wrapText="1"/>
    </xf>
    <xf numFmtId="0" fontId="0" fillId="0" borderId="1" xfId="0" applyBorder="1"/>
    <xf numFmtId="0" fontId="15" fillId="0" borderId="1" xfId="0" applyFont="1" applyBorder="1"/>
    <xf numFmtId="176" fontId="0" fillId="0" borderId="0" xfId="0" applyNumberFormat="1"/>
    <xf numFmtId="0" fontId="0" fillId="3" borderId="1" xfId="0" applyFill="1" applyBorder="1"/>
    <xf numFmtId="0" fontId="0" fillId="5" borderId="5" xfId="0" applyFill="1" applyBorder="1" applyAlignment="1">
      <alignment horizontal="center" vertical="center"/>
    </xf>
    <xf numFmtId="0" fontId="0" fillId="5" borderId="7"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5" borderId="8" xfId="0" applyFill="1" applyBorder="1" applyAlignment="1">
      <alignment horizontal="center" vertical="center"/>
    </xf>
    <xf numFmtId="0" fontId="0" fillId="5" borderId="1" xfId="0" applyFill="1" applyBorder="1" applyAlignment="1">
      <alignment horizontal="center" vertical="center"/>
    </xf>
    <xf numFmtId="176" fontId="0" fillId="5" borderId="1" xfId="0" applyNumberFormat="1" applyFill="1" applyBorder="1" applyAlignment="1">
      <alignment horizontal="center" vertical="center"/>
    </xf>
    <xf numFmtId="0" fontId="0" fillId="5" borderId="1" xfId="0" applyFill="1" applyBorder="1"/>
    <xf numFmtId="0" fontId="0" fillId="5" borderId="1" xfId="0" applyFill="1" applyBorder="1" applyAlignment="1">
      <alignment wrapText="1"/>
    </xf>
    <xf numFmtId="0" fontId="18" fillId="0" borderId="0" xfId="0" applyFont="1" applyFill="1" applyAlignment="1">
      <alignment vertical="center"/>
    </xf>
    <xf numFmtId="176" fontId="0" fillId="0" borderId="0" xfId="0" applyNumberFormat="1" applyFill="1" applyAlignment="1">
      <alignment vertical="center"/>
    </xf>
    <xf numFmtId="0" fontId="19" fillId="0" borderId="0" xfId="0" applyFont="1" applyFill="1" applyBorder="1" applyAlignment="1">
      <alignment horizontal="center" vertical="center"/>
    </xf>
    <xf numFmtId="176" fontId="19" fillId="0" borderId="0"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9" fontId="0" fillId="0" borderId="1" xfId="3" applyNumberFormat="1" applyFill="1" applyBorder="1" applyAlignment="1">
      <alignment horizontal="center" vertical="center"/>
    </xf>
    <xf numFmtId="0" fontId="18" fillId="0" borderId="1" xfId="0" applyFont="1" applyFill="1" applyBorder="1" applyAlignment="1">
      <alignment horizontal="center" vertical="center"/>
    </xf>
    <xf numFmtId="176" fontId="18" fillId="0"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176" fontId="0" fillId="0" borderId="1" xfId="0" applyNumberFormat="1" applyFill="1" applyBorder="1" applyAlignment="1">
      <alignment horizontal="left" vertical="center" wrapText="1"/>
    </xf>
    <xf numFmtId="0" fontId="0" fillId="0" borderId="5" xfId="0" applyFill="1" applyBorder="1" applyAlignment="1">
      <alignment horizontal="center" vertical="center"/>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18" fillId="0" borderId="5" xfId="0" applyFont="1" applyFill="1" applyBorder="1" applyAlignment="1">
      <alignment vertical="center"/>
    </xf>
    <xf numFmtId="0" fontId="0" fillId="0" borderId="5" xfId="0" applyFill="1" applyBorder="1" applyAlignment="1">
      <alignment horizontal="left" vertical="center" wrapText="1"/>
    </xf>
    <xf numFmtId="0" fontId="20" fillId="0" borderId="0" xfId="0" applyFont="1" applyFill="1" applyAlignment="1">
      <alignment vertical="center"/>
    </xf>
    <xf numFmtId="0" fontId="20" fillId="0" borderId="0" xfId="0" applyFont="1" applyFill="1" applyAlignment="1">
      <alignment horizontal="center" vertical="center" wrapText="1"/>
    </xf>
    <xf numFmtId="176" fontId="20" fillId="0" borderId="0" xfId="0" applyNumberFormat="1" applyFont="1" applyFill="1" applyAlignment="1">
      <alignment vertical="center"/>
    </xf>
    <xf numFmtId="0" fontId="21" fillId="0" borderId="0" xfId="0" applyFont="1" applyFill="1" applyAlignment="1">
      <alignment horizontal="center" vertical="center"/>
    </xf>
    <xf numFmtId="0" fontId="21" fillId="0" borderId="0" xfId="0" applyFont="1" applyFill="1" applyAlignment="1">
      <alignment horizontal="center" vertical="center" wrapText="1"/>
    </xf>
    <xf numFmtId="176" fontId="21" fillId="0" borderId="0" xfId="0" applyNumberFormat="1" applyFont="1" applyFill="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180" fontId="21" fillId="0" borderId="1" xfId="0" applyNumberFormat="1" applyFont="1" applyFill="1" applyBorder="1" applyAlignment="1">
      <alignment horizontal="center" vertical="center" wrapText="1"/>
    </xf>
    <xf numFmtId="180" fontId="21" fillId="0" borderId="2"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80" fontId="21" fillId="0" borderId="3" xfId="0" applyNumberFormat="1" applyFont="1" applyFill="1" applyBorder="1" applyAlignment="1">
      <alignment horizontal="center" vertical="center" wrapText="1"/>
    </xf>
    <xf numFmtId="9" fontId="21" fillId="0" borderId="3" xfId="3"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20" fillId="0" borderId="1" xfId="0" applyNumberFormat="1" applyFont="1" applyFill="1" applyBorder="1" applyAlignment="1">
      <alignment horizontal="center" vertical="center"/>
    </xf>
    <xf numFmtId="9" fontId="20" fillId="0" borderId="1" xfId="3" applyNumberFormat="1" applyFont="1" applyFill="1" applyBorder="1" applyAlignment="1">
      <alignment horizontal="center" vertical="center"/>
    </xf>
    <xf numFmtId="0" fontId="20" fillId="0" borderId="1" xfId="0" applyFont="1" applyFill="1" applyBorder="1" applyAlignment="1">
      <alignment vertical="center"/>
    </xf>
    <xf numFmtId="0" fontId="22" fillId="0" borderId="1" xfId="0" applyFont="1" applyFill="1" applyBorder="1" applyAlignment="1">
      <alignment vertical="center" wrapText="1"/>
    </xf>
    <xf numFmtId="0" fontId="5" fillId="0" borderId="0" xfId="0" applyFont="1" applyFill="1" applyAlignment="1">
      <alignment vertical="center"/>
    </xf>
    <xf numFmtId="0" fontId="5" fillId="0" borderId="0" xfId="0" applyFont="1" applyFill="1" applyAlignment="1">
      <alignment horizontal="center" vertical="center"/>
    </xf>
    <xf numFmtId="176" fontId="5" fillId="0" borderId="0" xfId="0" applyNumberFormat="1" applyFont="1" applyFill="1" applyAlignment="1">
      <alignment horizontal="center" vertical="center"/>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 fillId="0" borderId="2"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176" fontId="1" fillId="4"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81" fontId="1" fillId="0" borderId="2"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1" fillId="4" borderId="1" xfId="0" applyNumberFormat="1" applyFont="1" applyFill="1" applyBorder="1" applyAlignment="1">
      <alignment vertical="center" wrapText="1"/>
    </xf>
    <xf numFmtId="176" fontId="5" fillId="4" borderId="1" xfId="0" applyNumberFormat="1" applyFont="1" applyFill="1" applyBorder="1" applyAlignment="1">
      <alignment horizontal="center" vertical="center"/>
    </xf>
    <xf numFmtId="176" fontId="1" fillId="3"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1" xfId="0" applyFont="1" applyFill="1" applyBorder="1" applyAlignment="1">
      <alignment vertical="center"/>
    </xf>
    <xf numFmtId="0" fontId="5" fillId="0" borderId="4" xfId="0" applyFont="1" applyFill="1" applyBorder="1" applyAlignment="1">
      <alignment horizontal="center" vertical="center"/>
    </xf>
    <xf numFmtId="0" fontId="5" fillId="4" borderId="3" xfId="0" applyFont="1" applyFill="1" applyBorder="1" applyAlignment="1">
      <alignment horizontal="center" vertical="center"/>
    </xf>
    <xf numFmtId="0" fontId="1" fillId="4" borderId="1" xfId="0" applyFont="1" applyFill="1" applyBorder="1" applyAlignment="1">
      <alignment horizontal="left" vertical="center" wrapText="1"/>
    </xf>
    <xf numFmtId="0" fontId="24" fillId="0" borderId="0" xfId="49" applyFont="1" applyFill="1" applyBorder="1" applyAlignment="1" applyProtection="1">
      <alignment horizontal="center" vertical="center" wrapText="1"/>
    </xf>
    <xf numFmtId="49" fontId="1" fillId="6" borderId="1" xfId="50" applyNumberFormat="1" applyFont="1" applyFill="1" applyBorder="1" applyAlignment="1" applyProtection="1">
      <alignment horizontal="center" vertical="center"/>
    </xf>
    <xf numFmtId="176" fontId="1" fillId="6" borderId="1" xfId="50" applyFont="1" applyFill="1" applyBorder="1" applyAlignment="1" applyProtection="1">
      <alignment horizontal="left" vertical="center" wrapText="1"/>
    </xf>
    <xf numFmtId="0" fontId="1" fillId="0" borderId="1" xfId="51" applyFont="1" applyFill="1" applyBorder="1" applyAlignment="1" applyProtection="1">
      <alignment horizontal="center" vertical="center"/>
    </xf>
    <xf numFmtId="176" fontId="1" fillId="0" borderId="1" xfId="50" applyFont="1" applyFill="1" applyBorder="1" applyAlignment="1" applyProtection="1">
      <alignment horizontal="left" vertical="center" wrapText="1"/>
    </xf>
    <xf numFmtId="0" fontId="4" fillId="0" borderId="1" xfId="52" applyFont="1" applyFill="1" applyBorder="1" applyAlignment="1" applyProtection="1">
      <alignment horizontal="justify" vertical="center" wrapText="1"/>
    </xf>
    <xf numFmtId="0" fontId="1" fillId="0" borderId="1" xfId="49" applyFont="1" applyFill="1" applyBorder="1" applyAlignment="1" applyProtection="1">
      <alignment horizontal="center" vertical="center"/>
    </xf>
    <xf numFmtId="0" fontId="1" fillId="0" borderId="1" xfId="53" applyFont="1" applyFill="1" applyBorder="1" applyAlignment="1" applyProtection="1">
      <alignment vertical="center" wrapText="1"/>
    </xf>
    <xf numFmtId="0" fontId="1" fillId="0" borderId="1" xfId="53" applyFont="1" applyFill="1" applyBorder="1" applyAlignment="1" applyProtection="1">
      <alignment horizontal="left" vertical="center" wrapText="1"/>
    </xf>
    <xf numFmtId="176" fontId="1" fillId="0" borderId="1" xfId="54" applyFont="1" applyFill="1" applyBorder="1" applyAlignment="1" applyProtection="1">
      <alignment horizontal="left" vertical="center" wrapText="1"/>
    </xf>
    <xf numFmtId="176" fontId="1" fillId="0" borderId="1" xfId="50" applyFont="1" applyFill="1" applyBorder="1" applyAlignment="1" applyProtection="1">
      <alignment horizontal="left" vertical="top" wrapText="1"/>
    </xf>
    <xf numFmtId="0" fontId="1" fillId="0" borderId="1" xfId="0" applyFont="1" applyFill="1" applyBorder="1" applyAlignment="1">
      <alignment vertical="center"/>
    </xf>
    <xf numFmtId="0" fontId="1" fillId="0" borderId="0" xfId="0" applyFont="1" applyFill="1" applyBorder="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表体数字 3 2 6 6" xfId="50"/>
    <cellStyle name="常规 144 4" xfId="51"/>
    <cellStyle name="常规 11" xfId="52"/>
    <cellStyle name="常规 10" xfId="53"/>
    <cellStyle name="表体数字 3 2 6 5 3 2" xfId="54"/>
    <cellStyle name="常规 2_合肥万达文旅新城一期塔楼门窗测算2014.6.4（修改版）" xfId="55"/>
    <cellStyle name="常规_6C汇总门窗统计表" xfId="56"/>
    <cellStyle name="常规_Sheet1" xfId="57"/>
    <cellStyle name="常规 2_K4地块外立面门窗工程报价清单" xfId="58"/>
    <cellStyle name="常规_四期A标段工程量清单10.18" xfId="59"/>
    <cellStyle name="常规_Sheet1_复件 5.1 工程量清单 L" xfId="60"/>
    <cellStyle name="常规 9" xfId="61"/>
    <cellStyle name="常规_镇江面积指标表" xfId="62"/>
    <cellStyle name="常规_广州面积指标" xfId="63"/>
    <cellStyle name="常规_东5" xfId="64"/>
    <cellStyle name="千位分隔_东5" xfId="65"/>
    <cellStyle name="常规 2" xfId="66"/>
    <cellStyle name="常规 3" xfId="6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9" Type="http://schemas.openxmlformats.org/officeDocument/2006/relationships/image" Target="../media/image10.png"/><Relationship Id="rId8" Type="http://schemas.openxmlformats.org/officeDocument/2006/relationships/image" Target="../media/image9.png"/><Relationship Id="rId7" Type="http://schemas.openxmlformats.org/officeDocument/2006/relationships/image" Target="../media/image8.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36" Type="http://schemas.openxmlformats.org/officeDocument/2006/relationships/image" Target="../media/image37.png"/><Relationship Id="rId35" Type="http://schemas.openxmlformats.org/officeDocument/2006/relationships/image" Target="../media/image36.png"/><Relationship Id="rId34" Type="http://schemas.openxmlformats.org/officeDocument/2006/relationships/image" Target="../media/image35.png"/><Relationship Id="rId33" Type="http://schemas.openxmlformats.org/officeDocument/2006/relationships/image" Target="../media/image34.png"/><Relationship Id="rId32" Type="http://schemas.openxmlformats.org/officeDocument/2006/relationships/image" Target="../media/image33.png"/><Relationship Id="rId31" Type="http://schemas.openxmlformats.org/officeDocument/2006/relationships/image" Target="../media/image32.png"/><Relationship Id="rId30" Type="http://schemas.openxmlformats.org/officeDocument/2006/relationships/image" Target="../media/image31.png"/><Relationship Id="rId3" Type="http://schemas.openxmlformats.org/officeDocument/2006/relationships/image" Target="../media/image4.png"/><Relationship Id="rId29" Type="http://schemas.openxmlformats.org/officeDocument/2006/relationships/image" Target="../media/image30.png"/><Relationship Id="rId28" Type="http://schemas.openxmlformats.org/officeDocument/2006/relationships/image" Target="../media/image29.png"/><Relationship Id="rId27" Type="http://schemas.openxmlformats.org/officeDocument/2006/relationships/image" Target="../media/image28.png"/><Relationship Id="rId26" Type="http://schemas.openxmlformats.org/officeDocument/2006/relationships/image" Target="../media/image27.png"/><Relationship Id="rId25" Type="http://schemas.openxmlformats.org/officeDocument/2006/relationships/image" Target="../media/image26.png"/><Relationship Id="rId24" Type="http://schemas.openxmlformats.org/officeDocument/2006/relationships/image" Target="../media/image25.png"/><Relationship Id="rId23" Type="http://schemas.openxmlformats.org/officeDocument/2006/relationships/image" Target="../media/image24.png"/><Relationship Id="rId22" Type="http://schemas.openxmlformats.org/officeDocument/2006/relationships/image" Target="../media/image23.png"/><Relationship Id="rId21" Type="http://schemas.openxmlformats.org/officeDocument/2006/relationships/image" Target="../media/image22.png"/><Relationship Id="rId20" Type="http://schemas.openxmlformats.org/officeDocument/2006/relationships/image" Target="../media/image21.png"/><Relationship Id="rId2" Type="http://schemas.openxmlformats.org/officeDocument/2006/relationships/image" Target="../media/image3.png"/><Relationship Id="rId19" Type="http://schemas.openxmlformats.org/officeDocument/2006/relationships/image" Target="../media/image20.png"/><Relationship Id="rId18" Type="http://schemas.openxmlformats.org/officeDocument/2006/relationships/image" Target="../media/image19.png"/><Relationship Id="rId17" Type="http://schemas.openxmlformats.org/officeDocument/2006/relationships/image" Target="../media/image18.png"/><Relationship Id="rId16" Type="http://schemas.openxmlformats.org/officeDocument/2006/relationships/image" Target="../media/image17.png"/><Relationship Id="rId15" Type="http://schemas.openxmlformats.org/officeDocument/2006/relationships/image" Target="../media/image16.png"/><Relationship Id="rId14" Type="http://schemas.openxmlformats.org/officeDocument/2006/relationships/image" Target="../media/image15.png"/><Relationship Id="rId13" Type="http://schemas.openxmlformats.org/officeDocument/2006/relationships/image" Target="../media/image14.png"/><Relationship Id="rId12" Type="http://schemas.openxmlformats.org/officeDocument/2006/relationships/image" Target="../media/image13.png"/><Relationship Id="rId11" Type="http://schemas.openxmlformats.org/officeDocument/2006/relationships/image" Target="../media/image12.png"/><Relationship Id="rId10" Type="http://schemas.openxmlformats.org/officeDocument/2006/relationships/image" Target="../media/image11.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457200</xdr:colOff>
      <xdr:row>16</xdr:row>
      <xdr:rowOff>30480</xdr:rowOff>
    </xdr:from>
    <xdr:to>
      <xdr:col>8</xdr:col>
      <xdr:colOff>121920</xdr:colOff>
      <xdr:row>16</xdr:row>
      <xdr:rowOff>2592070</xdr:rowOff>
    </xdr:to>
    <xdr:pic>
      <xdr:nvPicPr>
        <xdr:cNvPr id="2" name="图片 1"/>
        <xdr:cNvPicPr>
          <a:picLocks noChangeAspect="1"/>
        </xdr:cNvPicPr>
      </xdr:nvPicPr>
      <xdr:blipFill>
        <a:blip r:embed="rId1"/>
        <a:stretch>
          <a:fillRect/>
        </a:stretch>
      </xdr:blipFill>
      <xdr:spPr>
        <a:xfrm>
          <a:off x="7375525" y="7864475"/>
          <a:ext cx="3368040" cy="2561590"/>
        </a:xfrm>
        <a:prstGeom prst="rect">
          <a:avLst/>
        </a:prstGeom>
        <a:noFill/>
        <a:ln w="9525">
          <a:noFill/>
        </a:ln>
      </xdr:spPr>
    </xdr:pic>
    <xdr:clientData/>
  </xdr:twoCellAnchor>
  <xdr:twoCellAnchor editAs="oneCell">
    <xdr:from>
      <xdr:col>2</xdr:col>
      <xdr:colOff>457200</xdr:colOff>
      <xdr:row>16</xdr:row>
      <xdr:rowOff>30480</xdr:rowOff>
    </xdr:from>
    <xdr:to>
      <xdr:col>8</xdr:col>
      <xdr:colOff>121920</xdr:colOff>
      <xdr:row>16</xdr:row>
      <xdr:rowOff>2592070</xdr:rowOff>
    </xdr:to>
    <xdr:pic>
      <xdr:nvPicPr>
        <xdr:cNvPr id="3" name="图片 2"/>
        <xdr:cNvPicPr>
          <a:picLocks noChangeAspect="1"/>
        </xdr:cNvPicPr>
      </xdr:nvPicPr>
      <xdr:blipFill>
        <a:blip r:embed="rId1"/>
        <a:stretch>
          <a:fillRect/>
        </a:stretch>
      </xdr:blipFill>
      <xdr:spPr>
        <a:xfrm>
          <a:off x="7375525" y="7864475"/>
          <a:ext cx="3368040" cy="256159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22</xdr:row>
      <xdr:rowOff>0</xdr:rowOff>
    </xdr:from>
    <xdr:to>
      <xdr:col>4</xdr:col>
      <xdr:colOff>0</xdr:colOff>
      <xdr:row>22</xdr:row>
      <xdr:rowOff>0</xdr:rowOff>
    </xdr:to>
    <xdr:pic>
      <xdr:nvPicPr>
        <xdr:cNvPr id="2" name="图片 1"/>
        <xdr:cNvPicPr>
          <a:picLocks noChangeAspect="1"/>
        </xdr:cNvPicPr>
      </xdr:nvPicPr>
      <xdr:blipFill>
        <a:stretch>
          <a:fillRect/>
        </a:stretch>
      </xdr:blipFill>
      <xdr:spPr>
        <a:xfrm>
          <a:off x="4555490" y="12319000"/>
          <a:ext cx="0" cy="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296545</xdr:colOff>
      <xdr:row>2</xdr:row>
      <xdr:rowOff>66675</xdr:rowOff>
    </xdr:from>
    <xdr:to>
      <xdr:col>1</xdr:col>
      <xdr:colOff>1800225</xdr:colOff>
      <xdr:row>2</xdr:row>
      <xdr:rowOff>848360</xdr:rowOff>
    </xdr:to>
    <xdr:pic>
      <xdr:nvPicPr>
        <xdr:cNvPr id="2" name="图片 1"/>
        <xdr:cNvPicPr>
          <a:picLocks noChangeAspect="1"/>
        </xdr:cNvPicPr>
      </xdr:nvPicPr>
      <xdr:blipFill>
        <a:blip r:embed="rId1"/>
        <a:stretch>
          <a:fillRect/>
        </a:stretch>
      </xdr:blipFill>
      <xdr:spPr>
        <a:xfrm>
          <a:off x="656590" y="508635"/>
          <a:ext cx="1503680" cy="781685"/>
        </a:xfrm>
        <a:prstGeom prst="rect">
          <a:avLst/>
        </a:prstGeom>
        <a:noFill/>
        <a:ln w="9525">
          <a:noFill/>
        </a:ln>
      </xdr:spPr>
    </xdr:pic>
    <xdr:clientData/>
  </xdr:twoCellAnchor>
  <xdr:twoCellAnchor editAs="oneCell">
    <xdr:from>
      <xdr:col>1</xdr:col>
      <xdr:colOff>228600</xdr:colOff>
      <xdr:row>3</xdr:row>
      <xdr:rowOff>60960</xdr:rowOff>
    </xdr:from>
    <xdr:to>
      <xdr:col>1</xdr:col>
      <xdr:colOff>1913890</xdr:colOff>
      <xdr:row>3</xdr:row>
      <xdr:rowOff>854710</xdr:rowOff>
    </xdr:to>
    <xdr:pic>
      <xdr:nvPicPr>
        <xdr:cNvPr id="3" name="图片 2"/>
        <xdr:cNvPicPr>
          <a:picLocks noChangeAspect="1"/>
        </xdr:cNvPicPr>
      </xdr:nvPicPr>
      <xdr:blipFill>
        <a:blip r:embed="rId2"/>
        <a:stretch>
          <a:fillRect/>
        </a:stretch>
      </xdr:blipFill>
      <xdr:spPr>
        <a:xfrm>
          <a:off x="588645" y="1430020"/>
          <a:ext cx="1685290" cy="793750"/>
        </a:xfrm>
        <a:prstGeom prst="rect">
          <a:avLst/>
        </a:prstGeom>
        <a:noFill/>
        <a:ln w="9525">
          <a:noFill/>
        </a:ln>
      </xdr:spPr>
    </xdr:pic>
    <xdr:clientData/>
  </xdr:twoCellAnchor>
  <xdr:twoCellAnchor editAs="oneCell">
    <xdr:from>
      <xdr:col>1</xdr:col>
      <xdr:colOff>219075</xdr:colOff>
      <xdr:row>4</xdr:row>
      <xdr:rowOff>56515</xdr:rowOff>
    </xdr:from>
    <xdr:to>
      <xdr:col>1</xdr:col>
      <xdr:colOff>1913890</xdr:colOff>
      <xdr:row>4</xdr:row>
      <xdr:rowOff>809625</xdr:rowOff>
    </xdr:to>
    <xdr:pic>
      <xdr:nvPicPr>
        <xdr:cNvPr id="4" name="图片 3"/>
        <xdr:cNvPicPr>
          <a:picLocks noChangeAspect="1"/>
        </xdr:cNvPicPr>
      </xdr:nvPicPr>
      <xdr:blipFill>
        <a:blip r:embed="rId3"/>
        <a:stretch>
          <a:fillRect/>
        </a:stretch>
      </xdr:blipFill>
      <xdr:spPr>
        <a:xfrm>
          <a:off x="579120" y="2301875"/>
          <a:ext cx="1694815" cy="753110"/>
        </a:xfrm>
        <a:prstGeom prst="rect">
          <a:avLst/>
        </a:prstGeom>
        <a:noFill/>
        <a:ln w="9525">
          <a:noFill/>
        </a:ln>
      </xdr:spPr>
    </xdr:pic>
    <xdr:clientData/>
  </xdr:twoCellAnchor>
  <xdr:twoCellAnchor editAs="oneCell">
    <xdr:from>
      <xdr:col>1</xdr:col>
      <xdr:colOff>200025</xdr:colOff>
      <xdr:row>5</xdr:row>
      <xdr:rowOff>58420</xdr:rowOff>
    </xdr:from>
    <xdr:to>
      <xdr:col>1</xdr:col>
      <xdr:colOff>2383790</xdr:colOff>
      <xdr:row>5</xdr:row>
      <xdr:rowOff>895350</xdr:rowOff>
    </xdr:to>
    <xdr:pic>
      <xdr:nvPicPr>
        <xdr:cNvPr id="5" name="图片 4"/>
        <xdr:cNvPicPr>
          <a:picLocks noChangeAspect="1"/>
        </xdr:cNvPicPr>
      </xdr:nvPicPr>
      <xdr:blipFill>
        <a:blip r:embed="rId4"/>
        <a:stretch>
          <a:fillRect/>
        </a:stretch>
      </xdr:blipFill>
      <xdr:spPr>
        <a:xfrm>
          <a:off x="560070" y="3180080"/>
          <a:ext cx="2183765" cy="836930"/>
        </a:xfrm>
        <a:prstGeom prst="rect">
          <a:avLst/>
        </a:prstGeom>
        <a:noFill/>
        <a:ln w="9525">
          <a:noFill/>
        </a:ln>
      </xdr:spPr>
    </xdr:pic>
    <xdr:clientData/>
  </xdr:twoCellAnchor>
  <xdr:twoCellAnchor editAs="oneCell">
    <xdr:from>
      <xdr:col>1</xdr:col>
      <xdr:colOff>200025</xdr:colOff>
      <xdr:row>6</xdr:row>
      <xdr:rowOff>78740</xdr:rowOff>
    </xdr:from>
    <xdr:to>
      <xdr:col>1</xdr:col>
      <xdr:colOff>1864995</xdr:colOff>
      <xdr:row>7</xdr:row>
      <xdr:rowOff>15875</xdr:rowOff>
    </xdr:to>
    <xdr:pic>
      <xdr:nvPicPr>
        <xdr:cNvPr id="6" name="图片 5"/>
        <xdr:cNvPicPr>
          <a:picLocks noChangeAspect="1"/>
        </xdr:cNvPicPr>
      </xdr:nvPicPr>
      <xdr:blipFill>
        <a:blip r:embed="rId5"/>
        <a:stretch>
          <a:fillRect/>
        </a:stretch>
      </xdr:blipFill>
      <xdr:spPr>
        <a:xfrm>
          <a:off x="560070" y="4178300"/>
          <a:ext cx="1664970" cy="673735"/>
        </a:xfrm>
        <a:prstGeom prst="rect">
          <a:avLst/>
        </a:prstGeom>
        <a:noFill/>
        <a:ln w="9525">
          <a:noFill/>
        </a:ln>
      </xdr:spPr>
    </xdr:pic>
    <xdr:clientData/>
  </xdr:twoCellAnchor>
  <xdr:twoCellAnchor editAs="oneCell">
    <xdr:from>
      <xdr:col>1</xdr:col>
      <xdr:colOff>180975</xdr:colOff>
      <xdr:row>7</xdr:row>
      <xdr:rowOff>71755</xdr:rowOff>
    </xdr:from>
    <xdr:to>
      <xdr:col>1</xdr:col>
      <xdr:colOff>2243455</xdr:colOff>
      <xdr:row>7</xdr:row>
      <xdr:rowOff>866775</xdr:rowOff>
    </xdr:to>
    <xdr:pic>
      <xdr:nvPicPr>
        <xdr:cNvPr id="7" name="图片 6"/>
        <xdr:cNvPicPr>
          <a:picLocks noChangeAspect="1"/>
        </xdr:cNvPicPr>
      </xdr:nvPicPr>
      <xdr:blipFill>
        <a:blip r:embed="rId6"/>
        <a:stretch>
          <a:fillRect/>
        </a:stretch>
      </xdr:blipFill>
      <xdr:spPr>
        <a:xfrm>
          <a:off x="541020" y="4907915"/>
          <a:ext cx="2062480" cy="795020"/>
        </a:xfrm>
        <a:prstGeom prst="rect">
          <a:avLst/>
        </a:prstGeom>
        <a:noFill/>
        <a:ln w="9525">
          <a:noFill/>
        </a:ln>
      </xdr:spPr>
    </xdr:pic>
    <xdr:clientData/>
  </xdr:twoCellAnchor>
  <xdr:twoCellAnchor editAs="oneCell">
    <xdr:from>
      <xdr:col>1</xdr:col>
      <xdr:colOff>180975</xdr:colOff>
      <xdr:row>10</xdr:row>
      <xdr:rowOff>46355</xdr:rowOff>
    </xdr:from>
    <xdr:to>
      <xdr:col>1</xdr:col>
      <xdr:colOff>1823720</xdr:colOff>
      <xdr:row>10</xdr:row>
      <xdr:rowOff>783590</xdr:rowOff>
    </xdr:to>
    <xdr:pic>
      <xdr:nvPicPr>
        <xdr:cNvPr id="8" name="图片 7"/>
        <xdr:cNvPicPr>
          <a:picLocks noChangeAspect="1"/>
        </xdr:cNvPicPr>
      </xdr:nvPicPr>
      <xdr:blipFill>
        <a:blip r:embed="rId7"/>
        <a:stretch>
          <a:fillRect/>
        </a:stretch>
      </xdr:blipFill>
      <xdr:spPr>
        <a:xfrm>
          <a:off x="541020" y="7778115"/>
          <a:ext cx="1642745" cy="737235"/>
        </a:xfrm>
        <a:prstGeom prst="rect">
          <a:avLst/>
        </a:prstGeom>
        <a:noFill/>
        <a:ln w="9525">
          <a:noFill/>
        </a:ln>
      </xdr:spPr>
    </xdr:pic>
    <xdr:clientData/>
  </xdr:twoCellAnchor>
  <xdr:twoCellAnchor editAs="oneCell">
    <xdr:from>
      <xdr:col>1</xdr:col>
      <xdr:colOff>200025</xdr:colOff>
      <xdr:row>11</xdr:row>
      <xdr:rowOff>40640</xdr:rowOff>
    </xdr:from>
    <xdr:to>
      <xdr:col>1</xdr:col>
      <xdr:colOff>2124710</xdr:colOff>
      <xdr:row>12</xdr:row>
      <xdr:rowOff>44450</xdr:rowOff>
    </xdr:to>
    <xdr:pic>
      <xdr:nvPicPr>
        <xdr:cNvPr id="9" name="图片 8"/>
        <xdr:cNvPicPr>
          <a:picLocks noChangeAspect="1"/>
        </xdr:cNvPicPr>
      </xdr:nvPicPr>
      <xdr:blipFill>
        <a:blip r:embed="rId8"/>
        <a:stretch>
          <a:fillRect/>
        </a:stretch>
      </xdr:blipFill>
      <xdr:spPr>
        <a:xfrm>
          <a:off x="560070" y="8597900"/>
          <a:ext cx="1924685" cy="867410"/>
        </a:xfrm>
        <a:prstGeom prst="rect">
          <a:avLst/>
        </a:prstGeom>
        <a:noFill/>
        <a:ln w="9525">
          <a:noFill/>
        </a:ln>
      </xdr:spPr>
    </xdr:pic>
    <xdr:clientData/>
  </xdr:twoCellAnchor>
  <xdr:twoCellAnchor editAs="oneCell">
    <xdr:from>
      <xdr:col>1</xdr:col>
      <xdr:colOff>276225</xdr:colOff>
      <xdr:row>12</xdr:row>
      <xdr:rowOff>111125</xdr:rowOff>
    </xdr:from>
    <xdr:to>
      <xdr:col>2</xdr:col>
      <xdr:colOff>0</xdr:colOff>
      <xdr:row>12</xdr:row>
      <xdr:rowOff>847725</xdr:rowOff>
    </xdr:to>
    <xdr:pic>
      <xdr:nvPicPr>
        <xdr:cNvPr id="10" name="图片 9"/>
        <xdr:cNvPicPr>
          <a:picLocks noChangeAspect="1"/>
        </xdr:cNvPicPr>
      </xdr:nvPicPr>
      <xdr:blipFill>
        <a:blip r:embed="rId9"/>
        <a:stretch>
          <a:fillRect/>
        </a:stretch>
      </xdr:blipFill>
      <xdr:spPr>
        <a:xfrm>
          <a:off x="636270" y="9531985"/>
          <a:ext cx="2270125" cy="736600"/>
        </a:xfrm>
        <a:prstGeom prst="rect">
          <a:avLst/>
        </a:prstGeom>
        <a:noFill/>
        <a:ln w="9525">
          <a:noFill/>
        </a:ln>
      </xdr:spPr>
    </xdr:pic>
    <xdr:clientData/>
  </xdr:twoCellAnchor>
  <xdr:twoCellAnchor editAs="oneCell">
    <xdr:from>
      <xdr:col>1</xdr:col>
      <xdr:colOff>180975</xdr:colOff>
      <xdr:row>13</xdr:row>
      <xdr:rowOff>149225</xdr:rowOff>
    </xdr:from>
    <xdr:to>
      <xdr:col>2</xdr:col>
      <xdr:colOff>0</xdr:colOff>
      <xdr:row>14</xdr:row>
      <xdr:rowOff>12700</xdr:rowOff>
    </xdr:to>
    <xdr:pic>
      <xdr:nvPicPr>
        <xdr:cNvPr id="11" name="图片 10"/>
        <xdr:cNvPicPr>
          <a:picLocks noChangeAspect="1"/>
        </xdr:cNvPicPr>
      </xdr:nvPicPr>
      <xdr:blipFill>
        <a:blip r:embed="rId10"/>
        <a:stretch>
          <a:fillRect/>
        </a:stretch>
      </xdr:blipFill>
      <xdr:spPr>
        <a:xfrm>
          <a:off x="541020" y="10484485"/>
          <a:ext cx="2365375" cy="688975"/>
        </a:xfrm>
        <a:prstGeom prst="rect">
          <a:avLst/>
        </a:prstGeom>
        <a:noFill/>
        <a:ln w="9525">
          <a:noFill/>
        </a:ln>
      </xdr:spPr>
    </xdr:pic>
    <xdr:clientData/>
  </xdr:twoCellAnchor>
  <xdr:twoCellAnchor editAs="oneCell">
    <xdr:from>
      <xdr:col>1</xdr:col>
      <xdr:colOff>247650</xdr:colOff>
      <xdr:row>8</xdr:row>
      <xdr:rowOff>53340</xdr:rowOff>
    </xdr:from>
    <xdr:to>
      <xdr:col>1</xdr:col>
      <xdr:colOff>1790700</xdr:colOff>
      <xdr:row>8</xdr:row>
      <xdr:rowOff>922020</xdr:rowOff>
    </xdr:to>
    <xdr:pic>
      <xdr:nvPicPr>
        <xdr:cNvPr id="12" name="图片 11"/>
        <xdr:cNvPicPr>
          <a:picLocks noChangeAspect="1"/>
        </xdr:cNvPicPr>
      </xdr:nvPicPr>
      <xdr:blipFill>
        <a:blip r:embed="rId11"/>
        <a:stretch>
          <a:fillRect/>
        </a:stretch>
      </xdr:blipFill>
      <xdr:spPr>
        <a:xfrm>
          <a:off x="607695" y="5854700"/>
          <a:ext cx="1543050" cy="868680"/>
        </a:xfrm>
        <a:prstGeom prst="rect">
          <a:avLst/>
        </a:prstGeom>
        <a:noFill/>
        <a:ln w="9525">
          <a:noFill/>
        </a:ln>
      </xdr:spPr>
    </xdr:pic>
    <xdr:clientData/>
  </xdr:twoCellAnchor>
  <xdr:twoCellAnchor editAs="oneCell">
    <xdr:from>
      <xdr:col>1</xdr:col>
      <xdr:colOff>142875</xdr:colOff>
      <xdr:row>9</xdr:row>
      <xdr:rowOff>40640</xdr:rowOff>
    </xdr:from>
    <xdr:to>
      <xdr:col>1</xdr:col>
      <xdr:colOff>1818005</xdr:colOff>
      <xdr:row>9</xdr:row>
      <xdr:rowOff>907415</xdr:rowOff>
    </xdr:to>
    <xdr:pic>
      <xdr:nvPicPr>
        <xdr:cNvPr id="13" name="图片 12"/>
        <xdr:cNvPicPr>
          <a:picLocks noChangeAspect="1"/>
        </xdr:cNvPicPr>
      </xdr:nvPicPr>
      <xdr:blipFill>
        <a:blip r:embed="rId12"/>
        <a:stretch>
          <a:fillRect/>
        </a:stretch>
      </xdr:blipFill>
      <xdr:spPr>
        <a:xfrm>
          <a:off x="502920" y="6807200"/>
          <a:ext cx="1675130" cy="866775"/>
        </a:xfrm>
        <a:prstGeom prst="rect">
          <a:avLst/>
        </a:prstGeom>
        <a:noFill/>
        <a:ln w="9525">
          <a:noFill/>
        </a:ln>
      </xdr:spPr>
    </xdr:pic>
    <xdr:clientData/>
  </xdr:twoCellAnchor>
  <xdr:twoCellAnchor editAs="oneCell">
    <xdr:from>
      <xdr:col>1</xdr:col>
      <xdr:colOff>85725</xdr:colOff>
      <xdr:row>14</xdr:row>
      <xdr:rowOff>73025</xdr:rowOff>
    </xdr:from>
    <xdr:to>
      <xdr:col>2</xdr:col>
      <xdr:colOff>0</xdr:colOff>
      <xdr:row>14</xdr:row>
      <xdr:rowOff>777875</xdr:rowOff>
    </xdr:to>
    <xdr:pic>
      <xdr:nvPicPr>
        <xdr:cNvPr id="14" name="图片 13"/>
        <xdr:cNvPicPr>
          <a:picLocks noChangeAspect="1"/>
        </xdr:cNvPicPr>
      </xdr:nvPicPr>
      <xdr:blipFill>
        <a:blip r:embed="rId13"/>
        <a:stretch>
          <a:fillRect/>
        </a:stretch>
      </xdr:blipFill>
      <xdr:spPr>
        <a:xfrm>
          <a:off x="445770" y="11233785"/>
          <a:ext cx="2460625" cy="704850"/>
        </a:xfrm>
        <a:prstGeom prst="rect">
          <a:avLst/>
        </a:prstGeom>
        <a:noFill/>
        <a:ln w="9525">
          <a:noFill/>
        </a:ln>
      </xdr:spPr>
    </xdr:pic>
    <xdr:clientData/>
  </xdr:twoCellAnchor>
  <xdr:twoCellAnchor editAs="oneCell">
    <xdr:from>
      <xdr:col>1</xdr:col>
      <xdr:colOff>419100</xdr:colOff>
      <xdr:row>17</xdr:row>
      <xdr:rowOff>0</xdr:rowOff>
    </xdr:from>
    <xdr:to>
      <xdr:col>1</xdr:col>
      <xdr:colOff>1467485</xdr:colOff>
      <xdr:row>18</xdr:row>
      <xdr:rowOff>3175</xdr:rowOff>
    </xdr:to>
    <xdr:pic>
      <xdr:nvPicPr>
        <xdr:cNvPr id="15" name="图片 14"/>
        <xdr:cNvPicPr>
          <a:picLocks noChangeAspect="1"/>
        </xdr:cNvPicPr>
      </xdr:nvPicPr>
      <xdr:blipFill>
        <a:blip r:embed="rId14"/>
        <a:stretch>
          <a:fillRect/>
        </a:stretch>
      </xdr:blipFill>
      <xdr:spPr>
        <a:xfrm>
          <a:off x="779145" y="13878560"/>
          <a:ext cx="1048385" cy="828675"/>
        </a:xfrm>
        <a:prstGeom prst="rect">
          <a:avLst/>
        </a:prstGeom>
        <a:noFill/>
        <a:ln w="9525">
          <a:noFill/>
        </a:ln>
      </xdr:spPr>
    </xdr:pic>
    <xdr:clientData/>
  </xdr:twoCellAnchor>
  <xdr:twoCellAnchor editAs="oneCell">
    <xdr:from>
      <xdr:col>1</xdr:col>
      <xdr:colOff>476250</xdr:colOff>
      <xdr:row>19</xdr:row>
      <xdr:rowOff>34290</xdr:rowOff>
    </xdr:from>
    <xdr:to>
      <xdr:col>1</xdr:col>
      <xdr:colOff>1702435</xdr:colOff>
      <xdr:row>20</xdr:row>
      <xdr:rowOff>33020</xdr:rowOff>
    </xdr:to>
    <xdr:pic>
      <xdr:nvPicPr>
        <xdr:cNvPr id="16" name="图片 15"/>
        <xdr:cNvPicPr>
          <a:picLocks noChangeAspect="1"/>
        </xdr:cNvPicPr>
      </xdr:nvPicPr>
      <xdr:blipFill>
        <a:blip r:embed="rId15"/>
        <a:stretch>
          <a:fillRect/>
        </a:stretch>
      </xdr:blipFill>
      <xdr:spPr>
        <a:xfrm>
          <a:off x="836295" y="15703550"/>
          <a:ext cx="1226185" cy="824230"/>
        </a:xfrm>
        <a:prstGeom prst="rect">
          <a:avLst/>
        </a:prstGeom>
        <a:noFill/>
        <a:ln w="9525">
          <a:noFill/>
        </a:ln>
      </xdr:spPr>
    </xdr:pic>
    <xdr:clientData/>
  </xdr:twoCellAnchor>
  <xdr:twoCellAnchor editAs="oneCell">
    <xdr:from>
      <xdr:col>1</xdr:col>
      <xdr:colOff>247650</xdr:colOff>
      <xdr:row>21</xdr:row>
      <xdr:rowOff>53975</xdr:rowOff>
    </xdr:from>
    <xdr:to>
      <xdr:col>1</xdr:col>
      <xdr:colOff>1622425</xdr:colOff>
      <xdr:row>21</xdr:row>
      <xdr:rowOff>823595</xdr:rowOff>
    </xdr:to>
    <xdr:pic>
      <xdr:nvPicPr>
        <xdr:cNvPr id="17" name="图片 16"/>
        <xdr:cNvPicPr>
          <a:picLocks noChangeAspect="1"/>
        </xdr:cNvPicPr>
      </xdr:nvPicPr>
      <xdr:blipFill>
        <a:blip r:embed="rId16"/>
        <a:stretch>
          <a:fillRect/>
        </a:stretch>
      </xdr:blipFill>
      <xdr:spPr>
        <a:xfrm>
          <a:off x="607695" y="17615535"/>
          <a:ext cx="1374775" cy="769620"/>
        </a:xfrm>
        <a:prstGeom prst="rect">
          <a:avLst/>
        </a:prstGeom>
        <a:noFill/>
        <a:ln w="9525">
          <a:noFill/>
        </a:ln>
      </xdr:spPr>
    </xdr:pic>
    <xdr:clientData/>
  </xdr:twoCellAnchor>
  <xdr:twoCellAnchor editAs="oneCell">
    <xdr:from>
      <xdr:col>1</xdr:col>
      <xdr:colOff>657225</xdr:colOff>
      <xdr:row>27</xdr:row>
      <xdr:rowOff>63500</xdr:rowOff>
    </xdr:from>
    <xdr:to>
      <xdr:col>1</xdr:col>
      <xdr:colOff>1355090</xdr:colOff>
      <xdr:row>27</xdr:row>
      <xdr:rowOff>821690</xdr:rowOff>
    </xdr:to>
    <xdr:pic>
      <xdr:nvPicPr>
        <xdr:cNvPr id="18" name="图片 17"/>
        <xdr:cNvPicPr>
          <a:picLocks noChangeAspect="1"/>
        </xdr:cNvPicPr>
      </xdr:nvPicPr>
      <xdr:blipFill>
        <a:blip r:embed="rId17"/>
        <a:stretch>
          <a:fillRect/>
        </a:stretch>
      </xdr:blipFill>
      <xdr:spPr>
        <a:xfrm>
          <a:off x="1017270" y="22578060"/>
          <a:ext cx="697865" cy="758190"/>
        </a:xfrm>
        <a:prstGeom prst="rect">
          <a:avLst/>
        </a:prstGeom>
        <a:noFill/>
        <a:ln w="9525">
          <a:noFill/>
        </a:ln>
      </xdr:spPr>
    </xdr:pic>
    <xdr:clientData/>
  </xdr:twoCellAnchor>
  <xdr:twoCellAnchor editAs="oneCell">
    <xdr:from>
      <xdr:col>1</xdr:col>
      <xdr:colOff>266700</xdr:colOff>
      <xdr:row>29</xdr:row>
      <xdr:rowOff>53975</xdr:rowOff>
    </xdr:from>
    <xdr:to>
      <xdr:col>1</xdr:col>
      <xdr:colOff>2016125</xdr:colOff>
      <xdr:row>29</xdr:row>
      <xdr:rowOff>869950</xdr:rowOff>
    </xdr:to>
    <xdr:pic>
      <xdr:nvPicPr>
        <xdr:cNvPr id="19" name="图片 18"/>
        <xdr:cNvPicPr>
          <a:picLocks noChangeAspect="1"/>
        </xdr:cNvPicPr>
      </xdr:nvPicPr>
      <xdr:blipFill>
        <a:blip r:embed="rId18"/>
        <a:stretch>
          <a:fillRect/>
        </a:stretch>
      </xdr:blipFill>
      <xdr:spPr>
        <a:xfrm>
          <a:off x="626745" y="24333835"/>
          <a:ext cx="1749425" cy="815975"/>
        </a:xfrm>
        <a:prstGeom prst="rect">
          <a:avLst/>
        </a:prstGeom>
        <a:noFill/>
        <a:ln w="9525">
          <a:noFill/>
        </a:ln>
      </xdr:spPr>
    </xdr:pic>
    <xdr:clientData/>
  </xdr:twoCellAnchor>
  <xdr:twoCellAnchor editAs="oneCell">
    <xdr:from>
      <xdr:col>1</xdr:col>
      <xdr:colOff>247650</xdr:colOff>
      <xdr:row>30</xdr:row>
      <xdr:rowOff>67945</xdr:rowOff>
    </xdr:from>
    <xdr:to>
      <xdr:col>1</xdr:col>
      <xdr:colOff>2220595</xdr:colOff>
      <xdr:row>30</xdr:row>
      <xdr:rowOff>1057275</xdr:rowOff>
    </xdr:to>
    <xdr:pic>
      <xdr:nvPicPr>
        <xdr:cNvPr id="20" name="图片 19"/>
        <xdr:cNvPicPr>
          <a:picLocks noChangeAspect="1"/>
        </xdr:cNvPicPr>
      </xdr:nvPicPr>
      <xdr:blipFill>
        <a:blip r:embed="rId19"/>
        <a:stretch>
          <a:fillRect/>
        </a:stretch>
      </xdr:blipFill>
      <xdr:spPr>
        <a:xfrm>
          <a:off x="607695" y="25287605"/>
          <a:ext cx="1972945" cy="989330"/>
        </a:xfrm>
        <a:prstGeom prst="rect">
          <a:avLst/>
        </a:prstGeom>
        <a:noFill/>
        <a:ln w="9525">
          <a:noFill/>
        </a:ln>
      </xdr:spPr>
    </xdr:pic>
    <xdr:clientData/>
  </xdr:twoCellAnchor>
  <xdr:twoCellAnchor editAs="oneCell">
    <xdr:from>
      <xdr:col>1</xdr:col>
      <xdr:colOff>514350</xdr:colOff>
      <xdr:row>31</xdr:row>
      <xdr:rowOff>40640</xdr:rowOff>
    </xdr:from>
    <xdr:to>
      <xdr:col>1</xdr:col>
      <xdr:colOff>1908175</xdr:colOff>
      <xdr:row>31</xdr:row>
      <xdr:rowOff>1088390</xdr:rowOff>
    </xdr:to>
    <xdr:pic>
      <xdr:nvPicPr>
        <xdr:cNvPr id="21" name="图片 20"/>
        <xdr:cNvPicPr>
          <a:picLocks noChangeAspect="1"/>
        </xdr:cNvPicPr>
      </xdr:nvPicPr>
      <xdr:blipFill>
        <a:blip r:embed="rId20"/>
        <a:stretch>
          <a:fillRect/>
        </a:stretch>
      </xdr:blipFill>
      <xdr:spPr>
        <a:xfrm>
          <a:off x="874395" y="26365200"/>
          <a:ext cx="1393825" cy="1047750"/>
        </a:xfrm>
        <a:prstGeom prst="rect">
          <a:avLst/>
        </a:prstGeom>
        <a:noFill/>
        <a:ln w="9525">
          <a:noFill/>
        </a:ln>
      </xdr:spPr>
    </xdr:pic>
    <xdr:clientData/>
  </xdr:twoCellAnchor>
  <xdr:twoCellAnchor editAs="oneCell">
    <xdr:from>
      <xdr:col>1</xdr:col>
      <xdr:colOff>323850</xdr:colOff>
      <xdr:row>32</xdr:row>
      <xdr:rowOff>194310</xdr:rowOff>
    </xdr:from>
    <xdr:to>
      <xdr:col>1</xdr:col>
      <xdr:colOff>2267585</xdr:colOff>
      <xdr:row>32</xdr:row>
      <xdr:rowOff>730250</xdr:rowOff>
    </xdr:to>
    <xdr:pic>
      <xdr:nvPicPr>
        <xdr:cNvPr id="22" name="图片 21"/>
        <xdr:cNvPicPr>
          <a:picLocks noChangeAspect="1"/>
        </xdr:cNvPicPr>
      </xdr:nvPicPr>
      <xdr:blipFill>
        <a:blip r:embed="rId21"/>
        <a:stretch>
          <a:fillRect/>
        </a:stretch>
      </xdr:blipFill>
      <xdr:spPr>
        <a:xfrm>
          <a:off x="683895" y="27661870"/>
          <a:ext cx="1943735" cy="535940"/>
        </a:xfrm>
        <a:prstGeom prst="rect">
          <a:avLst/>
        </a:prstGeom>
        <a:noFill/>
        <a:ln w="9525">
          <a:noFill/>
        </a:ln>
      </xdr:spPr>
    </xdr:pic>
    <xdr:clientData/>
  </xdr:twoCellAnchor>
  <xdr:twoCellAnchor editAs="oneCell">
    <xdr:from>
      <xdr:col>1</xdr:col>
      <xdr:colOff>438150</xdr:colOff>
      <xdr:row>23</xdr:row>
      <xdr:rowOff>15240</xdr:rowOff>
    </xdr:from>
    <xdr:to>
      <xdr:col>1</xdr:col>
      <xdr:colOff>1437005</xdr:colOff>
      <xdr:row>23</xdr:row>
      <xdr:rowOff>811530</xdr:rowOff>
    </xdr:to>
    <xdr:pic>
      <xdr:nvPicPr>
        <xdr:cNvPr id="23" name="图片 22"/>
        <xdr:cNvPicPr>
          <a:picLocks noChangeAspect="1"/>
        </xdr:cNvPicPr>
      </xdr:nvPicPr>
      <xdr:blipFill>
        <a:blip r:embed="rId22"/>
        <a:stretch>
          <a:fillRect/>
        </a:stretch>
      </xdr:blipFill>
      <xdr:spPr>
        <a:xfrm>
          <a:off x="798195" y="19227800"/>
          <a:ext cx="998855" cy="796290"/>
        </a:xfrm>
        <a:prstGeom prst="rect">
          <a:avLst/>
        </a:prstGeom>
        <a:noFill/>
        <a:ln w="9525">
          <a:noFill/>
        </a:ln>
      </xdr:spPr>
    </xdr:pic>
    <xdr:clientData/>
  </xdr:twoCellAnchor>
  <xdr:twoCellAnchor editAs="oneCell">
    <xdr:from>
      <xdr:col>1</xdr:col>
      <xdr:colOff>466725</xdr:colOff>
      <xdr:row>25</xdr:row>
      <xdr:rowOff>49530</xdr:rowOff>
    </xdr:from>
    <xdr:to>
      <xdr:col>1</xdr:col>
      <xdr:colOff>1449070</xdr:colOff>
      <xdr:row>25</xdr:row>
      <xdr:rowOff>815975</xdr:rowOff>
    </xdr:to>
    <xdr:pic>
      <xdr:nvPicPr>
        <xdr:cNvPr id="24" name="图片 23"/>
        <xdr:cNvPicPr>
          <a:picLocks noChangeAspect="1"/>
        </xdr:cNvPicPr>
      </xdr:nvPicPr>
      <xdr:blipFill>
        <a:blip r:embed="rId23"/>
        <a:stretch>
          <a:fillRect/>
        </a:stretch>
      </xdr:blipFill>
      <xdr:spPr>
        <a:xfrm>
          <a:off x="826770" y="20913090"/>
          <a:ext cx="982345" cy="766445"/>
        </a:xfrm>
        <a:prstGeom prst="rect">
          <a:avLst/>
        </a:prstGeom>
        <a:noFill/>
        <a:ln w="9525">
          <a:noFill/>
        </a:ln>
      </xdr:spPr>
    </xdr:pic>
    <xdr:clientData/>
  </xdr:twoCellAnchor>
  <xdr:twoCellAnchor editAs="oneCell">
    <xdr:from>
      <xdr:col>1</xdr:col>
      <xdr:colOff>238125</xdr:colOff>
      <xdr:row>33</xdr:row>
      <xdr:rowOff>90170</xdr:rowOff>
    </xdr:from>
    <xdr:to>
      <xdr:col>1</xdr:col>
      <xdr:colOff>2503170</xdr:colOff>
      <xdr:row>33</xdr:row>
      <xdr:rowOff>717550</xdr:rowOff>
    </xdr:to>
    <xdr:pic>
      <xdr:nvPicPr>
        <xdr:cNvPr id="25" name="图片 24"/>
        <xdr:cNvPicPr>
          <a:picLocks noChangeAspect="1"/>
        </xdr:cNvPicPr>
      </xdr:nvPicPr>
      <xdr:blipFill>
        <a:blip r:embed="rId24"/>
        <a:stretch>
          <a:fillRect/>
        </a:stretch>
      </xdr:blipFill>
      <xdr:spPr>
        <a:xfrm>
          <a:off x="598170" y="28383230"/>
          <a:ext cx="2265045" cy="627380"/>
        </a:xfrm>
        <a:prstGeom prst="rect">
          <a:avLst/>
        </a:prstGeom>
        <a:noFill/>
        <a:ln w="9525">
          <a:noFill/>
        </a:ln>
      </xdr:spPr>
    </xdr:pic>
    <xdr:clientData/>
  </xdr:twoCellAnchor>
  <xdr:twoCellAnchor editAs="oneCell">
    <xdr:from>
      <xdr:col>1</xdr:col>
      <xdr:colOff>190500</xdr:colOff>
      <xdr:row>34</xdr:row>
      <xdr:rowOff>130175</xdr:rowOff>
    </xdr:from>
    <xdr:to>
      <xdr:col>2</xdr:col>
      <xdr:colOff>0</xdr:colOff>
      <xdr:row>34</xdr:row>
      <xdr:rowOff>879475</xdr:rowOff>
    </xdr:to>
    <xdr:pic>
      <xdr:nvPicPr>
        <xdr:cNvPr id="26" name="图片 25"/>
        <xdr:cNvPicPr>
          <a:picLocks noChangeAspect="1"/>
        </xdr:cNvPicPr>
      </xdr:nvPicPr>
      <xdr:blipFill>
        <a:blip r:embed="rId25"/>
        <a:stretch>
          <a:fillRect/>
        </a:stretch>
      </xdr:blipFill>
      <xdr:spPr>
        <a:xfrm>
          <a:off x="550545" y="29248735"/>
          <a:ext cx="2355850" cy="749300"/>
        </a:xfrm>
        <a:prstGeom prst="rect">
          <a:avLst/>
        </a:prstGeom>
        <a:noFill/>
        <a:ln w="9525">
          <a:noFill/>
        </a:ln>
      </xdr:spPr>
    </xdr:pic>
    <xdr:clientData/>
  </xdr:twoCellAnchor>
  <xdr:twoCellAnchor editAs="oneCell">
    <xdr:from>
      <xdr:col>1</xdr:col>
      <xdr:colOff>161925</xdr:colOff>
      <xdr:row>35</xdr:row>
      <xdr:rowOff>173990</xdr:rowOff>
    </xdr:from>
    <xdr:to>
      <xdr:col>2</xdr:col>
      <xdr:colOff>0</xdr:colOff>
      <xdr:row>35</xdr:row>
      <xdr:rowOff>946150</xdr:rowOff>
    </xdr:to>
    <xdr:pic>
      <xdr:nvPicPr>
        <xdr:cNvPr id="27" name="图片 26"/>
        <xdr:cNvPicPr>
          <a:picLocks noChangeAspect="1"/>
        </xdr:cNvPicPr>
      </xdr:nvPicPr>
      <xdr:blipFill>
        <a:blip r:embed="rId26"/>
        <a:stretch>
          <a:fillRect/>
        </a:stretch>
      </xdr:blipFill>
      <xdr:spPr>
        <a:xfrm>
          <a:off x="521970" y="30410150"/>
          <a:ext cx="2384425" cy="772160"/>
        </a:xfrm>
        <a:prstGeom prst="rect">
          <a:avLst/>
        </a:prstGeom>
        <a:noFill/>
        <a:ln w="9525">
          <a:noFill/>
        </a:ln>
      </xdr:spPr>
    </xdr:pic>
    <xdr:clientData/>
  </xdr:twoCellAnchor>
  <xdr:twoCellAnchor editAs="oneCell">
    <xdr:from>
      <xdr:col>1</xdr:col>
      <xdr:colOff>0</xdr:colOff>
      <xdr:row>15</xdr:row>
      <xdr:rowOff>77470</xdr:rowOff>
    </xdr:from>
    <xdr:to>
      <xdr:col>2</xdr:col>
      <xdr:colOff>0</xdr:colOff>
      <xdr:row>15</xdr:row>
      <xdr:rowOff>822960</xdr:rowOff>
    </xdr:to>
    <xdr:pic>
      <xdr:nvPicPr>
        <xdr:cNvPr id="28" name="图片 27"/>
        <xdr:cNvPicPr>
          <a:picLocks noChangeAspect="1"/>
        </xdr:cNvPicPr>
      </xdr:nvPicPr>
      <xdr:blipFill>
        <a:blip r:embed="rId27"/>
        <a:stretch>
          <a:fillRect/>
        </a:stretch>
      </xdr:blipFill>
      <xdr:spPr>
        <a:xfrm>
          <a:off x="360045" y="12063730"/>
          <a:ext cx="2546350" cy="745490"/>
        </a:xfrm>
        <a:prstGeom prst="rect">
          <a:avLst/>
        </a:prstGeom>
        <a:noFill/>
        <a:ln w="9525">
          <a:noFill/>
        </a:ln>
      </xdr:spPr>
    </xdr:pic>
    <xdr:clientData/>
  </xdr:twoCellAnchor>
  <xdr:twoCellAnchor editAs="oneCell">
    <xdr:from>
      <xdr:col>1</xdr:col>
      <xdr:colOff>647700</xdr:colOff>
      <xdr:row>16</xdr:row>
      <xdr:rowOff>114300</xdr:rowOff>
    </xdr:from>
    <xdr:to>
      <xdr:col>1</xdr:col>
      <xdr:colOff>1791335</xdr:colOff>
      <xdr:row>16</xdr:row>
      <xdr:rowOff>1004570</xdr:rowOff>
    </xdr:to>
    <xdr:pic>
      <xdr:nvPicPr>
        <xdr:cNvPr id="29" name="图片 28"/>
        <xdr:cNvPicPr>
          <a:picLocks noChangeAspect="1"/>
        </xdr:cNvPicPr>
      </xdr:nvPicPr>
      <xdr:blipFill>
        <a:blip r:embed="rId28"/>
        <a:stretch>
          <a:fillRect/>
        </a:stretch>
      </xdr:blipFill>
      <xdr:spPr>
        <a:xfrm>
          <a:off x="1007745" y="12926060"/>
          <a:ext cx="1143635" cy="890270"/>
        </a:xfrm>
        <a:prstGeom prst="rect">
          <a:avLst/>
        </a:prstGeom>
        <a:noFill/>
        <a:ln w="9525">
          <a:noFill/>
        </a:ln>
      </xdr:spPr>
    </xdr:pic>
    <xdr:clientData/>
  </xdr:twoCellAnchor>
  <xdr:twoCellAnchor editAs="oneCell">
    <xdr:from>
      <xdr:col>1</xdr:col>
      <xdr:colOff>618490</xdr:colOff>
      <xdr:row>18</xdr:row>
      <xdr:rowOff>57150</xdr:rowOff>
    </xdr:from>
    <xdr:to>
      <xdr:col>1</xdr:col>
      <xdr:colOff>1560830</xdr:colOff>
      <xdr:row>18</xdr:row>
      <xdr:rowOff>835025</xdr:rowOff>
    </xdr:to>
    <xdr:pic>
      <xdr:nvPicPr>
        <xdr:cNvPr id="30" name="图片 29"/>
        <xdr:cNvPicPr>
          <a:picLocks noChangeAspect="1"/>
        </xdr:cNvPicPr>
      </xdr:nvPicPr>
      <xdr:blipFill>
        <a:blip r:embed="rId29"/>
        <a:stretch>
          <a:fillRect/>
        </a:stretch>
      </xdr:blipFill>
      <xdr:spPr>
        <a:xfrm>
          <a:off x="978535" y="14761210"/>
          <a:ext cx="942340" cy="777875"/>
        </a:xfrm>
        <a:prstGeom prst="rect">
          <a:avLst/>
        </a:prstGeom>
        <a:noFill/>
        <a:ln w="9525">
          <a:noFill/>
        </a:ln>
      </xdr:spPr>
    </xdr:pic>
    <xdr:clientData/>
  </xdr:twoCellAnchor>
  <xdr:twoCellAnchor editAs="oneCell">
    <xdr:from>
      <xdr:col>1</xdr:col>
      <xdr:colOff>342265</xdr:colOff>
      <xdr:row>20</xdr:row>
      <xdr:rowOff>75565</xdr:rowOff>
    </xdr:from>
    <xdr:to>
      <xdr:col>1</xdr:col>
      <xdr:colOff>1809750</xdr:colOff>
      <xdr:row>21</xdr:row>
      <xdr:rowOff>19685</xdr:rowOff>
    </xdr:to>
    <xdr:pic>
      <xdr:nvPicPr>
        <xdr:cNvPr id="31" name="图片 30"/>
        <xdr:cNvPicPr>
          <a:picLocks noChangeAspect="1"/>
        </xdr:cNvPicPr>
      </xdr:nvPicPr>
      <xdr:blipFill>
        <a:blip r:embed="rId30"/>
        <a:stretch>
          <a:fillRect/>
        </a:stretch>
      </xdr:blipFill>
      <xdr:spPr>
        <a:xfrm>
          <a:off x="702310" y="16570325"/>
          <a:ext cx="1467485" cy="1010920"/>
        </a:xfrm>
        <a:prstGeom prst="rect">
          <a:avLst/>
        </a:prstGeom>
        <a:noFill/>
        <a:ln w="9525">
          <a:noFill/>
        </a:ln>
      </xdr:spPr>
    </xdr:pic>
    <xdr:clientData/>
  </xdr:twoCellAnchor>
  <xdr:twoCellAnchor editAs="oneCell">
    <xdr:from>
      <xdr:col>1</xdr:col>
      <xdr:colOff>257175</xdr:colOff>
      <xdr:row>22</xdr:row>
      <xdr:rowOff>92075</xdr:rowOff>
    </xdr:from>
    <xdr:to>
      <xdr:col>1</xdr:col>
      <xdr:colOff>1348105</xdr:colOff>
      <xdr:row>22</xdr:row>
      <xdr:rowOff>728980</xdr:rowOff>
    </xdr:to>
    <xdr:pic>
      <xdr:nvPicPr>
        <xdr:cNvPr id="32" name="图片 31"/>
        <xdr:cNvPicPr>
          <a:picLocks noChangeAspect="1"/>
        </xdr:cNvPicPr>
      </xdr:nvPicPr>
      <xdr:blipFill>
        <a:blip r:embed="rId31"/>
        <a:stretch>
          <a:fillRect/>
        </a:stretch>
      </xdr:blipFill>
      <xdr:spPr>
        <a:xfrm>
          <a:off x="617220" y="18479135"/>
          <a:ext cx="1090930" cy="636905"/>
        </a:xfrm>
        <a:prstGeom prst="rect">
          <a:avLst/>
        </a:prstGeom>
        <a:noFill/>
        <a:ln w="9525">
          <a:noFill/>
        </a:ln>
      </xdr:spPr>
    </xdr:pic>
    <xdr:clientData/>
  </xdr:twoCellAnchor>
  <xdr:twoCellAnchor editAs="oneCell">
    <xdr:from>
      <xdr:col>1</xdr:col>
      <xdr:colOff>657225</xdr:colOff>
      <xdr:row>28</xdr:row>
      <xdr:rowOff>52070</xdr:rowOff>
    </xdr:from>
    <xdr:to>
      <xdr:col>1</xdr:col>
      <xdr:colOff>1445260</xdr:colOff>
      <xdr:row>28</xdr:row>
      <xdr:rowOff>929005</xdr:rowOff>
    </xdr:to>
    <xdr:pic>
      <xdr:nvPicPr>
        <xdr:cNvPr id="33" name="图片 32"/>
        <xdr:cNvPicPr>
          <a:picLocks noChangeAspect="1"/>
        </xdr:cNvPicPr>
      </xdr:nvPicPr>
      <xdr:blipFill>
        <a:blip r:embed="rId32"/>
        <a:stretch>
          <a:fillRect/>
        </a:stretch>
      </xdr:blipFill>
      <xdr:spPr>
        <a:xfrm>
          <a:off x="1017270" y="23392130"/>
          <a:ext cx="788035" cy="876935"/>
        </a:xfrm>
        <a:prstGeom prst="rect">
          <a:avLst/>
        </a:prstGeom>
        <a:noFill/>
        <a:ln w="9525">
          <a:noFill/>
        </a:ln>
      </xdr:spPr>
    </xdr:pic>
    <xdr:clientData/>
  </xdr:twoCellAnchor>
  <xdr:twoCellAnchor editAs="oneCell">
    <xdr:from>
      <xdr:col>1</xdr:col>
      <xdr:colOff>447675</xdr:colOff>
      <xdr:row>24</xdr:row>
      <xdr:rowOff>72390</xdr:rowOff>
    </xdr:from>
    <xdr:to>
      <xdr:col>1</xdr:col>
      <xdr:colOff>1294765</xdr:colOff>
      <xdr:row>24</xdr:row>
      <xdr:rowOff>813435</xdr:rowOff>
    </xdr:to>
    <xdr:pic>
      <xdr:nvPicPr>
        <xdr:cNvPr id="34" name="图片 33"/>
        <xdr:cNvPicPr>
          <a:picLocks noChangeAspect="1"/>
        </xdr:cNvPicPr>
      </xdr:nvPicPr>
      <xdr:blipFill>
        <a:blip r:embed="rId33"/>
        <a:stretch>
          <a:fillRect/>
        </a:stretch>
      </xdr:blipFill>
      <xdr:spPr>
        <a:xfrm>
          <a:off x="807720" y="20110450"/>
          <a:ext cx="847090" cy="741045"/>
        </a:xfrm>
        <a:prstGeom prst="rect">
          <a:avLst/>
        </a:prstGeom>
        <a:noFill/>
        <a:ln w="9525">
          <a:noFill/>
        </a:ln>
      </xdr:spPr>
    </xdr:pic>
    <xdr:clientData/>
  </xdr:twoCellAnchor>
  <xdr:twoCellAnchor editAs="oneCell">
    <xdr:from>
      <xdr:col>1</xdr:col>
      <xdr:colOff>476250</xdr:colOff>
      <xdr:row>26</xdr:row>
      <xdr:rowOff>97155</xdr:rowOff>
    </xdr:from>
    <xdr:to>
      <xdr:col>1</xdr:col>
      <xdr:colOff>1438910</xdr:colOff>
      <xdr:row>26</xdr:row>
      <xdr:rowOff>815975</xdr:rowOff>
    </xdr:to>
    <xdr:pic>
      <xdr:nvPicPr>
        <xdr:cNvPr id="35" name="图片 34"/>
        <xdr:cNvPicPr>
          <a:picLocks noChangeAspect="1"/>
        </xdr:cNvPicPr>
      </xdr:nvPicPr>
      <xdr:blipFill>
        <a:blip r:embed="rId34"/>
        <a:stretch>
          <a:fillRect/>
        </a:stretch>
      </xdr:blipFill>
      <xdr:spPr>
        <a:xfrm>
          <a:off x="836295" y="21786215"/>
          <a:ext cx="962660" cy="718820"/>
        </a:xfrm>
        <a:prstGeom prst="rect">
          <a:avLst/>
        </a:prstGeom>
        <a:noFill/>
        <a:ln w="9525">
          <a:noFill/>
        </a:ln>
      </xdr:spPr>
    </xdr:pic>
    <xdr:clientData/>
  </xdr:twoCellAnchor>
  <xdr:twoCellAnchor editAs="oneCell">
    <xdr:from>
      <xdr:col>1</xdr:col>
      <xdr:colOff>238125</xdr:colOff>
      <xdr:row>36</xdr:row>
      <xdr:rowOff>69850</xdr:rowOff>
    </xdr:from>
    <xdr:to>
      <xdr:col>1</xdr:col>
      <xdr:colOff>2223770</xdr:colOff>
      <xdr:row>36</xdr:row>
      <xdr:rowOff>1104265</xdr:rowOff>
    </xdr:to>
    <xdr:pic>
      <xdr:nvPicPr>
        <xdr:cNvPr id="36" name="图片 35"/>
        <xdr:cNvPicPr>
          <a:picLocks noChangeAspect="1"/>
        </xdr:cNvPicPr>
      </xdr:nvPicPr>
      <xdr:blipFill>
        <a:blip r:embed="rId35"/>
        <a:stretch>
          <a:fillRect/>
        </a:stretch>
      </xdr:blipFill>
      <xdr:spPr>
        <a:xfrm>
          <a:off x="598170" y="31423610"/>
          <a:ext cx="1985645" cy="1034415"/>
        </a:xfrm>
        <a:prstGeom prst="rect">
          <a:avLst/>
        </a:prstGeom>
        <a:noFill/>
        <a:ln w="9525">
          <a:noFill/>
        </a:ln>
      </xdr:spPr>
    </xdr:pic>
    <xdr:clientData/>
  </xdr:twoCellAnchor>
  <xdr:twoCellAnchor editAs="oneCell">
    <xdr:from>
      <xdr:col>1</xdr:col>
      <xdr:colOff>323850</xdr:colOff>
      <xdr:row>37</xdr:row>
      <xdr:rowOff>111125</xdr:rowOff>
    </xdr:from>
    <xdr:to>
      <xdr:col>1</xdr:col>
      <xdr:colOff>2026285</xdr:colOff>
      <xdr:row>37</xdr:row>
      <xdr:rowOff>1069975</xdr:rowOff>
    </xdr:to>
    <xdr:pic>
      <xdr:nvPicPr>
        <xdr:cNvPr id="37" name="图片 36"/>
        <xdr:cNvPicPr>
          <a:picLocks noChangeAspect="1"/>
        </xdr:cNvPicPr>
      </xdr:nvPicPr>
      <xdr:blipFill>
        <a:blip r:embed="rId36"/>
        <a:stretch>
          <a:fillRect/>
        </a:stretch>
      </xdr:blipFill>
      <xdr:spPr>
        <a:xfrm>
          <a:off x="683895" y="32582485"/>
          <a:ext cx="1702435" cy="958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5991;&#20214;\4.&#20010;&#20154;&#24037;&#20316;\3.&#25237;&#26631;&#24037;&#20316;\2025\2.&#24320;&#20803;&#22825;&#22869;&#39033;&#30446;\5.&#25104;&#26412;&#26680;&#31639;\2.&#20108;&#27425;&#25253;&#20215;2025.4.7\1.&#35810;&#26631;&#32426;&#35201;\02&#12289;&#38543;&#39318;&#27425;&#32422;&#35848;&#12298;&#20215;&#26684;&#28165;&#21333;&#65288;&#27931;&#38451;&#24066;&#27931;&#40857;&#21306;&#24320;&#20803;&#22777;&#21495;&#183;&#22825;&#36920;&#38109;&#21512;&#37329;&#38376;&#31383;&#12289;&#24149;&#22681;&#21046;&#20316;&#21450;&#23433;&#35013;&#24037;&#31243;&#65289;&#12299;2025033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12289;&#38543;&#31572;&#30097;20250321&#12298;&#20215;&#26684;&#28165;&#21333;&#65288;&#22825;&#36920;&#39033;&#30446;&#26639;&#26438;&#30334;&#21494;&#21046;&#20316;&#21450;&#23433;&#35013;&#24037;&#31243;&#65289;&#122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价说明"/>
      <sheetName val="汇总表"/>
      <sheetName val="01门窗工程量清单清单"/>
      <sheetName val="02幕墙价格清单"/>
      <sheetName val="03门窗综合单价分析表"/>
      <sheetName val="04幕墙综合单价分析表"/>
      <sheetName val="05工程量计算底稿"/>
      <sheetName val="主要材料品牌单价"/>
      <sheetName val="五金配置表"/>
      <sheetName val="玻璃调整表"/>
    </sheetNames>
    <sheetDataSet>
      <sheetData sheetId="0"/>
      <sheetData sheetId="1"/>
      <sheetData sheetId="2">
        <row r="4">
          <cell r="E4">
            <v>5.12</v>
          </cell>
        </row>
        <row r="5">
          <cell r="E5">
            <v>13.44</v>
          </cell>
        </row>
        <row r="6">
          <cell r="E6">
            <v>4.48</v>
          </cell>
        </row>
        <row r="7">
          <cell r="E7">
            <v>4.64</v>
          </cell>
        </row>
        <row r="8">
          <cell r="E8">
            <v>64</v>
          </cell>
        </row>
        <row r="9">
          <cell r="E9">
            <v>14.56</v>
          </cell>
        </row>
        <row r="10">
          <cell r="E10">
            <v>6</v>
          </cell>
        </row>
        <row r="16">
          <cell r="E16">
            <v>196.8</v>
          </cell>
        </row>
        <row r="17">
          <cell r="E17">
            <v>567.72</v>
          </cell>
        </row>
        <row r="18">
          <cell r="E18">
            <v>247.95</v>
          </cell>
        </row>
        <row r="19">
          <cell r="E19">
            <v>230.85</v>
          </cell>
        </row>
        <row r="20">
          <cell r="E20">
            <v>23.24</v>
          </cell>
        </row>
        <row r="21">
          <cell r="E21">
            <v>9.45</v>
          </cell>
        </row>
        <row r="22">
          <cell r="E22">
            <v>10.15</v>
          </cell>
        </row>
        <row r="23">
          <cell r="E23">
            <v>20.01</v>
          </cell>
        </row>
        <row r="24">
          <cell r="E24">
            <v>19.32</v>
          </cell>
        </row>
        <row r="25">
          <cell r="E25">
            <v>247.25</v>
          </cell>
        </row>
        <row r="26">
          <cell r="E26">
            <v>28.75</v>
          </cell>
        </row>
        <row r="27">
          <cell r="E27">
            <v>28.8</v>
          </cell>
        </row>
        <row r="28">
          <cell r="E28">
            <v>14.4</v>
          </cell>
        </row>
        <row r="29">
          <cell r="E29">
            <v>12.8</v>
          </cell>
        </row>
        <row r="30">
          <cell r="E30">
            <v>4.4</v>
          </cell>
        </row>
        <row r="31">
          <cell r="E31">
            <v>10.4</v>
          </cell>
        </row>
        <row r="32">
          <cell r="E32">
            <v>4</v>
          </cell>
        </row>
        <row r="33">
          <cell r="E33">
            <v>15</v>
          </cell>
        </row>
        <row r="34">
          <cell r="E34">
            <v>28.8</v>
          </cell>
        </row>
        <row r="35">
          <cell r="E35">
            <v>0</v>
          </cell>
        </row>
        <row r="51">
          <cell r="E51">
            <v>257.52</v>
          </cell>
        </row>
        <row r="52">
          <cell r="E52">
            <v>104.4</v>
          </cell>
        </row>
        <row r="53">
          <cell r="E53">
            <v>121.8</v>
          </cell>
        </row>
        <row r="54">
          <cell r="E54">
            <v>19.2</v>
          </cell>
        </row>
        <row r="55">
          <cell r="E55">
            <v>64</v>
          </cell>
        </row>
        <row r="56">
          <cell r="E56">
            <v>3.6</v>
          </cell>
        </row>
      </sheetData>
      <sheetData sheetId="3"/>
      <sheetData sheetId="4"/>
      <sheetData sheetId="5"/>
      <sheetData sheetId="6">
        <row r="58">
          <cell r="P58">
            <v>535.86</v>
          </cell>
        </row>
      </sheetData>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01、价格清单"/>
      <sheetName val="04、栏杆工程量计算书"/>
      <sheetName val="05、百叶工程量计算书"/>
    </sheetNames>
    <sheetDataSet>
      <sheetData sheetId="0"/>
      <sheetData sheetId="1">
        <row r="3">
          <cell r="O3">
            <v>14.4</v>
          </cell>
        </row>
        <row r="4">
          <cell r="O4">
            <v>16.8</v>
          </cell>
        </row>
        <row r="5">
          <cell r="O5">
            <v>13.5</v>
          </cell>
        </row>
        <row r="6">
          <cell r="O6">
            <v>22.02</v>
          </cell>
        </row>
        <row r="7">
          <cell r="O7">
            <v>10.8</v>
          </cell>
        </row>
        <row r="8">
          <cell r="O8">
            <v>21.6</v>
          </cell>
        </row>
        <row r="9">
          <cell r="O9">
            <v>21.6</v>
          </cell>
        </row>
        <row r="10">
          <cell r="O10">
            <v>21.6</v>
          </cell>
        </row>
        <row r="11">
          <cell r="O11">
            <v>8.7</v>
          </cell>
        </row>
        <row r="12">
          <cell r="O12">
            <v>8.4</v>
          </cell>
        </row>
        <row r="13">
          <cell r="O13">
            <v>120</v>
          </cell>
        </row>
        <row r="14">
          <cell r="O14">
            <v>10.8</v>
          </cell>
        </row>
        <row r="15">
          <cell r="O15">
            <v>520.6</v>
          </cell>
        </row>
        <row r="16">
          <cell r="O16">
            <v>27.4</v>
          </cell>
        </row>
        <row r="17">
          <cell r="O17">
            <v>7.2</v>
          </cell>
        </row>
        <row r="18">
          <cell r="O18">
            <v>101.84</v>
          </cell>
        </row>
        <row r="19">
          <cell r="O19">
            <v>5.36</v>
          </cell>
        </row>
        <row r="20">
          <cell r="O20">
            <v>76</v>
          </cell>
        </row>
        <row r="21">
          <cell r="O21">
            <v>4</v>
          </cell>
        </row>
        <row r="22">
          <cell r="O22">
            <v>95</v>
          </cell>
        </row>
        <row r="23">
          <cell r="O23">
            <v>5</v>
          </cell>
        </row>
        <row r="24">
          <cell r="O24">
            <v>54</v>
          </cell>
        </row>
        <row r="25">
          <cell r="O25">
            <v>3</v>
          </cell>
        </row>
        <row r="26">
          <cell r="O26">
            <v>28.8</v>
          </cell>
        </row>
        <row r="27">
          <cell r="O27">
            <v>3.2</v>
          </cell>
        </row>
        <row r="28">
          <cell r="O28">
            <v>38</v>
          </cell>
        </row>
        <row r="29">
          <cell r="O29">
            <v>2</v>
          </cell>
        </row>
        <row r="30">
          <cell r="O30">
            <v>114</v>
          </cell>
        </row>
        <row r="31">
          <cell r="O31">
            <v>128</v>
          </cell>
        </row>
        <row r="32">
          <cell r="O32">
            <v>58</v>
          </cell>
        </row>
        <row r="33">
          <cell r="O33">
            <v>5.8</v>
          </cell>
        </row>
        <row r="34">
          <cell r="O34">
            <v>5.4</v>
          </cell>
        </row>
        <row r="35">
          <cell r="O35">
            <v>104.4</v>
          </cell>
        </row>
        <row r="36">
          <cell r="O36">
            <v>97.2</v>
          </cell>
        </row>
        <row r="37">
          <cell r="O37">
            <v>5.8</v>
          </cell>
        </row>
        <row r="38">
          <cell r="O38">
            <v>5.4</v>
          </cell>
        </row>
      </sheetData>
      <sheetData sheetId="2">
        <row r="3">
          <cell r="H3">
            <v>3.36</v>
          </cell>
        </row>
        <row r="4">
          <cell r="H4">
            <v>8.96</v>
          </cell>
        </row>
        <row r="5">
          <cell r="H5">
            <v>3.556</v>
          </cell>
        </row>
        <row r="6">
          <cell r="H6">
            <v>18.3</v>
          </cell>
        </row>
        <row r="7">
          <cell r="H7">
            <v>40.48</v>
          </cell>
        </row>
        <row r="8">
          <cell r="H8">
            <v>51.52</v>
          </cell>
        </row>
        <row r="9">
          <cell r="H9">
            <v>7.37</v>
          </cell>
        </row>
        <row r="10">
          <cell r="H10">
            <v>97.02</v>
          </cell>
        </row>
        <row r="11">
          <cell r="H11">
            <v>162</v>
          </cell>
        </row>
        <row r="12">
          <cell r="H12">
            <v>184.275</v>
          </cell>
        </row>
        <row r="13">
          <cell r="H13">
            <v>3.675</v>
          </cell>
        </row>
        <row r="14">
          <cell r="H14">
            <v>144</v>
          </cell>
        </row>
        <row r="15">
          <cell r="H15">
            <v>6.72</v>
          </cell>
        </row>
        <row r="16">
          <cell r="H16">
            <v>16.56</v>
          </cell>
        </row>
        <row r="17">
          <cell r="H17">
            <v>12.88</v>
          </cell>
        </row>
        <row r="18">
          <cell r="H18">
            <v>11.96</v>
          </cell>
        </row>
        <row r="19">
          <cell r="H19">
            <v>47.3</v>
          </cell>
        </row>
        <row r="20">
          <cell r="H20">
            <v>14.7</v>
          </cell>
        </row>
        <row r="21">
          <cell r="H21">
            <v>359.1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view="pageBreakPreview" zoomScaleNormal="100" workbookViewId="0">
      <selection activeCell="B7" sqref="B7"/>
    </sheetView>
  </sheetViews>
  <sheetFormatPr defaultColWidth="9" defaultRowHeight="24.95" customHeight="1" outlineLevelCol="1"/>
  <cols>
    <col min="1" max="1" width="9" style="19"/>
    <col min="2" max="2" width="91.8796296296296" style="19" customWidth="1"/>
    <col min="3" max="16384" width="9" style="19"/>
  </cols>
  <sheetData>
    <row r="1" s="19" customFormat="1" customHeight="1" spans="1:2">
      <c r="A1" s="177" t="s">
        <v>0</v>
      </c>
      <c r="B1" s="177"/>
    </row>
    <row r="2" s="19" customFormat="1" customHeight="1" spans="1:2">
      <c r="A2" s="178" t="s">
        <v>1</v>
      </c>
      <c r="B2" s="179" t="s">
        <v>2</v>
      </c>
    </row>
    <row r="3" s="19" customFormat="1" ht="40" customHeight="1" spans="1:2">
      <c r="A3" s="180">
        <v>1.1</v>
      </c>
      <c r="B3" s="181" t="s">
        <v>3</v>
      </c>
    </row>
    <row r="4" s="19" customFormat="1" customHeight="1" spans="1:2">
      <c r="A4" s="180">
        <v>1.2</v>
      </c>
      <c r="B4" s="181" t="s">
        <v>4</v>
      </c>
    </row>
    <row r="5" s="19" customFormat="1" customHeight="1" spans="1:2">
      <c r="A5" s="180">
        <v>1.3</v>
      </c>
      <c r="B5" s="182" t="s">
        <v>5</v>
      </c>
    </row>
    <row r="6" s="19" customFormat="1" customHeight="1" spans="1:2">
      <c r="A6" s="178" t="s">
        <v>6</v>
      </c>
      <c r="B6" s="179" t="s">
        <v>7</v>
      </c>
    </row>
    <row r="7" s="19" customFormat="1" ht="45" customHeight="1" spans="1:2">
      <c r="A7" s="183">
        <v>2.1</v>
      </c>
      <c r="B7" s="181" t="s">
        <v>8</v>
      </c>
    </row>
    <row r="8" s="19" customFormat="1" ht="45" customHeight="1" spans="1:2">
      <c r="A8" s="183">
        <v>2.2</v>
      </c>
      <c r="B8" s="181" t="s">
        <v>9</v>
      </c>
    </row>
    <row r="9" s="19" customFormat="1" ht="72" customHeight="1" spans="1:2">
      <c r="A9" s="183">
        <v>2.3</v>
      </c>
      <c r="B9" s="184" t="s">
        <v>10</v>
      </c>
    </row>
    <row r="10" s="19" customFormat="1" ht="63" customHeight="1" spans="1:2">
      <c r="A10" s="183">
        <v>2.4</v>
      </c>
      <c r="B10" s="184" t="s">
        <v>11</v>
      </c>
    </row>
    <row r="11" s="19" customFormat="1" ht="45" customHeight="1" spans="1:2">
      <c r="A11" s="183">
        <v>2.5</v>
      </c>
      <c r="B11" s="184" t="s">
        <v>12</v>
      </c>
    </row>
    <row r="12" s="19" customFormat="1" ht="42" customHeight="1" spans="1:2">
      <c r="A12" s="183">
        <v>2.6</v>
      </c>
      <c r="B12" s="184" t="s">
        <v>13</v>
      </c>
    </row>
    <row r="13" s="19" customFormat="1" ht="54" customHeight="1" spans="1:2">
      <c r="A13" s="183">
        <v>2.7</v>
      </c>
      <c r="B13" s="185" t="s">
        <v>14</v>
      </c>
    </row>
    <row r="14" s="19" customFormat="1" ht="30" customHeight="1" spans="1:2">
      <c r="A14" s="183">
        <v>2.8</v>
      </c>
      <c r="B14" s="186" t="s">
        <v>15</v>
      </c>
    </row>
    <row r="15" s="19" customFormat="1" ht="32.1" customHeight="1" spans="1:2">
      <c r="A15" s="183">
        <v>2.9</v>
      </c>
      <c r="B15" s="184" t="s">
        <v>16</v>
      </c>
    </row>
    <row r="16" s="19" customFormat="1" ht="24" customHeight="1" spans="1:2">
      <c r="A16" s="178" t="s">
        <v>17</v>
      </c>
      <c r="B16" s="179" t="s">
        <v>18</v>
      </c>
    </row>
    <row r="17" s="19" customFormat="1" ht="282" customHeight="1" spans="1:2">
      <c r="A17" s="1">
        <v>3.1</v>
      </c>
      <c r="B17" s="187" t="s">
        <v>19</v>
      </c>
    </row>
    <row r="18" s="19" customFormat="1" ht="32.1" customHeight="1" spans="1:2">
      <c r="A18" s="183">
        <v>3.2</v>
      </c>
      <c r="B18" s="181" t="s">
        <v>20</v>
      </c>
    </row>
    <row r="19" s="19" customFormat="1" ht="29.1" customHeight="1" spans="1:2">
      <c r="A19" s="183">
        <v>3.3</v>
      </c>
      <c r="B19" s="188" t="s">
        <v>21</v>
      </c>
    </row>
    <row r="20" s="19" customFormat="1" customHeight="1" spans="1:1">
      <c r="A20" s="189"/>
    </row>
  </sheetData>
  <mergeCells count="1">
    <mergeCell ref="A1:B1"/>
  </mergeCells>
  <printOptions horizontalCentered="1"/>
  <pageMargins left="0.357638888888889" right="0.357638888888889" top="0.409027777777778" bottom="0.409027777777778" header="0.5" footer="0.5"/>
  <pageSetup paperSize="9" scale="90" orientation="portrait" horizontalDpi="6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R18" sqref="R18"/>
    </sheetView>
  </sheetViews>
  <sheetFormatPr defaultColWidth="9" defaultRowHeight="13.8"/>
  <cols>
    <col min="1" max="1" width="5" style="1" customWidth="1"/>
    <col min="2" max="2" width="9" style="1"/>
    <col min="3" max="3" width="14.75" style="1" customWidth="1"/>
    <col min="4" max="4" width="13.3333333333333" style="1" customWidth="1"/>
    <col min="5" max="5" width="10" style="1" customWidth="1"/>
    <col min="6" max="6" width="9" style="1"/>
    <col min="7" max="7" width="9.44444444444444" style="1"/>
    <col min="8" max="8" width="14.6296296296296" style="3" customWidth="1"/>
    <col min="9" max="9" width="32.4444444444444" style="4" customWidth="1"/>
    <col min="10" max="10" width="9" style="1" hidden="1" customWidth="1"/>
    <col min="11" max="11" width="22.3796296296296" style="1" hidden="1" customWidth="1"/>
    <col min="12" max="12" width="11.1296296296296" style="1" hidden="1" customWidth="1"/>
    <col min="13" max="13" width="12.8888888888889" style="1" hidden="1" customWidth="1"/>
    <col min="14" max="15" width="11.1296296296296" style="1" hidden="1" customWidth="1"/>
    <col min="16" max="16384" width="9" style="1"/>
  </cols>
  <sheetData>
    <row r="1" s="1" customFormat="1" ht="36" customHeight="1" spans="1:9">
      <c r="A1" s="1" t="s">
        <v>516</v>
      </c>
      <c r="H1" s="3"/>
      <c r="I1" s="4"/>
    </row>
    <row r="2" s="1" customFormat="1" ht="28" customHeight="1" spans="1:9">
      <c r="A2" s="5" t="s">
        <v>23</v>
      </c>
      <c r="B2" s="5" t="s">
        <v>517</v>
      </c>
      <c r="C2" s="5" t="s">
        <v>411</v>
      </c>
      <c r="D2" s="5" t="s">
        <v>518</v>
      </c>
      <c r="E2" s="5" t="s">
        <v>519</v>
      </c>
      <c r="F2" s="5" t="s">
        <v>520</v>
      </c>
      <c r="G2" s="5" t="s">
        <v>521</v>
      </c>
      <c r="H2" s="6" t="s">
        <v>522</v>
      </c>
      <c r="I2" s="9" t="s">
        <v>29</v>
      </c>
    </row>
    <row r="3" s="2" customFormat="1" ht="22" customHeight="1" spans="1:11">
      <c r="A3" s="7">
        <v>1</v>
      </c>
      <c r="B3" s="7" t="s">
        <v>523</v>
      </c>
      <c r="C3" s="7" t="s">
        <v>524</v>
      </c>
      <c r="D3" s="7">
        <v>1.05</v>
      </c>
      <c r="E3" s="7">
        <v>1.6</v>
      </c>
      <c r="F3" s="7">
        <v>2</v>
      </c>
      <c r="G3" s="7">
        <v>1</v>
      </c>
      <c r="H3" s="8">
        <f t="shared" ref="H3:H21" si="0">D3*E3*F3*G3</f>
        <v>3.36</v>
      </c>
      <c r="I3" s="10" t="s">
        <v>525</v>
      </c>
      <c r="J3" s="2" t="s">
        <v>526</v>
      </c>
      <c r="K3" s="11"/>
    </row>
    <row r="4" s="2" customFormat="1" ht="22" customHeight="1" spans="1:11">
      <c r="A4" s="7">
        <v>2</v>
      </c>
      <c r="B4" s="7" t="s">
        <v>523</v>
      </c>
      <c r="C4" s="7" t="s">
        <v>527</v>
      </c>
      <c r="D4" s="7">
        <v>2.8</v>
      </c>
      <c r="E4" s="7">
        <v>1.6</v>
      </c>
      <c r="F4" s="7">
        <v>2</v>
      </c>
      <c r="G4" s="7">
        <v>1</v>
      </c>
      <c r="H4" s="8">
        <f t="shared" si="0"/>
        <v>8.96</v>
      </c>
      <c r="I4" s="10" t="s">
        <v>525</v>
      </c>
      <c r="J4" s="2" t="s">
        <v>526</v>
      </c>
      <c r="K4" s="11"/>
    </row>
    <row r="5" s="2" customFormat="1" ht="22" customHeight="1" spans="1:11">
      <c r="A5" s="7">
        <v>3</v>
      </c>
      <c r="B5" s="7" t="s">
        <v>523</v>
      </c>
      <c r="C5" s="7" t="s">
        <v>528</v>
      </c>
      <c r="D5" s="7">
        <v>1.4</v>
      </c>
      <c r="E5" s="7">
        <v>1.27</v>
      </c>
      <c r="F5" s="7">
        <v>2</v>
      </c>
      <c r="G5" s="7">
        <v>1</v>
      </c>
      <c r="H5" s="8">
        <f t="shared" si="0"/>
        <v>3.556</v>
      </c>
      <c r="I5" s="10" t="s">
        <v>525</v>
      </c>
      <c r="J5" s="2" t="s">
        <v>526</v>
      </c>
      <c r="K5" s="11"/>
    </row>
    <row r="6" s="2" customFormat="1" ht="22" customHeight="1" spans="1:10">
      <c r="A6" s="7">
        <v>4</v>
      </c>
      <c r="B6" s="7" t="s">
        <v>523</v>
      </c>
      <c r="C6" s="7" t="s">
        <v>529</v>
      </c>
      <c r="D6" s="7">
        <v>1.5</v>
      </c>
      <c r="E6" s="7">
        <v>3.05</v>
      </c>
      <c r="F6" s="7">
        <v>4</v>
      </c>
      <c r="G6" s="7">
        <v>1</v>
      </c>
      <c r="H6" s="8">
        <f t="shared" si="0"/>
        <v>18.3</v>
      </c>
      <c r="I6" s="10" t="s">
        <v>525</v>
      </c>
      <c r="J6" s="2" t="s">
        <v>526</v>
      </c>
    </row>
    <row r="7" s="2" customFormat="1" ht="22" customHeight="1" spans="1:9">
      <c r="A7" s="7">
        <v>5</v>
      </c>
      <c r="B7" s="7" t="s">
        <v>523</v>
      </c>
      <c r="C7" s="7" t="s">
        <v>530</v>
      </c>
      <c r="D7" s="7">
        <v>1.1</v>
      </c>
      <c r="E7" s="7">
        <v>2.3</v>
      </c>
      <c r="F7" s="7">
        <v>16</v>
      </c>
      <c r="G7" s="7">
        <v>1</v>
      </c>
      <c r="H7" s="8">
        <f t="shared" si="0"/>
        <v>40.48</v>
      </c>
      <c r="I7" s="10" t="s">
        <v>531</v>
      </c>
    </row>
    <row r="8" s="2" customFormat="1" ht="22" customHeight="1" spans="1:9">
      <c r="A8" s="7">
        <v>6</v>
      </c>
      <c r="B8" s="7" t="s">
        <v>523</v>
      </c>
      <c r="C8" s="7" t="s">
        <v>532</v>
      </c>
      <c r="D8" s="7">
        <v>1.4</v>
      </c>
      <c r="E8" s="7">
        <v>2.3</v>
      </c>
      <c r="F8" s="7">
        <v>16</v>
      </c>
      <c r="G8" s="7">
        <v>1</v>
      </c>
      <c r="H8" s="8">
        <f t="shared" si="0"/>
        <v>51.52</v>
      </c>
      <c r="I8" s="10" t="s">
        <v>531</v>
      </c>
    </row>
    <row r="9" s="2" customFormat="1" ht="22" customHeight="1" spans="1:9">
      <c r="A9" s="7">
        <v>7</v>
      </c>
      <c r="B9" s="7" t="s">
        <v>523</v>
      </c>
      <c r="C9" s="7" t="s">
        <v>533</v>
      </c>
      <c r="D9" s="7">
        <v>1.1</v>
      </c>
      <c r="E9" s="7">
        <v>6.7</v>
      </c>
      <c r="F9" s="7">
        <v>1</v>
      </c>
      <c r="G9" s="7">
        <v>1</v>
      </c>
      <c r="H9" s="8">
        <f t="shared" si="0"/>
        <v>7.37</v>
      </c>
      <c r="I9" s="10" t="s">
        <v>531</v>
      </c>
    </row>
    <row r="10" s="2" customFormat="1" ht="22" customHeight="1" spans="1:9">
      <c r="A10" s="7"/>
      <c r="B10" s="7" t="s">
        <v>523</v>
      </c>
      <c r="C10" s="7" t="s">
        <v>534</v>
      </c>
      <c r="D10" s="7">
        <v>1.4</v>
      </c>
      <c r="E10" s="7">
        <v>9.9</v>
      </c>
      <c r="F10" s="7">
        <v>7</v>
      </c>
      <c r="G10" s="7">
        <v>1</v>
      </c>
      <c r="H10" s="8">
        <f t="shared" si="0"/>
        <v>97.02</v>
      </c>
      <c r="I10" s="10" t="s">
        <v>531</v>
      </c>
    </row>
    <row r="11" s="2" customFormat="1" ht="22" customHeight="1" spans="1:9">
      <c r="A11" s="7"/>
      <c r="B11" s="7" t="s">
        <v>523</v>
      </c>
      <c r="C11" s="7" t="s">
        <v>535</v>
      </c>
      <c r="D11" s="7">
        <v>1.8</v>
      </c>
      <c r="E11" s="7">
        <v>2.25</v>
      </c>
      <c r="F11" s="7">
        <v>40</v>
      </c>
      <c r="G11" s="7">
        <v>1</v>
      </c>
      <c r="H11" s="8">
        <f t="shared" si="0"/>
        <v>162</v>
      </c>
      <c r="I11" s="10" t="s">
        <v>531</v>
      </c>
    </row>
    <row r="12" s="2" customFormat="1" ht="22" customHeight="1" spans="1:9">
      <c r="A12" s="7"/>
      <c r="B12" s="7" t="s">
        <v>523</v>
      </c>
      <c r="C12" s="7" t="s">
        <v>536</v>
      </c>
      <c r="D12" s="7">
        <v>1.05</v>
      </c>
      <c r="E12" s="7">
        <v>2.25</v>
      </c>
      <c r="F12" s="7">
        <v>78</v>
      </c>
      <c r="G12" s="7">
        <v>1</v>
      </c>
      <c r="H12" s="8">
        <f t="shared" si="0"/>
        <v>184.275</v>
      </c>
      <c r="I12" s="10" t="s">
        <v>531</v>
      </c>
    </row>
    <row r="13" s="2" customFormat="1" ht="22" customHeight="1" spans="1:9">
      <c r="A13" s="7"/>
      <c r="B13" s="7" t="s">
        <v>523</v>
      </c>
      <c r="C13" s="7" t="s">
        <v>537</v>
      </c>
      <c r="D13" s="7">
        <v>1.05</v>
      </c>
      <c r="E13" s="7">
        <v>1.75</v>
      </c>
      <c r="F13" s="7">
        <v>2</v>
      </c>
      <c r="G13" s="7">
        <v>1</v>
      </c>
      <c r="H13" s="8">
        <f t="shared" si="0"/>
        <v>3.675</v>
      </c>
      <c r="I13" s="10" t="s">
        <v>531</v>
      </c>
    </row>
    <row r="14" s="2" customFormat="1" ht="22" customHeight="1" spans="1:9">
      <c r="A14" s="7"/>
      <c r="B14" s="7" t="s">
        <v>523</v>
      </c>
      <c r="C14" s="7" t="s">
        <v>538</v>
      </c>
      <c r="D14" s="7">
        <v>1.6</v>
      </c>
      <c r="E14" s="7">
        <v>2.25</v>
      </c>
      <c r="F14" s="7">
        <v>40</v>
      </c>
      <c r="G14" s="7">
        <v>1</v>
      </c>
      <c r="H14" s="8">
        <f t="shared" si="0"/>
        <v>144</v>
      </c>
      <c r="I14" s="10" t="s">
        <v>531</v>
      </c>
    </row>
    <row r="15" s="2" customFormat="1" ht="22" customHeight="1" spans="1:9">
      <c r="A15" s="7"/>
      <c r="B15" s="7" t="s">
        <v>523</v>
      </c>
      <c r="C15" s="7" t="s">
        <v>539</v>
      </c>
      <c r="D15" s="7">
        <v>1.4</v>
      </c>
      <c r="E15" s="7">
        <v>1.6</v>
      </c>
      <c r="F15" s="7">
        <v>3</v>
      </c>
      <c r="G15" s="7">
        <v>1</v>
      </c>
      <c r="H15" s="8">
        <f t="shared" si="0"/>
        <v>6.72</v>
      </c>
      <c r="I15" s="10" t="s">
        <v>531</v>
      </c>
    </row>
    <row r="16" s="2" customFormat="1" ht="22" customHeight="1" spans="1:9">
      <c r="A16" s="7"/>
      <c r="B16" s="7" t="s">
        <v>523</v>
      </c>
      <c r="C16" s="7" t="s">
        <v>540</v>
      </c>
      <c r="D16" s="7">
        <v>1.8</v>
      </c>
      <c r="E16" s="7">
        <v>2.3</v>
      </c>
      <c r="F16" s="7">
        <v>4</v>
      </c>
      <c r="G16" s="7">
        <v>1</v>
      </c>
      <c r="H16" s="8">
        <f t="shared" si="0"/>
        <v>16.56</v>
      </c>
      <c r="I16" s="10" t="s">
        <v>541</v>
      </c>
    </row>
    <row r="17" s="2" customFormat="1" ht="22" customHeight="1" spans="1:9">
      <c r="A17" s="7"/>
      <c r="B17" s="7" t="s">
        <v>523</v>
      </c>
      <c r="C17" s="7" t="s">
        <v>542</v>
      </c>
      <c r="D17" s="7">
        <v>1.4</v>
      </c>
      <c r="E17" s="7">
        <v>2.3</v>
      </c>
      <c r="F17" s="7">
        <v>4</v>
      </c>
      <c r="G17" s="7">
        <v>1</v>
      </c>
      <c r="H17" s="8">
        <f t="shared" si="0"/>
        <v>12.88</v>
      </c>
      <c r="I17" s="10" t="s">
        <v>541</v>
      </c>
    </row>
    <row r="18" s="2" customFormat="1" ht="22" customHeight="1" spans="1:9">
      <c r="A18" s="7">
        <v>8</v>
      </c>
      <c r="B18" s="7" t="s">
        <v>523</v>
      </c>
      <c r="C18" s="7" t="s">
        <v>543</v>
      </c>
      <c r="D18" s="7">
        <v>1.3</v>
      </c>
      <c r="E18" s="7">
        <v>2.3</v>
      </c>
      <c r="F18" s="7">
        <v>4</v>
      </c>
      <c r="G18" s="7">
        <v>1</v>
      </c>
      <c r="H18" s="8">
        <f t="shared" si="0"/>
        <v>11.96</v>
      </c>
      <c r="I18" s="10" t="s">
        <v>541</v>
      </c>
    </row>
    <row r="19" s="2" customFormat="1" ht="22" customHeight="1" spans="1:9">
      <c r="A19" s="7">
        <v>9</v>
      </c>
      <c r="B19" s="7" t="s">
        <v>523</v>
      </c>
      <c r="C19" s="7" t="s">
        <v>544</v>
      </c>
      <c r="D19" s="7">
        <v>1.1</v>
      </c>
      <c r="E19" s="7">
        <v>10.75</v>
      </c>
      <c r="F19" s="7">
        <v>4</v>
      </c>
      <c r="G19" s="7">
        <v>1</v>
      </c>
      <c r="H19" s="8">
        <f t="shared" si="0"/>
        <v>47.3</v>
      </c>
      <c r="I19" s="10" t="s">
        <v>541</v>
      </c>
    </row>
    <row r="20" s="2" customFormat="1" ht="22" customHeight="1" spans="1:9">
      <c r="A20" s="7">
        <v>10</v>
      </c>
      <c r="B20" s="7" t="s">
        <v>523</v>
      </c>
      <c r="C20" s="7" t="s">
        <v>545</v>
      </c>
      <c r="D20" s="7">
        <v>1.4</v>
      </c>
      <c r="E20" s="7">
        <v>1.75</v>
      </c>
      <c r="F20" s="7">
        <v>6</v>
      </c>
      <c r="G20" s="7">
        <v>1</v>
      </c>
      <c r="H20" s="8">
        <f t="shared" si="0"/>
        <v>14.7</v>
      </c>
      <c r="I20" s="10" t="s">
        <v>541</v>
      </c>
    </row>
    <row r="21" s="2" customFormat="1" ht="22" customHeight="1" spans="1:9">
      <c r="A21" s="7">
        <v>11</v>
      </c>
      <c r="B21" s="7" t="s">
        <v>523</v>
      </c>
      <c r="C21" s="7" t="s">
        <v>546</v>
      </c>
      <c r="D21" s="7">
        <v>1.4</v>
      </c>
      <c r="E21" s="7">
        <v>2.25</v>
      </c>
      <c r="F21" s="7">
        <v>114</v>
      </c>
      <c r="G21" s="7">
        <v>1</v>
      </c>
      <c r="H21" s="8">
        <f t="shared" si="0"/>
        <v>359.1</v>
      </c>
      <c r="I21" s="10" t="s">
        <v>541</v>
      </c>
    </row>
    <row r="22" s="1" customFormat="1" ht="27" customHeight="1" spans="1:9">
      <c r="A22" s="7">
        <v>78</v>
      </c>
      <c r="B22" s="5" t="s">
        <v>61</v>
      </c>
      <c r="C22" s="5"/>
      <c r="D22" s="5"/>
      <c r="E22" s="5"/>
      <c r="F22" s="5"/>
      <c r="G22" s="5"/>
      <c r="H22" s="6">
        <f>SUM(H3:H21)</f>
        <v>1193.736</v>
      </c>
      <c r="I22" s="9"/>
    </row>
  </sheetData>
  <mergeCells count="1">
    <mergeCell ref="A1:I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view="pageBreakPreview" zoomScaleNormal="80" topLeftCell="A17" workbookViewId="0">
      <selection activeCell="E24" sqref="E24"/>
    </sheetView>
  </sheetViews>
  <sheetFormatPr defaultColWidth="9" defaultRowHeight="30" customHeight="1" outlineLevelCol="6"/>
  <cols>
    <col min="1" max="1" width="6.87962962962963" style="148" customWidth="1"/>
    <col min="2" max="2" width="12.1296296296296" style="147" customWidth="1"/>
    <col min="3" max="3" width="34.6666666666667" style="147" customWidth="1"/>
    <col min="4" max="4" width="12.75" style="149" customWidth="1"/>
    <col min="5" max="5" width="16.25" style="147" customWidth="1"/>
    <col min="6" max="6" width="19" style="147" customWidth="1"/>
    <col min="7" max="16384" width="9" style="147"/>
  </cols>
  <sheetData>
    <row r="1" s="147" customFormat="1" customHeight="1" spans="1:7">
      <c r="A1" s="150" t="s">
        <v>22</v>
      </c>
      <c r="B1" s="150"/>
      <c r="C1" s="150"/>
      <c r="D1" s="151"/>
      <c r="E1" s="150"/>
      <c r="F1" s="150"/>
      <c r="G1" s="150"/>
    </row>
    <row r="2" s="147" customFormat="1" customHeight="1" spans="1:7">
      <c r="A2" s="152" t="s">
        <v>23</v>
      </c>
      <c r="B2" s="152" t="s">
        <v>24</v>
      </c>
      <c r="C2" s="152" t="s">
        <v>25</v>
      </c>
      <c r="D2" s="153" t="s">
        <v>26</v>
      </c>
      <c r="E2" s="154" t="s">
        <v>27</v>
      </c>
      <c r="F2" s="154" t="s">
        <v>28</v>
      </c>
      <c r="G2" s="154" t="s">
        <v>29</v>
      </c>
    </row>
    <row r="3" s="147" customFormat="1" customHeight="1" spans="1:7">
      <c r="A3" s="155"/>
      <c r="B3" s="155"/>
      <c r="C3" s="155"/>
      <c r="D3" s="156" t="s">
        <v>30</v>
      </c>
      <c r="E3" s="157" t="s">
        <v>31</v>
      </c>
      <c r="F3" s="157" t="s">
        <v>32</v>
      </c>
      <c r="G3" s="154"/>
    </row>
    <row r="4" s="147" customFormat="1" customHeight="1" spans="1:7">
      <c r="A4" s="158" t="s">
        <v>1</v>
      </c>
      <c r="B4" s="158" t="s">
        <v>33</v>
      </c>
      <c r="C4" s="159"/>
      <c r="D4" s="160">
        <f>SUM(D5:D12)</f>
        <v>2938.71</v>
      </c>
      <c r="E4" s="160">
        <f>SUM(E5:E12)</f>
        <v>2678614.83917084</v>
      </c>
      <c r="F4" s="160">
        <f t="shared" ref="F4:F7" si="0">E4/D4</f>
        <v>911.493423703203</v>
      </c>
      <c r="G4" s="159"/>
    </row>
    <row r="5" s="147" customFormat="1" ht="38" customHeight="1" spans="1:7">
      <c r="A5" s="152">
        <v>1.1</v>
      </c>
      <c r="B5" s="161" t="s">
        <v>34</v>
      </c>
      <c r="C5" s="142" t="s">
        <v>35</v>
      </c>
      <c r="D5" s="153">
        <f>'[1]01门窗工程量清单清单'!E4+'[1]01门窗工程量清单清单'!E5+'[1]01门窗工程量清单清单'!E6+'[1]01门窗工程量清单清单'!E7+'[1]01门窗工程量清单清单'!E8+'[1]01门窗工程量清单清单'!E9</f>
        <v>106.24</v>
      </c>
      <c r="E5" s="153">
        <f>SUM('01门窗工程量清单清单'!J4:J9)</f>
        <v>47662.0347727042</v>
      </c>
      <c r="F5" s="153">
        <f t="shared" si="0"/>
        <v>448.626080315364</v>
      </c>
      <c r="G5" s="162"/>
    </row>
    <row r="6" s="147" customFormat="1" ht="38" customHeight="1" spans="1:7">
      <c r="A6" s="155"/>
      <c r="B6" s="163"/>
      <c r="C6" s="142" t="s">
        <v>36</v>
      </c>
      <c r="D6" s="153">
        <f>'[1]01门窗工程量清单清单'!E10</f>
        <v>6</v>
      </c>
      <c r="E6" s="153">
        <f>SUM('01门窗工程量清单清单'!J10)</f>
        <v>2711.04753514303</v>
      </c>
      <c r="F6" s="153">
        <f t="shared" ref="F6:F12" si="1">E6/D6</f>
        <v>451.841255857172</v>
      </c>
      <c r="G6" s="162"/>
    </row>
    <row r="7" s="147" customFormat="1" ht="41" customHeight="1" spans="1:7">
      <c r="A7" s="154">
        <v>1.2</v>
      </c>
      <c r="B7" s="164" t="s">
        <v>37</v>
      </c>
      <c r="C7" s="142" t="s">
        <v>38</v>
      </c>
      <c r="D7" s="153">
        <f>'[1]05工程量计算底稿'!P58</f>
        <v>535.86</v>
      </c>
      <c r="E7" s="153">
        <f>SUM('01门窗工程量清单清单'!J36:J50)</f>
        <v>519987.807287857</v>
      </c>
      <c r="F7" s="153">
        <f t="shared" si="1"/>
        <v>970.379963587237</v>
      </c>
      <c r="G7" s="154"/>
    </row>
    <row r="8" s="147" customFormat="1" ht="41" customHeight="1" spans="1:7">
      <c r="A8" s="154"/>
      <c r="B8" s="164"/>
      <c r="C8" s="142" t="s">
        <v>39</v>
      </c>
      <c r="D8" s="153">
        <f>'[1]01门窗工程量清单清单'!E23+'[1]01门窗工程量清单清单'!E24+'[1]01门窗工程量清单清单'!E29+'[1]01门窗工程量清单清单'!E30+'[1]01门窗工程量清单清单'!E31+'[1]01门窗工程量清单清单'!E32+'[1]01门窗工程量清单清单'!E33+'[1]01门窗工程量清单清单'!E34+'[1]01门窗工程量清单清单'!E35</f>
        <v>114.73</v>
      </c>
      <c r="E8" s="153">
        <f>SUM('01门窗工程量清单清单'!J23,'01门窗工程量清单清单'!J24,'01门窗工程量清单清单'!J29:J35)</f>
        <v>106159.671758807</v>
      </c>
      <c r="F8" s="153">
        <f t="shared" si="1"/>
        <v>925.300024046081</v>
      </c>
      <c r="G8" s="154"/>
    </row>
    <row r="9" s="147" customFormat="1" ht="55" customHeight="1" spans="1:7">
      <c r="A9" s="154"/>
      <c r="B9" s="164"/>
      <c r="C9" s="141" t="s">
        <v>40</v>
      </c>
      <c r="D9" s="153">
        <f>'[1]01门窗工程量清单清单'!E25+'[1]01门窗工程量清单清单'!E26+'[1]01门窗工程量清单清单'!E27+'[1]01门窗工程量清单清单'!E28</f>
        <v>319.2</v>
      </c>
      <c r="E9" s="153">
        <f>SUM('01门窗工程量清单清单'!J25:J28)</f>
        <v>284755.940875924</v>
      </c>
      <c r="F9" s="153">
        <f t="shared" si="1"/>
        <v>892.092546603771</v>
      </c>
      <c r="G9" s="154"/>
    </row>
    <row r="10" s="147" customFormat="1" ht="44" customHeight="1" spans="1:7">
      <c r="A10" s="154"/>
      <c r="B10" s="164"/>
      <c r="C10" s="142" t="s">
        <v>41</v>
      </c>
      <c r="D10" s="153">
        <f>'[1]01门窗工程量清单清单'!E16+'[1]01门窗工程量清单清单'!E17+'[1]01门窗工程量清单清单'!E18+'[1]01门窗工程量清单清单'!E19+'[1]01门窗工程量清单清单'!E20+'[1]01门窗工程量清单清单'!E21+'[1]01门窗工程量清单清单'!E22</f>
        <v>1286.16</v>
      </c>
      <c r="E10" s="153">
        <f>SUM('01门窗工程量清单清单'!J16:J22)</f>
        <v>1052838.87249172</v>
      </c>
      <c r="F10" s="153">
        <f t="shared" si="1"/>
        <v>818.590900425855</v>
      </c>
      <c r="G10" s="154"/>
    </row>
    <row r="11" s="147" customFormat="1" ht="48" customHeight="1" spans="1:7">
      <c r="A11" s="165">
        <v>1.3</v>
      </c>
      <c r="B11" s="154" t="s">
        <v>42</v>
      </c>
      <c r="C11" s="142" t="s">
        <v>43</v>
      </c>
      <c r="D11" s="153">
        <f>'[1]01门窗工程量清单清单'!E55+'[1]01门窗工程量清单清单'!E56</f>
        <v>67.6</v>
      </c>
      <c r="E11" s="153">
        <f>SUM('01门窗工程量清单清单'!J55:J56)</f>
        <v>100583.979445828</v>
      </c>
      <c r="F11" s="153">
        <f t="shared" si="1"/>
        <v>1487.92869002704</v>
      </c>
      <c r="G11" s="154"/>
    </row>
    <row r="12" s="147" customFormat="1" ht="51" customHeight="1" spans="1:7">
      <c r="A12" s="165">
        <v>1.4</v>
      </c>
      <c r="B12" s="154" t="s">
        <v>44</v>
      </c>
      <c r="C12" s="142" t="s">
        <v>45</v>
      </c>
      <c r="D12" s="28">
        <f>'[1]01门窗工程量清单清单'!E51+'[1]01门窗工程量清单清单'!E52+'[1]01门窗工程量清单清单'!E53+'[1]01门窗工程量清单清单'!E54</f>
        <v>502.92</v>
      </c>
      <c r="E12" s="28">
        <f>SUM('01门窗工程量清单清单'!J51:J54)</f>
        <v>563915.485002859</v>
      </c>
      <c r="F12" s="153">
        <f t="shared" si="1"/>
        <v>1121.28267915943</v>
      </c>
      <c r="G12" s="162"/>
    </row>
    <row r="13" s="147" customFormat="1" customHeight="1" spans="1:7">
      <c r="A13" s="166" t="s">
        <v>6</v>
      </c>
      <c r="B13" s="158" t="s">
        <v>46</v>
      </c>
      <c r="C13" s="167"/>
      <c r="D13" s="168">
        <f>SUM(D14:D17)</f>
        <v>1985.1024</v>
      </c>
      <c r="E13" s="168">
        <f>SUM(E14:E17)</f>
        <v>1214530.29848899</v>
      </c>
      <c r="F13" s="168">
        <f t="shared" ref="F10:F24" si="2">E13/D13</f>
        <v>611.822492627577</v>
      </c>
      <c r="G13" s="159"/>
    </row>
    <row r="14" s="147" customFormat="1" ht="62" customHeight="1" spans="1:7">
      <c r="A14" s="29">
        <v>2.1</v>
      </c>
      <c r="B14" s="29" t="s">
        <v>47</v>
      </c>
      <c r="C14" s="162" t="s">
        <v>48</v>
      </c>
      <c r="D14" s="153">
        <f>SUM('01门窗工程量清单清单'!E70:E78,'01门窗工程量清单清单'!E80:E83,'01门窗工程量清单清单'!E85:E89)</f>
        <v>512.6</v>
      </c>
      <c r="E14" s="153">
        <f>SUM('01门窗工程量清单清单'!J70:J78,'01门窗工程量清单清单'!J80:J83,'01门窗工程量清单清单'!J85:J89)</f>
        <v>368898.97963962</v>
      </c>
      <c r="F14" s="169">
        <f t="shared" si="2"/>
        <v>719.662465157276</v>
      </c>
      <c r="G14" s="162"/>
    </row>
    <row r="15" s="147" customFormat="1" ht="54" customHeight="1" spans="1:7">
      <c r="A15" s="29">
        <v>2.2</v>
      </c>
      <c r="B15" s="29" t="s">
        <v>49</v>
      </c>
      <c r="C15" s="142" t="s">
        <v>50</v>
      </c>
      <c r="D15" s="153">
        <f>'01门窗工程量清单清单'!E84+'01门窗工程量清单清单'!E79</f>
        <v>19.8184</v>
      </c>
      <c r="E15" s="153">
        <f>'01门窗工程量清单清单'!J79+'01门窗工程量清单清单'!J84</f>
        <v>20581.1736603392</v>
      </c>
      <c r="F15" s="169">
        <f t="shared" si="2"/>
        <v>1038.48815546861</v>
      </c>
      <c r="G15" s="162"/>
    </row>
    <row r="16" s="147" customFormat="1" ht="60" customHeight="1" spans="1:7">
      <c r="A16" s="170">
        <v>2.3</v>
      </c>
      <c r="B16" s="170" t="s">
        <v>51</v>
      </c>
      <c r="C16" s="141" t="s">
        <v>52</v>
      </c>
      <c r="D16" s="28">
        <f>'01门窗工程量清单清单'!E57+'01门窗工程量清单清单'!E59+'01门窗工程量清单清单'!E61+'01门窗工程量清单清单'!E66+'01门窗工程量清单清单'!E67</f>
        <v>697.66</v>
      </c>
      <c r="E16" s="28">
        <f>'01门窗工程量清单清单'!J57+'01门窗工程量清单清单'!J59+'01门窗工程量清单清单'!J61+'01门窗工程量清单清单'!J66+'01门窗工程量清单清单'!J67</f>
        <v>396185.78681071</v>
      </c>
      <c r="F16" s="169">
        <f t="shared" si="2"/>
        <v>567.87803057465</v>
      </c>
      <c r="G16" s="171"/>
    </row>
    <row r="17" s="147" customFormat="1" ht="48" customHeight="1" spans="1:7">
      <c r="A17" s="172"/>
      <c r="B17" s="172"/>
      <c r="C17" s="141" t="s">
        <v>53</v>
      </c>
      <c r="D17" s="28">
        <f>'01门窗工程量清单清单'!E58+'01门窗工程量清单清单'!E60+'01门窗工程量清单清单'!E62+'01门窗工程量清单清单'!E63+'01门窗工程量清单清单'!E64+'01门窗工程量清单清单'!E65+'01门窗工程量清单清单'!E68+'01门窗工程量清单清单'!E69</f>
        <v>755.024</v>
      </c>
      <c r="E17" s="28">
        <f>'01门窗工程量清单清单'!J58+'01门窗工程量清单清单'!J60+'01门窗工程量清单清单'!J62+'01门窗工程量清单清单'!J63+'01门窗工程量清单清单'!J64+'01门窗工程量清单清单'!J65+'01门窗工程量清单清单'!J68+'01门窗工程量清单清单'!J69</f>
        <v>428864.358378317</v>
      </c>
      <c r="F17" s="169">
        <f t="shared" si="2"/>
        <v>568.014206671996</v>
      </c>
      <c r="G17" s="173"/>
    </row>
    <row r="18" s="147" customFormat="1" customHeight="1" spans="1:7">
      <c r="A18" s="166" t="s">
        <v>17</v>
      </c>
      <c r="B18" s="158" t="s">
        <v>54</v>
      </c>
      <c r="C18" s="158"/>
      <c r="D18" s="160">
        <f>SUM(D19:D21)</f>
        <v>885.52</v>
      </c>
      <c r="E18" s="160">
        <f>SUM(E19:E21)</f>
        <v>946158.963996504</v>
      </c>
      <c r="F18" s="160">
        <f t="shared" si="2"/>
        <v>1068.47836750893</v>
      </c>
      <c r="G18" s="160"/>
    </row>
    <row r="19" s="147" customFormat="1" ht="55" customHeight="1" spans="1:7">
      <c r="A19" s="170">
        <v>3.1</v>
      </c>
      <c r="B19" s="154" t="s">
        <v>55</v>
      </c>
      <c r="C19" s="142" t="s">
        <v>56</v>
      </c>
      <c r="D19" s="153">
        <f>'01门窗工程量清单清单'!E11+'01门窗工程量清单清单'!E12+'01门窗工程量清单清单'!E14</f>
        <v>671.9</v>
      </c>
      <c r="E19" s="153">
        <f>'01门窗工程量清单清单'!J11+'01门窗工程量清单清单'!J12+'01门窗工程量清单清单'!J14</f>
        <v>699669.002295004</v>
      </c>
      <c r="F19" s="169">
        <f t="shared" si="2"/>
        <v>1041.32907024111</v>
      </c>
      <c r="G19" s="153"/>
    </row>
    <row r="20" s="147" customFormat="1" ht="55" customHeight="1" spans="1:7">
      <c r="A20" s="174"/>
      <c r="B20" s="154" t="s">
        <v>55</v>
      </c>
      <c r="C20" s="162" t="s">
        <v>57</v>
      </c>
      <c r="D20" s="153">
        <f>'01门窗工程量清单清单'!E13</f>
        <v>188.1</v>
      </c>
      <c r="E20" s="153">
        <f>'01门窗工程量清单清单'!J13</f>
        <v>207948.350949857</v>
      </c>
      <c r="F20" s="169">
        <f t="shared" si="2"/>
        <v>1105.52020706995</v>
      </c>
      <c r="G20" s="153"/>
    </row>
    <row r="21" s="147" customFormat="1" ht="50" customHeight="1" spans="1:7">
      <c r="A21" s="172"/>
      <c r="B21" s="154" t="s">
        <v>58</v>
      </c>
      <c r="C21" s="142" t="s">
        <v>59</v>
      </c>
      <c r="D21" s="153">
        <f>'01门窗工程量清单清单'!E15</f>
        <v>25.52</v>
      </c>
      <c r="E21" s="153">
        <f>SUM('01门窗工程量清单清单'!J15)</f>
        <v>38541.610751643</v>
      </c>
      <c r="F21" s="169">
        <f t="shared" si="2"/>
        <v>1510.25120500169</v>
      </c>
      <c r="G21" s="153"/>
    </row>
    <row r="22" s="147" customFormat="1" ht="50" customHeight="1" spans="1:7">
      <c r="A22" s="175" t="s">
        <v>60</v>
      </c>
      <c r="B22" s="158" t="s">
        <v>61</v>
      </c>
      <c r="C22" s="176"/>
      <c r="D22" s="160">
        <f>D18+D13+D4</f>
        <v>5809.3324</v>
      </c>
      <c r="E22" s="160">
        <f>E18+E13+E4</f>
        <v>4839304.10165633</v>
      </c>
      <c r="F22" s="160">
        <f t="shared" si="2"/>
        <v>833.02241435803</v>
      </c>
      <c r="G22" s="160"/>
    </row>
    <row r="23" customHeight="1" spans="1:7">
      <c r="A23" s="29" t="s">
        <v>62</v>
      </c>
      <c r="B23" s="158" t="s">
        <v>63</v>
      </c>
      <c r="C23" s="173"/>
      <c r="D23" s="28"/>
      <c r="E23" s="160">
        <f>栏杆工程量价格清单!H21</f>
        <v>993174.90320565</v>
      </c>
      <c r="F23" s="160"/>
      <c r="G23" s="173"/>
    </row>
    <row r="24" customHeight="1" spans="1:7">
      <c r="A24" s="29" t="s">
        <v>64</v>
      </c>
      <c r="B24" s="158" t="s">
        <v>65</v>
      </c>
      <c r="C24" s="173"/>
      <c r="D24" s="28"/>
      <c r="E24" s="160">
        <f>E23+E22</f>
        <v>5832479.00486198</v>
      </c>
      <c r="F24" s="173"/>
      <c r="G24" s="173"/>
    </row>
    <row r="25" customHeight="1" spans="1:7">
      <c r="A25" s="29"/>
      <c r="B25" s="173"/>
      <c r="C25" s="173"/>
      <c r="D25" s="28"/>
      <c r="E25" s="173"/>
      <c r="F25" s="173"/>
      <c r="G25" s="173"/>
    </row>
  </sheetData>
  <mergeCells count="11">
    <mergeCell ref="A1:G1"/>
    <mergeCell ref="A2:A3"/>
    <mergeCell ref="A5:A6"/>
    <mergeCell ref="A7:A10"/>
    <mergeCell ref="A16:A17"/>
    <mergeCell ref="A19:A21"/>
    <mergeCell ref="B2:B3"/>
    <mergeCell ref="B5:B6"/>
    <mergeCell ref="B7:B10"/>
    <mergeCell ref="B16:B17"/>
    <mergeCell ref="C2:C3"/>
  </mergeCells>
  <pageMargins left="0.75" right="0.75" top="1" bottom="1" header="0.5" footer="0.5"/>
  <pageSetup paperSize="9" scale="76"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1"/>
  <sheetViews>
    <sheetView view="pageBreakPreview" zoomScaleNormal="100" topLeftCell="A86" workbookViewId="0">
      <selection activeCell="H94" sqref="H94"/>
    </sheetView>
  </sheetViews>
  <sheetFormatPr defaultColWidth="8.66666666666667" defaultRowHeight="35" customHeight="1"/>
  <cols>
    <col min="1" max="1" width="8.66666666666667" style="126" customWidth="1"/>
    <col min="2" max="2" width="20" style="127" customWidth="1"/>
    <col min="3" max="3" width="11.7777777777778" style="126" customWidth="1"/>
    <col min="4" max="4" width="40.6666666666667" style="126" customWidth="1"/>
    <col min="5" max="5" width="12.5555555555556" style="126" customWidth="1"/>
    <col min="6" max="6" width="8.66666666666667" style="126" customWidth="1"/>
    <col min="7" max="7" width="8.66666666666667" style="128" customWidth="1"/>
    <col min="8" max="9" width="8.66666666666667" style="126" customWidth="1"/>
    <col min="10" max="10" width="15.3333333333333" style="126" customWidth="1"/>
    <col min="11" max="16383" width="8.66666666666667" style="126" customWidth="1"/>
    <col min="16384" max="16384" width="8.66666666666667" style="126"/>
  </cols>
  <sheetData>
    <row r="1" s="126" customFormat="1" customHeight="1" spans="1:10">
      <c r="A1" s="129" t="s">
        <v>66</v>
      </c>
      <c r="B1" s="130"/>
      <c r="C1" s="129"/>
      <c r="D1" s="129"/>
      <c r="E1" s="129"/>
      <c r="F1" s="129"/>
      <c r="G1" s="131"/>
      <c r="H1" s="129"/>
      <c r="I1" s="129"/>
      <c r="J1" s="129"/>
    </row>
    <row r="2" s="126" customFormat="1" customHeight="1" spans="1:10">
      <c r="A2" s="132" t="s">
        <v>23</v>
      </c>
      <c r="B2" s="132" t="s">
        <v>67</v>
      </c>
      <c r="C2" s="133" t="s">
        <v>68</v>
      </c>
      <c r="D2" s="133" t="s">
        <v>25</v>
      </c>
      <c r="E2" s="134" t="s">
        <v>69</v>
      </c>
      <c r="F2" s="135" t="s">
        <v>70</v>
      </c>
      <c r="G2" s="136" t="s">
        <v>71</v>
      </c>
      <c r="H2" s="135" t="s">
        <v>72</v>
      </c>
      <c r="I2" s="134" t="s">
        <v>73</v>
      </c>
      <c r="J2" s="134" t="s">
        <v>74</v>
      </c>
    </row>
    <row r="3" s="126" customFormat="1" customHeight="1" spans="1:10">
      <c r="A3" s="132"/>
      <c r="B3" s="132"/>
      <c r="C3" s="133"/>
      <c r="D3" s="133"/>
      <c r="E3" s="134"/>
      <c r="F3" s="137"/>
      <c r="G3" s="136"/>
      <c r="H3" s="138">
        <v>0.13</v>
      </c>
      <c r="I3" s="134"/>
      <c r="J3" s="134"/>
    </row>
    <row r="4" s="126" customFormat="1" customHeight="1" spans="1:10">
      <c r="A4" s="139">
        <v>1</v>
      </c>
      <c r="B4" s="140" t="s">
        <v>75</v>
      </c>
      <c r="C4" s="141" t="s">
        <v>76</v>
      </c>
      <c r="D4" s="142" t="s">
        <v>35</v>
      </c>
      <c r="E4" s="143">
        <f>'05工程量计算底稿你'!P4</f>
        <v>5.12</v>
      </c>
      <c r="F4" s="143" t="s">
        <v>77</v>
      </c>
      <c r="G4" s="143">
        <v>434.987258708862</v>
      </c>
      <c r="H4" s="144">
        <f>$H$3</f>
        <v>0.13</v>
      </c>
      <c r="I4" s="143">
        <f t="shared" ref="I4:I67" si="0">G4*(1+H4)</f>
        <v>491.535602341014</v>
      </c>
      <c r="J4" s="143">
        <f t="shared" ref="J4:J67" si="1">E4*I4</f>
        <v>2516.66228398599</v>
      </c>
    </row>
    <row r="5" s="126" customFormat="1" customHeight="1" spans="1:10">
      <c r="A5" s="139">
        <v>2</v>
      </c>
      <c r="B5" s="140" t="s">
        <v>75</v>
      </c>
      <c r="C5" s="141" t="s">
        <v>78</v>
      </c>
      <c r="D5" s="142" t="s">
        <v>35</v>
      </c>
      <c r="E5" s="143">
        <f>'05工程量计算底稿你'!P5</f>
        <v>13.44</v>
      </c>
      <c r="F5" s="143" t="s">
        <v>77</v>
      </c>
      <c r="G5" s="143">
        <v>402.700643732161</v>
      </c>
      <c r="H5" s="144">
        <f t="shared" ref="H5:H14" si="2">$H$3</f>
        <v>0.13</v>
      </c>
      <c r="I5" s="143">
        <f t="shared" si="0"/>
        <v>455.051727417342</v>
      </c>
      <c r="J5" s="143">
        <f t="shared" si="1"/>
        <v>6115.89521648908</v>
      </c>
    </row>
    <row r="6" s="126" customFormat="1" customHeight="1" spans="1:10">
      <c r="A6" s="139">
        <v>3</v>
      </c>
      <c r="B6" s="140" t="s">
        <v>75</v>
      </c>
      <c r="C6" s="141" t="s">
        <v>79</v>
      </c>
      <c r="D6" s="142" t="s">
        <v>35</v>
      </c>
      <c r="E6" s="143">
        <f>'05工程量计算底稿你'!P7</f>
        <v>4.48</v>
      </c>
      <c r="F6" s="143" t="s">
        <v>77</v>
      </c>
      <c r="G6" s="143">
        <v>420.21109256886</v>
      </c>
      <c r="H6" s="144">
        <f t="shared" si="2"/>
        <v>0.13</v>
      </c>
      <c r="I6" s="143">
        <f t="shared" si="0"/>
        <v>474.838534602812</v>
      </c>
      <c r="J6" s="143">
        <f t="shared" si="1"/>
        <v>2127.2766350206</v>
      </c>
    </row>
    <row r="7" s="126" customFormat="1" customHeight="1" spans="1:10">
      <c r="A7" s="139">
        <v>4</v>
      </c>
      <c r="B7" s="140" t="s">
        <v>75</v>
      </c>
      <c r="C7" s="141" t="s">
        <v>80</v>
      </c>
      <c r="D7" s="142" t="s">
        <v>35</v>
      </c>
      <c r="E7" s="143">
        <f>'05工程量计算底稿你'!P6</f>
        <v>4.64</v>
      </c>
      <c r="F7" s="143" t="s">
        <v>77</v>
      </c>
      <c r="G7" s="143">
        <v>416.126439220045</v>
      </c>
      <c r="H7" s="144">
        <f t="shared" si="2"/>
        <v>0.13</v>
      </c>
      <c r="I7" s="143">
        <f t="shared" si="0"/>
        <v>470.222876318651</v>
      </c>
      <c r="J7" s="143">
        <f t="shared" si="1"/>
        <v>2181.83414611854</v>
      </c>
    </row>
    <row r="8" s="126" customFormat="1" customHeight="1" spans="1:10">
      <c r="A8" s="139">
        <v>5</v>
      </c>
      <c r="B8" s="140" t="s">
        <v>75</v>
      </c>
      <c r="C8" s="141" t="s">
        <v>81</v>
      </c>
      <c r="D8" s="142" t="s">
        <v>35</v>
      </c>
      <c r="E8" s="143">
        <f>'05工程量计算底稿你'!P8</f>
        <v>64</v>
      </c>
      <c r="F8" s="143" t="s">
        <v>77</v>
      </c>
      <c r="G8" s="143">
        <v>392.245793148906</v>
      </c>
      <c r="H8" s="144">
        <f t="shared" si="2"/>
        <v>0.13</v>
      </c>
      <c r="I8" s="143">
        <f t="shared" si="0"/>
        <v>443.237746258264</v>
      </c>
      <c r="J8" s="143">
        <f t="shared" si="1"/>
        <v>28367.2157605289</v>
      </c>
    </row>
    <row r="9" s="126" customFormat="1" customHeight="1" spans="1:10">
      <c r="A9" s="139">
        <v>6</v>
      </c>
      <c r="B9" s="140" t="s">
        <v>75</v>
      </c>
      <c r="C9" s="141" t="s">
        <v>82</v>
      </c>
      <c r="D9" s="142" t="s">
        <v>35</v>
      </c>
      <c r="E9" s="143">
        <f>'05工程量计算底稿你'!P3</f>
        <v>14.56</v>
      </c>
      <c r="F9" s="143" t="s">
        <v>77</v>
      </c>
      <c r="G9" s="143">
        <v>386.144044208958</v>
      </c>
      <c r="H9" s="144">
        <f t="shared" si="2"/>
        <v>0.13</v>
      </c>
      <c r="I9" s="143">
        <f t="shared" si="0"/>
        <v>436.342769956122</v>
      </c>
      <c r="J9" s="143">
        <f t="shared" si="1"/>
        <v>6353.15073056114</v>
      </c>
    </row>
    <row r="10" s="126" customFormat="1" customHeight="1" spans="1:10">
      <c r="A10" s="139">
        <v>7</v>
      </c>
      <c r="B10" s="140" t="s">
        <v>83</v>
      </c>
      <c r="C10" s="145" t="s">
        <v>84</v>
      </c>
      <c r="D10" s="142" t="s">
        <v>85</v>
      </c>
      <c r="E10" s="143">
        <f>'05工程量计算底稿你'!P10</f>
        <v>6</v>
      </c>
      <c r="F10" s="143" t="s">
        <v>77</v>
      </c>
      <c r="G10" s="143">
        <v>399.859518457674</v>
      </c>
      <c r="H10" s="144">
        <f t="shared" si="2"/>
        <v>0.13</v>
      </c>
      <c r="I10" s="143">
        <f t="shared" si="0"/>
        <v>451.841255857172</v>
      </c>
      <c r="J10" s="143">
        <f t="shared" si="1"/>
        <v>2711.04753514303</v>
      </c>
    </row>
    <row r="11" s="126" customFormat="1" ht="55" customHeight="1" spans="1:10">
      <c r="A11" s="139">
        <v>8</v>
      </c>
      <c r="B11" s="140" t="s">
        <v>86</v>
      </c>
      <c r="C11" s="145" t="s">
        <v>87</v>
      </c>
      <c r="D11" s="146" t="s">
        <v>88</v>
      </c>
      <c r="E11" s="143">
        <f>'05工程量计算底稿你'!P12</f>
        <v>315.9</v>
      </c>
      <c r="F11" s="143" t="s">
        <v>77</v>
      </c>
      <c r="G11" s="143">
        <v>937.29590714917</v>
      </c>
      <c r="H11" s="144">
        <f t="shared" si="2"/>
        <v>0.13</v>
      </c>
      <c r="I11" s="143">
        <f t="shared" si="0"/>
        <v>1059.14437507856</v>
      </c>
      <c r="J11" s="143">
        <f t="shared" si="1"/>
        <v>334583.708087318</v>
      </c>
    </row>
    <row r="12" s="126" customFormat="1" customHeight="1" spans="1:10">
      <c r="A12" s="139">
        <v>9</v>
      </c>
      <c r="B12" s="140" t="s">
        <v>86</v>
      </c>
      <c r="C12" s="145" t="s">
        <v>89</v>
      </c>
      <c r="D12" s="146" t="s">
        <v>88</v>
      </c>
      <c r="E12" s="143">
        <f>'05工程量计算底稿你'!P13</f>
        <v>342</v>
      </c>
      <c r="F12" s="143" t="s">
        <v>77</v>
      </c>
      <c r="G12" s="143">
        <v>906.151280200749</v>
      </c>
      <c r="H12" s="144">
        <f t="shared" si="2"/>
        <v>0.13</v>
      </c>
      <c r="I12" s="143">
        <f t="shared" si="0"/>
        <v>1023.95094662685</v>
      </c>
      <c r="J12" s="143">
        <f t="shared" si="1"/>
        <v>350191.223746381</v>
      </c>
    </row>
    <row r="13" s="126" customFormat="1" customHeight="1" spans="1:10">
      <c r="A13" s="139">
        <v>10</v>
      </c>
      <c r="B13" s="140" t="s">
        <v>90</v>
      </c>
      <c r="C13" s="145" t="s">
        <v>91</v>
      </c>
      <c r="D13" s="146" t="s">
        <v>57</v>
      </c>
      <c r="E13" s="143">
        <f>'05工程量计算底稿你'!P14</f>
        <v>188.1</v>
      </c>
      <c r="F13" s="143" t="s">
        <v>77</v>
      </c>
      <c r="G13" s="143">
        <v>978.33646643358</v>
      </c>
      <c r="H13" s="144">
        <f t="shared" si="2"/>
        <v>0.13</v>
      </c>
      <c r="I13" s="143">
        <f t="shared" si="0"/>
        <v>1105.52020706995</v>
      </c>
      <c r="J13" s="143">
        <f t="shared" si="1"/>
        <v>207948.350949857</v>
      </c>
    </row>
    <row r="14" s="126" customFormat="1" customHeight="1" spans="1:10">
      <c r="A14" s="139">
        <v>11</v>
      </c>
      <c r="B14" s="140" t="s">
        <v>86</v>
      </c>
      <c r="C14" s="145" t="s">
        <v>92</v>
      </c>
      <c r="D14" s="146" t="s">
        <v>88</v>
      </c>
      <c r="E14" s="143">
        <f>'05工程量计算底稿你'!P15</f>
        <v>14</v>
      </c>
      <c r="F14" s="143" t="s">
        <v>77</v>
      </c>
      <c r="G14" s="143">
        <v>941.470952042032</v>
      </c>
      <c r="H14" s="144">
        <f t="shared" si="2"/>
        <v>0.13</v>
      </c>
      <c r="I14" s="143">
        <f t="shared" si="0"/>
        <v>1063.8621758075</v>
      </c>
      <c r="J14" s="143">
        <f t="shared" si="1"/>
        <v>14894.0704613049</v>
      </c>
    </row>
    <row r="15" s="126" customFormat="1" customHeight="1" spans="1:10">
      <c r="A15" s="139">
        <v>12</v>
      </c>
      <c r="B15" s="140" t="s">
        <v>93</v>
      </c>
      <c r="C15" s="145" t="s">
        <v>94</v>
      </c>
      <c r="D15" s="146" t="s">
        <v>95</v>
      </c>
      <c r="E15" s="143">
        <f>'05工程量计算底稿你'!P17</f>
        <v>25.52</v>
      </c>
      <c r="F15" s="143" t="s">
        <v>77</v>
      </c>
      <c r="G15" s="143">
        <v>1336.50549115193</v>
      </c>
      <c r="H15" s="144">
        <f t="shared" ref="H15:H24" si="3">$H$3</f>
        <v>0.13</v>
      </c>
      <c r="I15" s="143">
        <f t="shared" si="0"/>
        <v>1510.25120500169</v>
      </c>
      <c r="J15" s="143">
        <f t="shared" si="1"/>
        <v>38541.610751643</v>
      </c>
    </row>
    <row r="16" s="126" customFormat="1" customHeight="1" spans="1:10">
      <c r="A16" s="139">
        <v>13</v>
      </c>
      <c r="B16" s="140" t="s">
        <v>96</v>
      </c>
      <c r="C16" s="145" t="s">
        <v>97</v>
      </c>
      <c r="D16" s="146" t="s">
        <v>98</v>
      </c>
      <c r="E16" s="143">
        <f>'05工程量计算底稿你'!P19</f>
        <v>196.8</v>
      </c>
      <c r="F16" s="143" t="s">
        <v>77</v>
      </c>
      <c r="G16" s="143">
        <v>767.203802964717</v>
      </c>
      <c r="H16" s="144">
        <f t="shared" si="3"/>
        <v>0.13</v>
      </c>
      <c r="I16" s="143">
        <f t="shared" si="0"/>
        <v>866.94029735013</v>
      </c>
      <c r="J16" s="143">
        <f t="shared" si="1"/>
        <v>170613.850518506</v>
      </c>
    </row>
    <row r="17" s="126" customFormat="1" ht="41" customHeight="1" spans="1:10">
      <c r="A17" s="139">
        <v>14</v>
      </c>
      <c r="B17" s="140" t="s">
        <v>96</v>
      </c>
      <c r="C17" s="145" t="s">
        <v>99</v>
      </c>
      <c r="D17" s="146" t="s">
        <v>98</v>
      </c>
      <c r="E17" s="143">
        <f>'05工程量计算底稿你'!P20</f>
        <v>567.72</v>
      </c>
      <c r="F17" s="143" t="s">
        <v>77</v>
      </c>
      <c r="G17" s="143">
        <v>710.561010753762</v>
      </c>
      <c r="H17" s="144">
        <f t="shared" si="3"/>
        <v>0.13</v>
      </c>
      <c r="I17" s="143">
        <f t="shared" si="0"/>
        <v>802.933942151751</v>
      </c>
      <c r="J17" s="143">
        <f t="shared" si="1"/>
        <v>455841.657638392</v>
      </c>
    </row>
    <row r="18" s="126" customFormat="1" ht="45" customHeight="1" spans="1:10">
      <c r="A18" s="139">
        <v>15</v>
      </c>
      <c r="B18" s="140" t="s">
        <v>96</v>
      </c>
      <c r="C18" s="145" t="s">
        <v>100</v>
      </c>
      <c r="D18" s="146" t="s">
        <v>98</v>
      </c>
      <c r="E18" s="143">
        <f>'05工程量计算底稿你'!P21</f>
        <v>247.95</v>
      </c>
      <c r="F18" s="143" t="s">
        <v>77</v>
      </c>
      <c r="G18" s="143">
        <v>715.064255279303</v>
      </c>
      <c r="H18" s="144">
        <f t="shared" si="3"/>
        <v>0.13</v>
      </c>
      <c r="I18" s="143">
        <f t="shared" si="0"/>
        <v>808.022608465612</v>
      </c>
      <c r="J18" s="143">
        <f t="shared" si="1"/>
        <v>200349.205769048</v>
      </c>
    </row>
    <row r="19" s="126" customFormat="1" customHeight="1" spans="1:10">
      <c r="A19" s="139">
        <v>16</v>
      </c>
      <c r="B19" s="140" t="s">
        <v>96</v>
      </c>
      <c r="C19" s="145" t="s">
        <v>101</v>
      </c>
      <c r="D19" s="146" t="s">
        <v>98</v>
      </c>
      <c r="E19" s="143">
        <f>'05工程量计算底稿你'!P22</f>
        <v>230.85</v>
      </c>
      <c r="F19" s="143" t="s">
        <v>77</v>
      </c>
      <c r="G19" s="143">
        <v>727.618673852012</v>
      </c>
      <c r="H19" s="144">
        <f t="shared" si="3"/>
        <v>0.13</v>
      </c>
      <c r="I19" s="143">
        <f t="shared" si="0"/>
        <v>822.209101452773</v>
      </c>
      <c r="J19" s="143">
        <f t="shared" si="1"/>
        <v>189806.971070373</v>
      </c>
    </row>
    <row r="20" s="126" customFormat="1" customHeight="1" spans="1:10">
      <c r="A20" s="139">
        <v>17</v>
      </c>
      <c r="B20" s="140" t="s">
        <v>96</v>
      </c>
      <c r="C20" s="145" t="s">
        <v>102</v>
      </c>
      <c r="D20" s="146" t="s">
        <v>98</v>
      </c>
      <c r="E20" s="143">
        <f>'05工程量计算底稿你'!P24</f>
        <v>23.24</v>
      </c>
      <c r="F20" s="143" t="s">
        <v>77</v>
      </c>
      <c r="G20" s="143">
        <v>742.616453820542</v>
      </c>
      <c r="H20" s="144">
        <f t="shared" si="3"/>
        <v>0.13</v>
      </c>
      <c r="I20" s="143">
        <f t="shared" si="0"/>
        <v>839.156592817212</v>
      </c>
      <c r="J20" s="143">
        <f t="shared" si="1"/>
        <v>19501.999217072</v>
      </c>
    </row>
    <row r="21" s="126" customFormat="1" ht="48" customHeight="1" spans="1:10">
      <c r="A21" s="139">
        <v>18</v>
      </c>
      <c r="B21" s="140" t="s">
        <v>96</v>
      </c>
      <c r="C21" s="145" t="s">
        <v>103</v>
      </c>
      <c r="D21" s="146" t="s">
        <v>98</v>
      </c>
      <c r="E21" s="143">
        <f>'05工程量计算底稿你'!P25</f>
        <v>9.45</v>
      </c>
      <c r="F21" s="143" t="s">
        <v>77</v>
      </c>
      <c r="G21" s="143">
        <v>762.293889159843</v>
      </c>
      <c r="H21" s="144">
        <f t="shared" si="3"/>
        <v>0.13</v>
      </c>
      <c r="I21" s="143">
        <f t="shared" si="0"/>
        <v>861.392094750623</v>
      </c>
      <c r="J21" s="143">
        <f t="shared" si="1"/>
        <v>8140.15529539338</v>
      </c>
    </row>
    <row r="22" s="126" customFormat="1" ht="48" customHeight="1" spans="1:10">
      <c r="A22" s="139">
        <v>19</v>
      </c>
      <c r="B22" s="140" t="s">
        <v>96</v>
      </c>
      <c r="C22" s="145" t="s">
        <v>104</v>
      </c>
      <c r="D22" s="146" t="s">
        <v>98</v>
      </c>
      <c r="E22" s="143">
        <f>'05工程量计算底稿你'!P26</f>
        <v>10.15</v>
      </c>
      <c r="F22" s="143" t="s">
        <v>77</v>
      </c>
      <c r="G22" s="143">
        <v>748.50978533797</v>
      </c>
      <c r="H22" s="144">
        <f t="shared" si="3"/>
        <v>0.13</v>
      </c>
      <c r="I22" s="143">
        <f t="shared" si="0"/>
        <v>845.816057431907</v>
      </c>
      <c r="J22" s="143">
        <f t="shared" si="1"/>
        <v>8585.03298293385</v>
      </c>
    </row>
    <row r="23" s="126" customFormat="1" ht="53" customHeight="1" spans="1:10">
      <c r="A23" s="139">
        <v>20</v>
      </c>
      <c r="B23" s="140" t="s">
        <v>105</v>
      </c>
      <c r="C23" s="145" t="s">
        <v>106</v>
      </c>
      <c r="D23" s="141" t="s">
        <v>39</v>
      </c>
      <c r="E23" s="143">
        <f>'05工程量计算底稿你'!P27</f>
        <v>20.01</v>
      </c>
      <c r="F23" s="143" t="s">
        <v>77</v>
      </c>
      <c r="G23" s="143">
        <v>787.840383380745</v>
      </c>
      <c r="H23" s="144">
        <f t="shared" si="3"/>
        <v>0.13</v>
      </c>
      <c r="I23" s="143">
        <f t="shared" si="0"/>
        <v>890.259633220242</v>
      </c>
      <c r="J23" s="143">
        <f t="shared" si="1"/>
        <v>17814.095260737</v>
      </c>
    </row>
    <row r="24" s="126" customFormat="1" customHeight="1" spans="1:10">
      <c r="A24" s="139">
        <v>21</v>
      </c>
      <c r="B24" s="140" t="s">
        <v>105</v>
      </c>
      <c r="C24" s="145" t="s">
        <v>107</v>
      </c>
      <c r="D24" s="141" t="s">
        <v>39</v>
      </c>
      <c r="E24" s="143">
        <f>'05工程量计算底稿你'!P28</f>
        <v>19.32</v>
      </c>
      <c r="F24" s="143" t="s">
        <v>77</v>
      </c>
      <c r="G24" s="143">
        <v>797.970627453246</v>
      </c>
      <c r="H24" s="144">
        <f t="shared" si="3"/>
        <v>0.13</v>
      </c>
      <c r="I24" s="143">
        <f t="shared" si="0"/>
        <v>901.706809022168</v>
      </c>
      <c r="J24" s="143">
        <f t="shared" si="1"/>
        <v>17420.9755503083</v>
      </c>
    </row>
    <row r="25" s="126" customFormat="1" customHeight="1" spans="1:10">
      <c r="A25" s="139">
        <v>22</v>
      </c>
      <c r="B25" s="140" t="s">
        <v>105</v>
      </c>
      <c r="C25" s="145" t="s">
        <v>108</v>
      </c>
      <c r="D25" s="141" t="s">
        <v>40</v>
      </c>
      <c r="E25" s="143">
        <f>'05工程量计算底稿你'!P29</f>
        <v>247.25</v>
      </c>
      <c r="F25" s="143" t="s">
        <v>77</v>
      </c>
      <c r="G25" s="143">
        <v>796.753888838649</v>
      </c>
      <c r="H25" s="144">
        <f t="shared" ref="H25:H34" si="4">$H$3</f>
        <v>0.13</v>
      </c>
      <c r="I25" s="143">
        <f t="shared" si="0"/>
        <v>900.331894387673</v>
      </c>
      <c r="J25" s="143">
        <f t="shared" si="1"/>
        <v>222607.060887352</v>
      </c>
    </row>
    <row r="26" s="126" customFormat="1" ht="42" customHeight="1" spans="1:10">
      <c r="A26" s="139">
        <v>23</v>
      </c>
      <c r="B26" s="140" t="s">
        <v>105</v>
      </c>
      <c r="C26" s="145" t="s">
        <v>108</v>
      </c>
      <c r="D26" s="141" t="s">
        <v>40</v>
      </c>
      <c r="E26" s="143">
        <f>'05工程量计算底稿你'!P30</f>
        <v>28.75</v>
      </c>
      <c r="F26" s="143" t="s">
        <v>77</v>
      </c>
      <c r="G26" s="143">
        <v>796.753888838649</v>
      </c>
      <c r="H26" s="144">
        <f t="shared" si="4"/>
        <v>0.13</v>
      </c>
      <c r="I26" s="143">
        <f t="shared" si="0"/>
        <v>900.331894387673</v>
      </c>
      <c r="J26" s="143">
        <f t="shared" si="1"/>
        <v>25884.5419636456</v>
      </c>
    </row>
    <row r="27" s="126" customFormat="1" ht="40" customHeight="1" spans="1:10">
      <c r="A27" s="139">
        <v>24</v>
      </c>
      <c r="B27" s="140" t="s">
        <v>105</v>
      </c>
      <c r="C27" s="145" t="s">
        <v>109</v>
      </c>
      <c r="D27" s="141" t="s">
        <v>110</v>
      </c>
      <c r="E27" s="143">
        <f>'05工程量计算底稿你'!P31</f>
        <v>28.8</v>
      </c>
      <c r="F27" s="143" t="s">
        <v>77</v>
      </c>
      <c r="G27" s="143">
        <v>742.878114243807</v>
      </c>
      <c r="H27" s="144">
        <f t="shared" si="4"/>
        <v>0.13</v>
      </c>
      <c r="I27" s="143">
        <f t="shared" si="0"/>
        <v>839.452269095502</v>
      </c>
      <c r="J27" s="143">
        <f t="shared" si="1"/>
        <v>24176.2253499505</v>
      </c>
    </row>
    <row r="28" s="126" customFormat="1" customHeight="1" spans="1:10">
      <c r="A28" s="139">
        <v>25</v>
      </c>
      <c r="B28" s="140" t="s">
        <v>105</v>
      </c>
      <c r="C28" s="145" t="s">
        <v>109</v>
      </c>
      <c r="D28" s="141" t="s">
        <v>40</v>
      </c>
      <c r="E28" s="143">
        <f>'05工程量计算底稿你'!P32</f>
        <v>14.4</v>
      </c>
      <c r="F28" s="143" t="s">
        <v>77</v>
      </c>
      <c r="G28" s="143">
        <v>742.878114243807</v>
      </c>
      <c r="H28" s="144">
        <f t="shared" si="4"/>
        <v>0.13</v>
      </c>
      <c r="I28" s="143">
        <f t="shared" si="0"/>
        <v>839.452269095502</v>
      </c>
      <c r="J28" s="143">
        <f t="shared" si="1"/>
        <v>12088.1126749752</v>
      </c>
    </row>
    <row r="29" s="126" customFormat="1" customHeight="1" spans="1:10">
      <c r="A29" s="139">
        <v>26</v>
      </c>
      <c r="B29" s="140" t="s">
        <v>105</v>
      </c>
      <c r="C29" s="145" t="s">
        <v>111</v>
      </c>
      <c r="D29" s="141" t="s">
        <v>39</v>
      </c>
      <c r="E29" s="143">
        <f>'05工程量计算底稿你'!P33</f>
        <v>12.8</v>
      </c>
      <c r="F29" s="143" t="s">
        <v>77</v>
      </c>
      <c r="G29" s="143">
        <v>768.340256131811</v>
      </c>
      <c r="H29" s="144">
        <f t="shared" si="4"/>
        <v>0.13</v>
      </c>
      <c r="I29" s="143">
        <f t="shared" si="0"/>
        <v>868.224489428946</v>
      </c>
      <c r="J29" s="143">
        <f t="shared" si="1"/>
        <v>11113.2734646905</v>
      </c>
    </row>
    <row r="30" s="126" customFormat="1" customHeight="1" spans="1:10">
      <c r="A30" s="139">
        <v>27</v>
      </c>
      <c r="B30" s="140" t="s">
        <v>105</v>
      </c>
      <c r="C30" s="145" t="s">
        <v>112</v>
      </c>
      <c r="D30" s="141" t="s">
        <v>39</v>
      </c>
      <c r="E30" s="143">
        <f>'05工程量计算底稿你'!P34</f>
        <v>4.4</v>
      </c>
      <c r="F30" s="143" t="s">
        <v>77</v>
      </c>
      <c r="G30" s="143">
        <v>1294.94351447478</v>
      </c>
      <c r="H30" s="144">
        <f t="shared" si="4"/>
        <v>0.13</v>
      </c>
      <c r="I30" s="143">
        <f t="shared" si="0"/>
        <v>1463.2861713565</v>
      </c>
      <c r="J30" s="143">
        <f t="shared" si="1"/>
        <v>6438.45915396859</v>
      </c>
    </row>
    <row r="31" s="126" customFormat="1" customHeight="1" spans="1:10">
      <c r="A31" s="139">
        <v>28</v>
      </c>
      <c r="B31" s="140" t="s">
        <v>105</v>
      </c>
      <c r="C31" s="145" t="s">
        <v>113</v>
      </c>
      <c r="D31" s="141" t="s">
        <v>39</v>
      </c>
      <c r="E31" s="143">
        <f>'05工程量计算底稿你'!P35</f>
        <v>10.4</v>
      </c>
      <c r="F31" s="143" t="s">
        <v>77</v>
      </c>
      <c r="G31" s="143">
        <v>844.908935574455</v>
      </c>
      <c r="H31" s="144">
        <f t="shared" si="4"/>
        <v>0.13</v>
      </c>
      <c r="I31" s="143">
        <f t="shared" si="0"/>
        <v>954.747097199133</v>
      </c>
      <c r="J31" s="143">
        <f t="shared" si="1"/>
        <v>9929.36981087099</v>
      </c>
    </row>
    <row r="32" s="126" customFormat="1" customHeight="1" spans="1:10">
      <c r="A32" s="139">
        <v>29</v>
      </c>
      <c r="B32" s="140" t="s">
        <v>105</v>
      </c>
      <c r="C32" s="145" t="s">
        <v>114</v>
      </c>
      <c r="D32" s="141" t="s">
        <v>39</v>
      </c>
      <c r="E32" s="143">
        <f>'05工程量计算底稿你'!P36</f>
        <v>4</v>
      </c>
      <c r="F32" s="143" t="s">
        <v>77</v>
      </c>
      <c r="G32" s="143">
        <v>1364.17668581593</v>
      </c>
      <c r="H32" s="144">
        <f t="shared" si="4"/>
        <v>0.13</v>
      </c>
      <c r="I32" s="143">
        <f t="shared" si="0"/>
        <v>1541.51965497201</v>
      </c>
      <c r="J32" s="143">
        <f t="shared" si="1"/>
        <v>6166.07861988803</v>
      </c>
    </row>
    <row r="33" s="126" customFormat="1" customHeight="1" spans="1:10">
      <c r="A33" s="139">
        <v>30</v>
      </c>
      <c r="B33" s="140" t="s">
        <v>105</v>
      </c>
      <c r="C33" s="145" t="s">
        <v>84</v>
      </c>
      <c r="D33" s="141" t="s">
        <v>39</v>
      </c>
      <c r="E33" s="143">
        <f>'05工程量计算底稿你'!P37</f>
        <v>15</v>
      </c>
      <c r="F33" s="143" t="s">
        <v>77</v>
      </c>
      <c r="G33" s="143">
        <v>791.248204418277</v>
      </c>
      <c r="H33" s="144">
        <f t="shared" si="4"/>
        <v>0.13</v>
      </c>
      <c r="I33" s="143">
        <f t="shared" si="0"/>
        <v>894.110470992653</v>
      </c>
      <c r="J33" s="143">
        <f t="shared" si="1"/>
        <v>13411.6570648898</v>
      </c>
    </row>
    <row r="34" s="126" customFormat="1" customHeight="1" spans="1:10">
      <c r="A34" s="139">
        <v>31</v>
      </c>
      <c r="B34" s="140" t="s">
        <v>105</v>
      </c>
      <c r="C34" s="145" t="s">
        <v>115</v>
      </c>
      <c r="D34" s="141" t="s">
        <v>110</v>
      </c>
      <c r="E34" s="143">
        <f>'05工程量计算底稿你'!P38</f>
        <v>28.8</v>
      </c>
      <c r="F34" s="143" t="s">
        <v>77</v>
      </c>
      <c r="G34" s="143">
        <v>733.338336819497</v>
      </c>
      <c r="H34" s="144">
        <f t="shared" si="4"/>
        <v>0.13</v>
      </c>
      <c r="I34" s="143">
        <f t="shared" si="0"/>
        <v>828.672320606031</v>
      </c>
      <c r="J34" s="143">
        <f t="shared" si="1"/>
        <v>23865.7628334537</v>
      </c>
    </row>
    <row r="35" s="126" customFormat="1" customHeight="1" spans="1:10">
      <c r="A35" s="139">
        <v>32</v>
      </c>
      <c r="B35" s="140" t="s">
        <v>105</v>
      </c>
      <c r="C35" s="145" t="s">
        <v>102</v>
      </c>
      <c r="D35" s="141" t="s">
        <v>116</v>
      </c>
      <c r="E35" s="143">
        <f>'05工程量计算底稿你'!P40</f>
        <v>0</v>
      </c>
      <c r="F35" s="143" t="s">
        <v>77</v>
      </c>
      <c r="G35" s="143">
        <v>798.333527195491</v>
      </c>
      <c r="H35" s="144">
        <f t="shared" ref="H35:H44" si="5">$H$3</f>
        <v>0.13</v>
      </c>
      <c r="I35" s="143">
        <f t="shared" si="0"/>
        <v>902.116885730905</v>
      </c>
      <c r="J35" s="143">
        <f t="shared" si="1"/>
        <v>0</v>
      </c>
    </row>
    <row r="36" s="126" customFormat="1" customHeight="1" spans="1:10">
      <c r="A36" s="139">
        <v>33</v>
      </c>
      <c r="B36" s="140" t="s">
        <v>117</v>
      </c>
      <c r="C36" s="145" t="s">
        <v>118</v>
      </c>
      <c r="D36" s="141" t="s">
        <v>38</v>
      </c>
      <c r="E36" s="143">
        <f>'05工程量计算底稿你'!P42</f>
        <v>69.6</v>
      </c>
      <c r="F36" s="143" t="s">
        <v>77</v>
      </c>
      <c r="G36" s="143">
        <v>894.873678937305</v>
      </c>
      <c r="H36" s="144">
        <f t="shared" si="5"/>
        <v>0.13</v>
      </c>
      <c r="I36" s="143">
        <f t="shared" si="0"/>
        <v>1011.20725719915</v>
      </c>
      <c r="J36" s="143">
        <f t="shared" si="1"/>
        <v>70380.0251010612</v>
      </c>
    </row>
    <row r="37" s="126" customFormat="1" customHeight="1" spans="1:10">
      <c r="A37" s="139">
        <v>34</v>
      </c>
      <c r="B37" s="140" t="s">
        <v>117</v>
      </c>
      <c r="C37" s="145" t="s">
        <v>119</v>
      </c>
      <c r="D37" s="141" t="s">
        <v>38</v>
      </c>
      <c r="E37" s="143">
        <f>'05工程量计算底稿你'!P43</f>
        <v>141</v>
      </c>
      <c r="F37" s="143" t="s">
        <v>77</v>
      </c>
      <c r="G37" s="143">
        <v>853.549929228888</v>
      </c>
      <c r="H37" s="144">
        <f t="shared" si="5"/>
        <v>0.13</v>
      </c>
      <c r="I37" s="143">
        <f t="shared" si="0"/>
        <v>964.511420028643</v>
      </c>
      <c r="J37" s="143">
        <f t="shared" si="1"/>
        <v>135996.110224039</v>
      </c>
    </row>
    <row r="38" s="126" customFormat="1" customHeight="1" spans="1:10">
      <c r="A38" s="139">
        <v>35</v>
      </c>
      <c r="B38" s="140" t="s">
        <v>120</v>
      </c>
      <c r="C38" s="145" t="s">
        <v>121</v>
      </c>
      <c r="D38" s="141" t="s">
        <v>38</v>
      </c>
      <c r="E38" s="143">
        <f>'05工程量计算底稿你'!P44</f>
        <v>70.18</v>
      </c>
      <c r="F38" s="143" t="s">
        <v>77</v>
      </c>
      <c r="G38" s="143">
        <v>938.219374060334</v>
      </c>
      <c r="H38" s="144">
        <f t="shared" si="5"/>
        <v>0.13</v>
      </c>
      <c r="I38" s="143">
        <f t="shared" si="0"/>
        <v>1060.18789268818</v>
      </c>
      <c r="J38" s="143">
        <f t="shared" si="1"/>
        <v>74403.9863088563</v>
      </c>
    </row>
    <row r="39" s="126" customFormat="1" customHeight="1" spans="1:10">
      <c r="A39" s="139">
        <v>36</v>
      </c>
      <c r="B39" s="140" t="s">
        <v>120</v>
      </c>
      <c r="C39" s="145" t="s">
        <v>122</v>
      </c>
      <c r="D39" s="141" t="s">
        <v>38</v>
      </c>
      <c r="E39" s="143">
        <f>'05工程量计算底稿你'!P46</f>
        <v>100.8</v>
      </c>
      <c r="F39" s="143" t="s">
        <v>77</v>
      </c>
      <c r="G39" s="143">
        <v>983.882922976588</v>
      </c>
      <c r="H39" s="144">
        <f t="shared" si="5"/>
        <v>0.13</v>
      </c>
      <c r="I39" s="143">
        <f t="shared" si="0"/>
        <v>1111.78770296354</v>
      </c>
      <c r="J39" s="143">
        <f t="shared" si="1"/>
        <v>112068.200458725</v>
      </c>
    </row>
    <row r="40" s="126" customFormat="1" customHeight="1" spans="1:10">
      <c r="A40" s="139">
        <v>37</v>
      </c>
      <c r="B40" s="140" t="s">
        <v>120</v>
      </c>
      <c r="C40" s="145" t="s">
        <v>113</v>
      </c>
      <c r="D40" s="141" t="s">
        <v>38</v>
      </c>
      <c r="E40" s="143">
        <f>'05工程量计算底稿你'!P47</f>
        <v>15.6</v>
      </c>
      <c r="F40" s="143" t="s">
        <v>77</v>
      </c>
      <c r="G40" s="143">
        <v>766.452370463204</v>
      </c>
      <c r="H40" s="144">
        <f t="shared" si="5"/>
        <v>0.13</v>
      </c>
      <c r="I40" s="143">
        <f t="shared" si="0"/>
        <v>866.09117862342</v>
      </c>
      <c r="J40" s="143">
        <f t="shared" si="1"/>
        <v>13511.0223865254</v>
      </c>
    </row>
    <row r="41" s="126" customFormat="1" customHeight="1" spans="1:10">
      <c r="A41" s="139">
        <v>38</v>
      </c>
      <c r="B41" s="140" t="s">
        <v>117</v>
      </c>
      <c r="C41" s="145" t="s">
        <v>123</v>
      </c>
      <c r="D41" s="141" t="s">
        <v>38</v>
      </c>
      <c r="E41" s="143">
        <f>'05工程量计算底稿你'!P48</f>
        <v>3.72</v>
      </c>
      <c r="F41" s="143" t="s">
        <v>77</v>
      </c>
      <c r="G41" s="143">
        <v>874.622093476713</v>
      </c>
      <c r="H41" s="144">
        <f t="shared" si="5"/>
        <v>0.13</v>
      </c>
      <c r="I41" s="143">
        <f t="shared" si="0"/>
        <v>988.322965628686</v>
      </c>
      <c r="J41" s="143">
        <f t="shared" si="1"/>
        <v>3676.56143213871</v>
      </c>
    </row>
    <row r="42" s="126" customFormat="1" customHeight="1" spans="1:10">
      <c r="A42" s="139">
        <v>39</v>
      </c>
      <c r="B42" s="140" t="s">
        <v>117</v>
      </c>
      <c r="C42" s="145" t="s">
        <v>124</v>
      </c>
      <c r="D42" s="141" t="s">
        <v>38</v>
      </c>
      <c r="E42" s="143">
        <f>'05工程量计算底稿你'!P49</f>
        <v>4.06</v>
      </c>
      <c r="F42" s="143" t="s">
        <v>77</v>
      </c>
      <c r="G42" s="143">
        <v>827.447042079258</v>
      </c>
      <c r="H42" s="144">
        <f t="shared" si="5"/>
        <v>0.13</v>
      </c>
      <c r="I42" s="143">
        <f t="shared" si="0"/>
        <v>935.015157549561</v>
      </c>
      <c r="J42" s="143">
        <f t="shared" si="1"/>
        <v>3796.16153965122</v>
      </c>
    </row>
    <row r="43" s="126" customFormat="1" customHeight="1" spans="1:10">
      <c r="A43" s="139">
        <v>40</v>
      </c>
      <c r="B43" s="140" t="s">
        <v>117</v>
      </c>
      <c r="C43" s="145" t="s">
        <v>125</v>
      </c>
      <c r="D43" s="141" t="s">
        <v>38</v>
      </c>
      <c r="E43" s="143">
        <f>'05工程量计算底稿你'!P52</f>
        <v>11.2</v>
      </c>
      <c r="F43" s="143" t="s">
        <v>77</v>
      </c>
      <c r="G43" s="143">
        <v>772.781889077559</v>
      </c>
      <c r="H43" s="144">
        <f t="shared" si="5"/>
        <v>0.13</v>
      </c>
      <c r="I43" s="143">
        <f t="shared" si="0"/>
        <v>873.243534657642</v>
      </c>
      <c r="J43" s="143">
        <f t="shared" si="1"/>
        <v>9780.32758816558</v>
      </c>
    </row>
    <row r="44" s="126" customFormat="1" customHeight="1" spans="1:10">
      <c r="A44" s="139">
        <v>41</v>
      </c>
      <c r="B44" s="140" t="s">
        <v>117</v>
      </c>
      <c r="C44" s="145" t="s">
        <v>126</v>
      </c>
      <c r="D44" s="141" t="s">
        <v>38</v>
      </c>
      <c r="E44" s="143">
        <f>'05工程量计算底稿你'!P50+'05工程量计算底稿你'!P45</f>
        <v>95.7</v>
      </c>
      <c r="F44" s="143" t="s">
        <v>77</v>
      </c>
      <c r="G44" s="143">
        <v>693.566404783518</v>
      </c>
      <c r="H44" s="144">
        <f t="shared" si="5"/>
        <v>0.13</v>
      </c>
      <c r="I44" s="143">
        <f t="shared" si="0"/>
        <v>783.730037405375</v>
      </c>
      <c r="J44" s="143">
        <f t="shared" si="1"/>
        <v>75002.9645796944</v>
      </c>
    </row>
    <row r="45" s="126" customFormat="1" customHeight="1" spans="1:10">
      <c r="A45" s="139">
        <v>42</v>
      </c>
      <c r="B45" s="140" t="s">
        <v>117</v>
      </c>
      <c r="C45" s="145" t="s">
        <v>127</v>
      </c>
      <c r="D45" s="141" t="s">
        <v>38</v>
      </c>
      <c r="E45" s="143">
        <f>'05工程量计算底稿你'!P51</f>
        <v>4.5</v>
      </c>
      <c r="F45" s="143" t="s">
        <v>77</v>
      </c>
      <c r="G45" s="143">
        <v>800.708892980379</v>
      </c>
      <c r="H45" s="144">
        <f t="shared" ref="H45:H54" si="6">$H$3</f>
        <v>0.13</v>
      </c>
      <c r="I45" s="143">
        <f t="shared" si="0"/>
        <v>904.801049067828</v>
      </c>
      <c r="J45" s="143">
        <f t="shared" si="1"/>
        <v>4071.60472080523</v>
      </c>
    </row>
    <row r="46" s="126" customFormat="1" customHeight="1" spans="1:10">
      <c r="A46" s="139">
        <v>43</v>
      </c>
      <c r="B46" s="140" t="s">
        <v>117</v>
      </c>
      <c r="C46" s="145" t="s">
        <v>128</v>
      </c>
      <c r="D46" s="141" t="s">
        <v>38</v>
      </c>
      <c r="E46" s="143">
        <f>'05工程量计算底稿你'!P53</f>
        <v>5.22</v>
      </c>
      <c r="F46" s="143" t="s">
        <v>77</v>
      </c>
      <c r="G46" s="143">
        <v>655.064407841961</v>
      </c>
      <c r="H46" s="144">
        <f t="shared" si="6"/>
        <v>0.13</v>
      </c>
      <c r="I46" s="143">
        <f t="shared" si="0"/>
        <v>740.222780861416</v>
      </c>
      <c r="J46" s="143">
        <f t="shared" si="1"/>
        <v>3863.96291609659</v>
      </c>
    </row>
    <row r="47" s="126" customFormat="1" customHeight="1" spans="1:10">
      <c r="A47" s="139">
        <v>44</v>
      </c>
      <c r="B47" s="140" t="s">
        <v>117</v>
      </c>
      <c r="C47" s="145" t="s">
        <v>84</v>
      </c>
      <c r="D47" s="141" t="s">
        <v>38</v>
      </c>
      <c r="E47" s="143">
        <f>'05工程量计算底稿你'!P54</f>
        <v>6</v>
      </c>
      <c r="F47" s="143" t="s">
        <v>77</v>
      </c>
      <c r="G47" s="143">
        <v>742.411703761086</v>
      </c>
      <c r="H47" s="144">
        <f t="shared" si="6"/>
        <v>0.13</v>
      </c>
      <c r="I47" s="143">
        <f t="shared" si="0"/>
        <v>838.925225250027</v>
      </c>
      <c r="J47" s="143">
        <f t="shared" si="1"/>
        <v>5033.55135150016</v>
      </c>
    </row>
    <row r="48" s="126" customFormat="1" customHeight="1" spans="1:10">
      <c r="A48" s="139">
        <v>45</v>
      </c>
      <c r="B48" s="140" t="s">
        <v>117</v>
      </c>
      <c r="C48" s="145" t="s">
        <v>129</v>
      </c>
      <c r="D48" s="141" t="s">
        <v>38</v>
      </c>
      <c r="E48" s="143">
        <f>'05工程量计算底稿你'!P55</f>
        <v>3.45</v>
      </c>
      <c r="F48" s="143" t="s">
        <v>77</v>
      </c>
      <c r="G48" s="143">
        <v>873.294150320037</v>
      </c>
      <c r="H48" s="144">
        <f t="shared" si="6"/>
        <v>0.13</v>
      </c>
      <c r="I48" s="143">
        <f t="shared" si="0"/>
        <v>986.822389861642</v>
      </c>
      <c r="J48" s="143">
        <f t="shared" si="1"/>
        <v>3404.53724502266</v>
      </c>
    </row>
    <row r="49" s="126" customFormat="1" customHeight="1" spans="1:10">
      <c r="A49" s="139">
        <v>46</v>
      </c>
      <c r="B49" s="140" t="s">
        <v>117</v>
      </c>
      <c r="C49" s="145" t="s">
        <v>130</v>
      </c>
      <c r="D49" s="141" t="s">
        <v>38</v>
      </c>
      <c r="E49" s="143">
        <f>'05工程量计算底稿你'!P56</f>
        <v>3.21</v>
      </c>
      <c r="F49" s="143" t="s">
        <v>77</v>
      </c>
      <c r="G49" s="143">
        <v>899.861303333246</v>
      </c>
      <c r="H49" s="144">
        <f t="shared" si="6"/>
        <v>0.13</v>
      </c>
      <c r="I49" s="143">
        <f t="shared" si="0"/>
        <v>1016.84327276657</v>
      </c>
      <c r="J49" s="143">
        <f t="shared" si="1"/>
        <v>3264.06690558068</v>
      </c>
    </row>
    <row r="50" s="126" customFormat="1" customHeight="1" spans="1:10">
      <c r="A50" s="139">
        <v>47</v>
      </c>
      <c r="B50" s="140" t="s">
        <v>117</v>
      </c>
      <c r="C50" s="145" t="s">
        <v>131</v>
      </c>
      <c r="D50" s="141" t="s">
        <v>38</v>
      </c>
      <c r="E50" s="143">
        <f>'05工程量计算底稿你'!P57</f>
        <v>1.62</v>
      </c>
      <c r="F50" s="143" t="s">
        <v>77</v>
      </c>
      <c r="G50" s="143">
        <v>947.626204520188</v>
      </c>
      <c r="H50" s="144">
        <f t="shared" si="6"/>
        <v>0.13</v>
      </c>
      <c r="I50" s="143">
        <f t="shared" si="0"/>
        <v>1070.81761110781</v>
      </c>
      <c r="J50" s="143">
        <f t="shared" si="1"/>
        <v>1734.72452999466</v>
      </c>
    </row>
    <row r="51" s="126" customFormat="1" customHeight="1" spans="1:10">
      <c r="A51" s="139">
        <v>48</v>
      </c>
      <c r="B51" s="140" t="s">
        <v>132</v>
      </c>
      <c r="C51" s="145" t="s">
        <v>94</v>
      </c>
      <c r="D51" s="141" t="s">
        <v>45</v>
      </c>
      <c r="E51" s="143">
        <f>'05工程量计算底稿你'!P59</f>
        <v>257.52</v>
      </c>
      <c r="F51" s="143" t="s">
        <v>77</v>
      </c>
      <c r="G51" s="143">
        <v>987.208600347918</v>
      </c>
      <c r="H51" s="144">
        <f t="shared" si="6"/>
        <v>0.13</v>
      </c>
      <c r="I51" s="143">
        <f t="shared" si="0"/>
        <v>1115.54571839315</v>
      </c>
      <c r="J51" s="143">
        <f t="shared" si="1"/>
        <v>287275.333400603</v>
      </c>
    </row>
    <row r="52" s="126" customFormat="1" customHeight="1" spans="1:10">
      <c r="A52" s="139">
        <v>49</v>
      </c>
      <c r="B52" s="140" t="s">
        <v>132</v>
      </c>
      <c r="C52" s="145" t="s">
        <v>133</v>
      </c>
      <c r="D52" s="141" t="s">
        <v>45</v>
      </c>
      <c r="E52" s="143">
        <f>'05工程量计算底稿你'!P60</f>
        <v>104.4</v>
      </c>
      <c r="F52" s="143" t="s">
        <v>77</v>
      </c>
      <c r="G52" s="143">
        <v>936.415546455395</v>
      </c>
      <c r="H52" s="144">
        <f t="shared" si="6"/>
        <v>0.13</v>
      </c>
      <c r="I52" s="143">
        <f t="shared" si="0"/>
        <v>1058.1495674946</v>
      </c>
      <c r="J52" s="143">
        <f t="shared" si="1"/>
        <v>110470.814846436</v>
      </c>
    </row>
    <row r="53" s="126" customFormat="1" customHeight="1" spans="1:10">
      <c r="A53" s="139">
        <v>50</v>
      </c>
      <c r="B53" s="140" t="s">
        <v>132</v>
      </c>
      <c r="C53" s="145" t="s">
        <v>134</v>
      </c>
      <c r="D53" s="141" t="s">
        <v>45</v>
      </c>
      <c r="E53" s="143">
        <f>'05工程量计算底稿你'!P61</f>
        <v>121.8</v>
      </c>
      <c r="F53" s="143" t="s">
        <v>77</v>
      </c>
      <c r="G53" s="143">
        <v>1053.63028620737</v>
      </c>
      <c r="H53" s="144">
        <f t="shared" si="6"/>
        <v>0.13</v>
      </c>
      <c r="I53" s="143">
        <f t="shared" si="0"/>
        <v>1190.60222341433</v>
      </c>
      <c r="J53" s="143">
        <f t="shared" si="1"/>
        <v>145015.350811865</v>
      </c>
    </row>
    <row r="54" s="126" customFormat="1" customHeight="1" spans="1:10">
      <c r="A54" s="139">
        <v>51</v>
      </c>
      <c r="B54" s="140" t="s">
        <v>132</v>
      </c>
      <c r="C54" s="145" t="s">
        <v>135</v>
      </c>
      <c r="D54" s="141" t="s">
        <v>45</v>
      </c>
      <c r="E54" s="143">
        <f>'05工程量计算底稿你'!P62</f>
        <v>19.2</v>
      </c>
      <c r="F54" s="143" t="s">
        <v>77</v>
      </c>
      <c r="G54" s="143">
        <v>975.017788714723</v>
      </c>
      <c r="H54" s="144">
        <f t="shared" si="6"/>
        <v>0.13</v>
      </c>
      <c r="I54" s="143">
        <f t="shared" si="0"/>
        <v>1101.77010124764</v>
      </c>
      <c r="J54" s="143">
        <f t="shared" si="1"/>
        <v>21153.9859439546</v>
      </c>
    </row>
    <row r="55" s="126" customFormat="1" customHeight="1" spans="1:10">
      <c r="A55" s="139">
        <v>52</v>
      </c>
      <c r="B55" s="140" t="s">
        <v>136</v>
      </c>
      <c r="C55" s="145" t="s">
        <v>137</v>
      </c>
      <c r="D55" s="141" t="s">
        <v>138</v>
      </c>
      <c r="E55" s="143">
        <f>'05工程量计算底稿你'!P64</f>
        <v>64</v>
      </c>
      <c r="F55" s="143" t="s">
        <v>77</v>
      </c>
      <c r="G55" s="143">
        <v>1337.31975698689</v>
      </c>
      <c r="H55" s="144">
        <f t="shared" ref="H55:H64" si="7">$H$3</f>
        <v>0.13</v>
      </c>
      <c r="I55" s="143">
        <f t="shared" si="0"/>
        <v>1511.17132539518</v>
      </c>
      <c r="J55" s="143">
        <f t="shared" si="1"/>
        <v>96714.9648252918</v>
      </c>
    </row>
    <row r="56" s="126" customFormat="1" customHeight="1" spans="1:10">
      <c r="A56" s="139">
        <v>53</v>
      </c>
      <c r="B56" s="140" t="s">
        <v>136</v>
      </c>
      <c r="C56" s="145" t="s">
        <v>109</v>
      </c>
      <c r="D56" s="141" t="s">
        <v>138</v>
      </c>
      <c r="E56" s="143">
        <f>'05工程量计算底稿你'!P65</f>
        <v>3.6</v>
      </c>
      <c r="F56" s="143" t="s">
        <v>77</v>
      </c>
      <c r="G56" s="143">
        <v>951.085206621386</v>
      </c>
      <c r="H56" s="144">
        <f t="shared" si="7"/>
        <v>0.13</v>
      </c>
      <c r="I56" s="143">
        <f t="shared" si="0"/>
        <v>1074.72628348217</v>
      </c>
      <c r="J56" s="143">
        <f t="shared" si="1"/>
        <v>3869.0146205358</v>
      </c>
    </row>
    <row r="57" s="126" customFormat="1" ht="45" customHeight="1" spans="1:10">
      <c r="A57" s="139">
        <v>54</v>
      </c>
      <c r="B57" s="140" t="s">
        <v>139</v>
      </c>
      <c r="C57" s="145" t="s">
        <v>140</v>
      </c>
      <c r="D57" s="141" t="s">
        <v>141</v>
      </c>
      <c r="E57" s="143">
        <f>2.05*2.2*4</f>
        <v>18.04</v>
      </c>
      <c r="F57" s="143" t="s">
        <v>77</v>
      </c>
      <c r="G57" s="143">
        <v>514.985711205141</v>
      </c>
      <c r="H57" s="144">
        <f t="shared" si="7"/>
        <v>0.13</v>
      </c>
      <c r="I57" s="143">
        <f t="shared" si="0"/>
        <v>581.933853661809</v>
      </c>
      <c r="J57" s="143">
        <f t="shared" si="1"/>
        <v>10498.086720059</v>
      </c>
    </row>
    <row r="58" s="126" customFormat="1" ht="49" customHeight="1" spans="1:10">
      <c r="A58" s="139">
        <v>55</v>
      </c>
      <c r="B58" s="140" t="s">
        <v>139</v>
      </c>
      <c r="C58" s="145" t="s">
        <v>142</v>
      </c>
      <c r="D58" s="141" t="s">
        <v>53</v>
      </c>
      <c r="E58" s="143">
        <f>3.3*2.2*2</f>
        <v>14.52</v>
      </c>
      <c r="F58" s="143" t="s">
        <v>77</v>
      </c>
      <c r="G58" s="143">
        <v>492.59423581577</v>
      </c>
      <c r="H58" s="144">
        <f t="shared" si="7"/>
        <v>0.13</v>
      </c>
      <c r="I58" s="143">
        <f t="shared" si="0"/>
        <v>556.631486471819</v>
      </c>
      <c r="J58" s="143">
        <f t="shared" si="1"/>
        <v>8082.28918357082</v>
      </c>
    </row>
    <row r="59" s="126" customFormat="1" customHeight="1" spans="1:10">
      <c r="A59" s="139">
        <v>56</v>
      </c>
      <c r="B59" s="140" t="s">
        <v>139</v>
      </c>
      <c r="C59" s="145" t="s">
        <v>143</v>
      </c>
      <c r="D59" s="141" t="s">
        <v>141</v>
      </c>
      <c r="E59" s="143">
        <f>2.05*2.35*76</f>
        <v>366.13</v>
      </c>
      <c r="F59" s="143" t="s">
        <v>77</v>
      </c>
      <c r="G59" s="143">
        <v>508.687394780403</v>
      </c>
      <c r="H59" s="144">
        <f t="shared" si="7"/>
        <v>0.13</v>
      </c>
      <c r="I59" s="143">
        <f t="shared" si="0"/>
        <v>574.816756101855</v>
      </c>
      <c r="J59" s="143">
        <f t="shared" si="1"/>
        <v>210457.658911572</v>
      </c>
    </row>
    <row r="60" s="126" customFormat="1" customHeight="1" spans="1:10">
      <c r="A60" s="139">
        <v>57</v>
      </c>
      <c r="B60" s="140" t="s">
        <v>139</v>
      </c>
      <c r="C60" s="145" t="s">
        <v>144</v>
      </c>
      <c r="D60" s="141" t="s">
        <v>53</v>
      </c>
      <c r="E60" s="143">
        <f>3.3*2.76*38</f>
        <v>346.104</v>
      </c>
      <c r="F60" s="143" t="s">
        <v>77</v>
      </c>
      <c r="G60" s="143">
        <v>497.971057026543</v>
      </c>
      <c r="H60" s="144">
        <f t="shared" si="7"/>
        <v>0.13</v>
      </c>
      <c r="I60" s="143">
        <f t="shared" si="0"/>
        <v>562.707294439994</v>
      </c>
      <c r="J60" s="143">
        <f t="shared" si="1"/>
        <v>194755.24543486</v>
      </c>
    </row>
    <row r="61" s="126" customFormat="1" ht="47" customHeight="1" spans="1:10">
      <c r="A61" s="139">
        <v>58</v>
      </c>
      <c r="B61" s="140" t="s">
        <v>139</v>
      </c>
      <c r="C61" s="145" t="s">
        <v>145</v>
      </c>
      <c r="D61" s="141" t="s">
        <v>141</v>
      </c>
      <c r="E61" s="143">
        <f>2.9*2.35*38</f>
        <v>258.97</v>
      </c>
      <c r="F61" s="143" t="s">
        <v>77</v>
      </c>
      <c r="G61" s="143">
        <v>491.520421201367</v>
      </c>
      <c r="H61" s="144">
        <f t="shared" si="7"/>
        <v>0.13</v>
      </c>
      <c r="I61" s="143">
        <f t="shared" si="0"/>
        <v>555.418075957544</v>
      </c>
      <c r="J61" s="143">
        <f t="shared" si="1"/>
        <v>143836.619130725</v>
      </c>
    </row>
    <row r="62" s="126" customFormat="1" customHeight="1" spans="1:10">
      <c r="A62" s="139">
        <v>59</v>
      </c>
      <c r="B62" s="140" t="s">
        <v>139</v>
      </c>
      <c r="C62" s="145" t="s">
        <v>146</v>
      </c>
      <c r="D62" s="141" t="s">
        <v>53</v>
      </c>
      <c r="E62" s="143">
        <f>2*2.9*12</f>
        <v>69.6</v>
      </c>
      <c r="F62" s="143" t="s">
        <v>77</v>
      </c>
      <c r="G62" s="143">
        <v>515.239375825125</v>
      </c>
      <c r="H62" s="144">
        <f t="shared" si="7"/>
        <v>0.13</v>
      </c>
      <c r="I62" s="143">
        <f t="shared" si="0"/>
        <v>582.220494682391</v>
      </c>
      <c r="J62" s="143">
        <f t="shared" si="1"/>
        <v>40522.5464298944</v>
      </c>
    </row>
    <row r="63" s="126" customFormat="1" customHeight="1" spans="1:10">
      <c r="A63" s="139">
        <v>60</v>
      </c>
      <c r="B63" s="140" t="s">
        <v>139</v>
      </c>
      <c r="C63" s="145" t="s">
        <v>147</v>
      </c>
      <c r="D63" s="141" t="s">
        <v>53</v>
      </c>
      <c r="E63" s="143">
        <f>2.95*2.9*8</f>
        <v>68.44</v>
      </c>
      <c r="F63" s="143" t="s">
        <v>77</v>
      </c>
      <c r="G63" s="143">
        <v>505.359001823311</v>
      </c>
      <c r="H63" s="144">
        <f t="shared" si="7"/>
        <v>0.13</v>
      </c>
      <c r="I63" s="143">
        <f t="shared" si="0"/>
        <v>571.055672060342</v>
      </c>
      <c r="J63" s="143">
        <f t="shared" si="1"/>
        <v>39083.0501958098</v>
      </c>
    </row>
    <row r="64" s="126" customFormat="1" customHeight="1" spans="1:10">
      <c r="A64" s="139">
        <v>61</v>
      </c>
      <c r="B64" s="140" t="s">
        <v>139</v>
      </c>
      <c r="C64" s="145" t="s">
        <v>148</v>
      </c>
      <c r="D64" s="141" t="s">
        <v>53</v>
      </c>
      <c r="E64" s="143">
        <f>3.6*2.9*4</f>
        <v>41.76</v>
      </c>
      <c r="F64" s="143" t="s">
        <v>77</v>
      </c>
      <c r="G64" s="143">
        <v>483.874313170488</v>
      </c>
      <c r="H64" s="144">
        <f t="shared" si="7"/>
        <v>0.13</v>
      </c>
      <c r="I64" s="143">
        <f t="shared" si="0"/>
        <v>546.777973882651</v>
      </c>
      <c r="J64" s="143">
        <f t="shared" si="1"/>
        <v>22833.4481893395</v>
      </c>
    </row>
    <row r="65" s="126" customFormat="1" customHeight="1" spans="1:10">
      <c r="A65" s="139">
        <v>62</v>
      </c>
      <c r="B65" s="140" t="s">
        <v>139</v>
      </c>
      <c r="C65" s="145" t="s">
        <v>146</v>
      </c>
      <c r="D65" s="141" t="s">
        <v>53</v>
      </c>
      <c r="E65" s="143">
        <f>2*2.9*8</f>
        <v>46.4</v>
      </c>
      <c r="F65" s="143" t="s">
        <v>77</v>
      </c>
      <c r="G65" s="143">
        <v>515.239375825125</v>
      </c>
      <c r="H65" s="144">
        <f t="shared" ref="H65:H74" si="8">$H$3</f>
        <v>0.13</v>
      </c>
      <c r="I65" s="143">
        <f t="shared" si="0"/>
        <v>582.220494682391</v>
      </c>
      <c r="J65" s="143">
        <f t="shared" si="1"/>
        <v>27015.030953263</v>
      </c>
    </row>
    <row r="66" s="126" customFormat="1" customHeight="1" spans="1:10">
      <c r="A66" s="139">
        <v>63</v>
      </c>
      <c r="B66" s="140" t="s">
        <v>139</v>
      </c>
      <c r="C66" s="145" t="s">
        <v>149</v>
      </c>
      <c r="D66" s="141" t="s">
        <v>141</v>
      </c>
      <c r="E66" s="143">
        <f>2.4*2.9*4</f>
        <v>27.84</v>
      </c>
      <c r="F66" s="143" t="s">
        <v>77</v>
      </c>
      <c r="G66" s="143">
        <v>507.711799749718</v>
      </c>
      <c r="H66" s="144">
        <f t="shared" si="8"/>
        <v>0.13</v>
      </c>
      <c r="I66" s="143">
        <f t="shared" si="0"/>
        <v>573.714333717182</v>
      </c>
      <c r="J66" s="143">
        <f t="shared" si="1"/>
        <v>15972.2070506863</v>
      </c>
    </row>
    <row r="67" s="126" customFormat="1" customHeight="1" spans="1:10">
      <c r="A67" s="139">
        <v>64</v>
      </c>
      <c r="B67" s="140" t="s">
        <v>139</v>
      </c>
      <c r="C67" s="145" t="s">
        <v>150</v>
      </c>
      <c r="D67" s="141" t="s">
        <v>141</v>
      </c>
      <c r="E67" s="143">
        <f>2.3*2.9*4</f>
        <v>26.68</v>
      </c>
      <c r="F67" s="143" t="s">
        <v>77</v>
      </c>
      <c r="G67" s="143">
        <v>511.510229321202</v>
      </c>
      <c r="H67" s="144">
        <f t="shared" si="8"/>
        <v>0.13</v>
      </c>
      <c r="I67" s="143">
        <f t="shared" si="0"/>
        <v>578.006559132958</v>
      </c>
      <c r="J67" s="143">
        <f t="shared" si="1"/>
        <v>15421.2149976673</v>
      </c>
    </row>
    <row r="68" s="126" customFormat="1" customHeight="1" spans="1:10">
      <c r="A68" s="139">
        <v>65</v>
      </c>
      <c r="B68" s="140" t="s">
        <v>139</v>
      </c>
      <c r="C68" s="145" t="s">
        <v>151</v>
      </c>
      <c r="D68" s="141" t="s">
        <v>53</v>
      </c>
      <c r="E68" s="143">
        <f>2.7*2.9*4</f>
        <v>31.32</v>
      </c>
      <c r="F68" s="143" t="s">
        <v>77</v>
      </c>
      <c r="G68" s="143">
        <v>520.085206658088</v>
      </c>
      <c r="H68" s="144">
        <f t="shared" si="8"/>
        <v>0.13</v>
      </c>
      <c r="I68" s="143">
        <f t="shared" ref="I68:I89" si="9">G68*(1+H68)</f>
        <v>587.696283523639</v>
      </c>
      <c r="J68" s="143">
        <f t="shared" ref="J68:J89" si="10">E68*I68</f>
        <v>18406.6475999604</v>
      </c>
    </row>
    <row r="69" s="126" customFormat="1" customHeight="1" spans="1:10">
      <c r="A69" s="139">
        <v>66</v>
      </c>
      <c r="B69" s="140" t="s">
        <v>139</v>
      </c>
      <c r="C69" s="145" t="s">
        <v>147</v>
      </c>
      <c r="D69" s="141" t="s">
        <v>53</v>
      </c>
      <c r="E69" s="143">
        <f>2.95*2.9*16</f>
        <v>136.88</v>
      </c>
      <c r="F69" s="143" t="s">
        <v>77</v>
      </c>
      <c r="G69" s="143">
        <v>505.359001823311</v>
      </c>
      <c r="H69" s="144">
        <f t="shared" si="8"/>
        <v>0.13</v>
      </c>
      <c r="I69" s="143">
        <f t="shared" si="9"/>
        <v>571.055672060342</v>
      </c>
      <c r="J69" s="143">
        <f t="shared" si="10"/>
        <v>78166.1003916196</v>
      </c>
    </row>
    <row r="70" s="126" customFormat="1" ht="43" customHeight="1" spans="1:10">
      <c r="A70" s="139">
        <v>67</v>
      </c>
      <c r="B70" s="140" t="s">
        <v>152</v>
      </c>
      <c r="C70" s="145" t="s">
        <v>153</v>
      </c>
      <c r="D70" s="141" t="s">
        <v>154</v>
      </c>
      <c r="E70" s="143">
        <f>5.4*4.05*2</f>
        <v>43.74</v>
      </c>
      <c r="F70" s="143" t="s">
        <v>77</v>
      </c>
      <c r="G70" s="143">
        <v>591.728413600628</v>
      </c>
      <c r="H70" s="144">
        <f t="shared" si="8"/>
        <v>0.13</v>
      </c>
      <c r="I70" s="143">
        <f t="shared" si="9"/>
        <v>668.653107368709</v>
      </c>
      <c r="J70" s="143">
        <f t="shared" si="10"/>
        <v>29246.8869163073</v>
      </c>
    </row>
    <row r="71" s="126" customFormat="1" ht="43" customHeight="1" spans="1:10">
      <c r="A71" s="139">
        <v>68</v>
      </c>
      <c r="B71" s="140" t="s">
        <v>155</v>
      </c>
      <c r="C71" s="145" t="s">
        <v>156</v>
      </c>
      <c r="D71" s="141" t="s">
        <v>154</v>
      </c>
      <c r="E71" s="143">
        <f>4.9*4.05*2</f>
        <v>39.69</v>
      </c>
      <c r="F71" s="143" t="s">
        <v>77</v>
      </c>
      <c r="G71" s="143">
        <v>569.747801786618</v>
      </c>
      <c r="H71" s="144">
        <f t="shared" si="8"/>
        <v>0.13</v>
      </c>
      <c r="I71" s="143">
        <f t="shared" si="9"/>
        <v>643.815016018878</v>
      </c>
      <c r="J71" s="143">
        <f t="shared" si="10"/>
        <v>25553.0179857893</v>
      </c>
    </row>
    <row r="72" s="126" customFormat="1" customHeight="1" spans="1:10">
      <c r="A72" s="139">
        <v>69</v>
      </c>
      <c r="B72" s="140" t="s">
        <v>157</v>
      </c>
      <c r="C72" s="145" t="s">
        <v>158</v>
      </c>
      <c r="D72" s="141" t="s">
        <v>154</v>
      </c>
      <c r="E72" s="143">
        <f>4.6*4.05*2</f>
        <v>37.26</v>
      </c>
      <c r="F72" s="143" t="s">
        <v>77</v>
      </c>
      <c r="G72" s="143">
        <v>598.98363959791</v>
      </c>
      <c r="H72" s="144">
        <f t="shared" si="8"/>
        <v>0.13</v>
      </c>
      <c r="I72" s="143">
        <f t="shared" si="9"/>
        <v>676.851512745639</v>
      </c>
      <c r="J72" s="143">
        <f t="shared" si="10"/>
        <v>25219.4873649025</v>
      </c>
    </row>
    <row r="73" s="126" customFormat="1" customHeight="1" spans="1:10">
      <c r="A73" s="139">
        <v>70</v>
      </c>
      <c r="B73" s="140" t="s">
        <v>159</v>
      </c>
      <c r="C73" s="145" t="s">
        <v>160</v>
      </c>
      <c r="D73" s="141" t="s">
        <v>154</v>
      </c>
      <c r="E73" s="143">
        <f>7*4.05*2</f>
        <v>56.7</v>
      </c>
      <c r="F73" s="143" t="s">
        <v>77</v>
      </c>
      <c r="G73" s="143">
        <v>584.045335904238</v>
      </c>
      <c r="H73" s="144">
        <f t="shared" si="8"/>
        <v>0.13</v>
      </c>
      <c r="I73" s="143">
        <f t="shared" si="9"/>
        <v>659.971229571789</v>
      </c>
      <c r="J73" s="143">
        <f t="shared" si="10"/>
        <v>37420.3687167204</v>
      </c>
    </row>
    <row r="74" s="126" customFormat="1" ht="47" customHeight="1" spans="1:10">
      <c r="A74" s="139">
        <v>71</v>
      </c>
      <c r="B74" s="140" t="s">
        <v>161</v>
      </c>
      <c r="C74" s="145" t="s">
        <v>162</v>
      </c>
      <c r="D74" s="141" t="s">
        <v>154</v>
      </c>
      <c r="E74" s="143">
        <f>5.7*4.05*2</f>
        <v>46.17</v>
      </c>
      <c r="F74" s="143" t="s">
        <v>77</v>
      </c>
      <c r="G74" s="143">
        <v>579.528677432432</v>
      </c>
      <c r="H74" s="144">
        <f t="shared" si="8"/>
        <v>0.13</v>
      </c>
      <c r="I74" s="143">
        <f t="shared" si="9"/>
        <v>654.867405498648</v>
      </c>
      <c r="J74" s="143">
        <f t="shared" si="10"/>
        <v>30235.2281118726</v>
      </c>
    </row>
    <row r="75" s="126" customFormat="1" customHeight="1" spans="1:10">
      <c r="A75" s="139">
        <v>72</v>
      </c>
      <c r="B75" s="140" t="s">
        <v>163</v>
      </c>
      <c r="C75" s="145" t="s">
        <v>160</v>
      </c>
      <c r="D75" s="141" t="s">
        <v>154</v>
      </c>
      <c r="E75" s="143">
        <f>7*4.05</f>
        <v>28.35</v>
      </c>
      <c r="F75" s="143" t="s">
        <v>77</v>
      </c>
      <c r="G75" s="143">
        <v>583.663437942474</v>
      </c>
      <c r="H75" s="144">
        <f t="shared" ref="H75:H81" si="11">$H$3</f>
        <v>0.13</v>
      </c>
      <c r="I75" s="143">
        <f t="shared" si="9"/>
        <v>659.539684874995</v>
      </c>
      <c r="J75" s="143">
        <f t="shared" si="10"/>
        <v>18697.9500662061</v>
      </c>
    </row>
    <row r="76" s="126" customFormat="1" customHeight="1" spans="1:10">
      <c r="A76" s="139">
        <v>73</v>
      </c>
      <c r="B76" s="140" t="s">
        <v>164</v>
      </c>
      <c r="C76" s="145" t="s">
        <v>160</v>
      </c>
      <c r="D76" s="141" t="s">
        <v>154</v>
      </c>
      <c r="E76" s="143">
        <f>7*4.05</f>
        <v>28.35</v>
      </c>
      <c r="F76" s="143" t="s">
        <v>77</v>
      </c>
      <c r="G76" s="143">
        <v>739.742127247659</v>
      </c>
      <c r="H76" s="144">
        <f t="shared" si="11"/>
        <v>0.13</v>
      </c>
      <c r="I76" s="143">
        <f t="shared" si="9"/>
        <v>835.908603789855</v>
      </c>
      <c r="J76" s="143">
        <f t="shared" si="10"/>
        <v>23698.0089174424</v>
      </c>
    </row>
    <row r="77" s="126" customFormat="1" customHeight="1" spans="1:10">
      <c r="A77" s="139">
        <v>74</v>
      </c>
      <c r="B77" s="140" t="s">
        <v>165</v>
      </c>
      <c r="C77" s="145" t="s">
        <v>166</v>
      </c>
      <c r="D77" s="141" t="s">
        <v>154</v>
      </c>
      <c r="E77" s="143">
        <f>6.8*4.05*2</f>
        <v>55.08</v>
      </c>
      <c r="F77" s="143" t="s">
        <v>77</v>
      </c>
      <c r="G77" s="143">
        <v>747.961412921396</v>
      </c>
      <c r="H77" s="144">
        <f t="shared" si="11"/>
        <v>0.13</v>
      </c>
      <c r="I77" s="143">
        <f t="shared" si="9"/>
        <v>845.196396601177</v>
      </c>
      <c r="J77" s="143">
        <f t="shared" si="10"/>
        <v>46553.4175247928</v>
      </c>
    </row>
    <row r="78" s="126" customFormat="1" customHeight="1" spans="1:10">
      <c r="A78" s="139">
        <v>75</v>
      </c>
      <c r="B78" s="140" t="s">
        <v>167</v>
      </c>
      <c r="C78" s="145" t="s">
        <v>168</v>
      </c>
      <c r="D78" s="141" t="s">
        <v>154</v>
      </c>
      <c r="E78" s="143">
        <f>2.8*4.05</f>
        <v>11.34</v>
      </c>
      <c r="F78" s="143" t="s">
        <v>77</v>
      </c>
      <c r="G78" s="143">
        <v>658.773669253683</v>
      </c>
      <c r="H78" s="144">
        <f t="shared" si="11"/>
        <v>0.13</v>
      </c>
      <c r="I78" s="143">
        <f t="shared" si="9"/>
        <v>744.414246256662</v>
      </c>
      <c r="J78" s="143">
        <f t="shared" si="10"/>
        <v>8441.65755255054</v>
      </c>
    </row>
    <row r="79" s="126" customFormat="1" ht="48" customHeight="1" spans="1:10">
      <c r="A79" s="139">
        <v>76</v>
      </c>
      <c r="B79" s="140" t="s">
        <v>169</v>
      </c>
      <c r="C79" s="145" t="s">
        <v>170</v>
      </c>
      <c r="D79" s="141" t="s">
        <v>50</v>
      </c>
      <c r="E79" s="143">
        <f>1.4*2.1*4</f>
        <v>11.76</v>
      </c>
      <c r="F79" s="143" t="s">
        <v>77</v>
      </c>
      <c r="G79" s="143">
        <v>954.524637680192</v>
      </c>
      <c r="H79" s="144">
        <f t="shared" si="11"/>
        <v>0.13</v>
      </c>
      <c r="I79" s="143">
        <f t="shared" si="9"/>
        <v>1078.61284057862</v>
      </c>
      <c r="J79" s="143">
        <f t="shared" si="10"/>
        <v>12684.4870052045</v>
      </c>
    </row>
    <row r="80" s="126" customFormat="1" customHeight="1" spans="1:10">
      <c r="A80" s="139">
        <v>77</v>
      </c>
      <c r="B80" s="140" t="s">
        <v>169</v>
      </c>
      <c r="C80" s="145" t="s">
        <v>171</v>
      </c>
      <c r="D80" s="141" t="s">
        <v>154</v>
      </c>
      <c r="E80" s="143">
        <f>1.8*4.05*5</f>
        <v>36.45</v>
      </c>
      <c r="F80" s="143" t="s">
        <v>77</v>
      </c>
      <c r="G80" s="143">
        <v>725.622126353178</v>
      </c>
      <c r="H80" s="144">
        <f t="shared" si="11"/>
        <v>0.13</v>
      </c>
      <c r="I80" s="143">
        <f t="shared" si="9"/>
        <v>819.953002779091</v>
      </c>
      <c r="J80" s="143">
        <f t="shared" si="10"/>
        <v>29887.2869512979</v>
      </c>
    </row>
    <row r="81" s="126" customFormat="1" customHeight="1" spans="1:10">
      <c r="A81" s="139">
        <v>78</v>
      </c>
      <c r="B81" s="140" t="s">
        <v>169</v>
      </c>
      <c r="C81" s="145" t="s">
        <v>171</v>
      </c>
      <c r="D81" s="141" t="s">
        <v>154</v>
      </c>
      <c r="E81" s="143">
        <f>1.8*4.05*2</f>
        <v>14.58</v>
      </c>
      <c r="F81" s="143" t="s">
        <v>77</v>
      </c>
      <c r="G81" s="143">
        <v>725.622126353178</v>
      </c>
      <c r="H81" s="144">
        <f t="shared" si="11"/>
        <v>0.13</v>
      </c>
      <c r="I81" s="143">
        <f t="shared" si="9"/>
        <v>819.953002779091</v>
      </c>
      <c r="J81" s="143">
        <f t="shared" si="10"/>
        <v>11954.9147805191</v>
      </c>
    </row>
    <row r="82" s="126" customFormat="1" customHeight="1" spans="1:10">
      <c r="A82" s="139">
        <v>79</v>
      </c>
      <c r="B82" s="140" t="s">
        <v>169</v>
      </c>
      <c r="C82" s="145" t="s">
        <v>172</v>
      </c>
      <c r="D82" s="141" t="s">
        <v>154</v>
      </c>
      <c r="E82" s="143">
        <f>2.3*4.3*2</f>
        <v>19.78</v>
      </c>
      <c r="F82" s="143" t="s">
        <v>77</v>
      </c>
      <c r="G82" s="143">
        <v>692.470591894938</v>
      </c>
      <c r="H82" s="144">
        <f t="shared" ref="H82:H89" si="12">$H$3</f>
        <v>0.13</v>
      </c>
      <c r="I82" s="143">
        <f t="shared" si="9"/>
        <v>782.49176884128</v>
      </c>
      <c r="J82" s="143">
        <f t="shared" si="10"/>
        <v>15477.6871876805</v>
      </c>
    </row>
    <row r="83" s="126" customFormat="1" ht="51" customHeight="1" spans="1:10">
      <c r="A83" s="139">
        <v>80</v>
      </c>
      <c r="B83" s="140" t="s">
        <v>169</v>
      </c>
      <c r="C83" s="145" t="s">
        <v>173</v>
      </c>
      <c r="D83" s="141" t="s">
        <v>154</v>
      </c>
      <c r="E83" s="143">
        <f>1.5*3.85*2</f>
        <v>11.55</v>
      </c>
      <c r="F83" s="143" t="s">
        <v>77</v>
      </c>
      <c r="G83" s="143">
        <v>808.32145763201</v>
      </c>
      <c r="H83" s="144">
        <f t="shared" si="12"/>
        <v>0.13</v>
      </c>
      <c r="I83" s="143">
        <f t="shared" si="9"/>
        <v>913.403247124171</v>
      </c>
      <c r="J83" s="143">
        <f t="shared" si="10"/>
        <v>10549.8075042842</v>
      </c>
    </row>
    <row r="84" s="126" customFormat="1" ht="51" customHeight="1" spans="1:10">
      <c r="A84" s="139">
        <v>81</v>
      </c>
      <c r="B84" s="140" t="s">
        <v>169</v>
      </c>
      <c r="C84" s="145" t="s">
        <v>174</v>
      </c>
      <c r="D84" s="141" t="s">
        <v>50</v>
      </c>
      <c r="E84" s="143">
        <f>1.4*2.878*2</f>
        <v>8.0584</v>
      </c>
      <c r="F84" s="143" t="s">
        <v>77</v>
      </c>
      <c r="G84" s="143">
        <v>867.19674859528</v>
      </c>
      <c r="H84" s="144">
        <f t="shared" si="12"/>
        <v>0.13</v>
      </c>
      <c r="I84" s="143">
        <f t="shared" si="9"/>
        <v>979.932325912667</v>
      </c>
      <c r="J84" s="143">
        <f t="shared" si="10"/>
        <v>7896.68665513464</v>
      </c>
    </row>
    <row r="85" s="126" customFormat="1" ht="53" customHeight="1" spans="1:10">
      <c r="A85" s="139">
        <v>82</v>
      </c>
      <c r="B85" s="140" t="s">
        <v>175</v>
      </c>
      <c r="C85" s="145" t="s">
        <v>176</v>
      </c>
      <c r="D85" s="141" t="s">
        <v>154</v>
      </c>
      <c r="E85" s="143">
        <f>4.2*4.3</f>
        <v>18.06</v>
      </c>
      <c r="F85" s="143" t="s">
        <v>77</v>
      </c>
      <c r="G85" s="143">
        <v>582.17065683174</v>
      </c>
      <c r="H85" s="144">
        <f t="shared" si="12"/>
        <v>0.13</v>
      </c>
      <c r="I85" s="143">
        <f t="shared" si="9"/>
        <v>657.852842219866</v>
      </c>
      <c r="J85" s="143">
        <f t="shared" si="10"/>
        <v>11880.8223304908</v>
      </c>
    </row>
    <row r="86" s="126" customFormat="1" customHeight="1" spans="1:10">
      <c r="A86" s="139">
        <v>83</v>
      </c>
      <c r="B86" s="140" t="s">
        <v>177</v>
      </c>
      <c r="C86" s="145" t="s">
        <v>178</v>
      </c>
      <c r="D86" s="141" t="s">
        <v>154</v>
      </c>
      <c r="E86" s="143">
        <f>6.8*4.3</f>
        <v>29.24</v>
      </c>
      <c r="F86" s="143" t="s">
        <v>77</v>
      </c>
      <c r="G86" s="143">
        <v>554.566185556106</v>
      </c>
      <c r="H86" s="144">
        <f t="shared" si="12"/>
        <v>0.13</v>
      </c>
      <c r="I86" s="143">
        <f t="shared" si="9"/>
        <v>626.659789678399</v>
      </c>
      <c r="J86" s="143">
        <f t="shared" si="10"/>
        <v>18323.5322501964</v>
      </c>
    </row>
    <row r="87" s="126" customFormat="1" customHeight="1" spans="1:10">
      <c r="A87" s="139">
        <v>84</v>
      </c>
      <c r="B87" s="140" t="s">
        <v>179</v>
      </c>
      <c r="C87" s="145" t="s">
        <v>180</v>
      </c>
      <c r="D87" s="141" t="s">
        <v>154</v>
      </c>
      <c r="E87" s="143">
        <f>4.1*4.3</f>
        <v>17.63</v>
      </c>
      <c r="F87" s="143" t="s">
        <v>77</v>
      </c>
      <c r="G87" s="143">
        <v>585.834042945415</v>
      </c>
      <c r="H87" s="144">
        <f t="shared" si="12"/>
        <v>0.13</v>
      </c>
      <c r="I87" s="143">
        <f t="shared" si="9"/>
        <v>661.992468528319</v>
      </c>
      <c r="J87" s="143">
        <f t="shared" si="10"/>
        <v>11670.9272201543</v>
      </c>
    </row>
    <row r="88" s="126" customFormat="1" customHeight="1" spans="1:10">
      <c r="A88" s="139">
        <v>85</v>
      </c>
      <c r="B88" s="140" t="s">
        <v>169</v>
      </c>
      <c r="C88" s="145" t="s">
        <v>171</v>
      </c>
      <c r="D88" s="141" t="s">
        <v>154</v>
      </c>
      <c r="E88" s="143">
        <f>1.8*4.05</f>
        <v>7.29</v>
      </c>
      <c r="F88" s="143" t="s">
        <v>77</v>
      </c>
      <c r="G88" s="143">
        <v>685.424415293343</v>
      </c>
      <c r="H88" s="144">
        <f t="shared" si="12"/>
        <v>0.13</v>
      </c>
      <c r="I88" s="143">
        <f t="shared" si="9"/>
        <v>774.529589281478</v>
      </c>
      <c r="J88" s="143">
        <f t="shared" si="10"/>
        <v>5646.32070586197</v>
      </c>
    </row>
    <row r="89" s="126" customFormat="1" ht="45" customHeight="1" spans="1:10">
      <c r="A89" s="139">
        <v>86</v>
      </c>
      <c r="B89" s="140" t="s">
        <v>181</v>
      </c>
      <c r="C89" s="145" t="s">
        <v>168</v>
      </c>
      <c r="D89" s="141" t="s">
        <v>154</v>
      </c>
      <c r="E89" s="143">
        <f>2.8*4.05</f>
        <v>11.34</v>
      </c>
      <c r="F89" s="143" t="s">
        <v>77</v>
      </c>
      <c r="G89" s="143">
        <v>658.773669253683</v>
      </c>
      <c r="H89" s="144">
        <f t="shared" si="12"/>
        <v>0.13</v>
      </c>
      <c r="I89" s="143">
        <f t="shared" si="9"/>
        <v>744.414246256662</v>
      </c>
      <c r="J89" s="143">
        <f t="shared" si="10"/>
        <v>8441.65755255054</v>
      </c>
    </row>
    <row r="90" s="126" customFormat="1" customHeight="1" spans="1:11">
      <c r="A90" s="139">
        <v>87</v>
      </c>
      <c r="B90" s="140" t="s">
        <v>65</v>
      </c>
      <c r="C90" s="145"/>
      <c r="D90" s="145"/>
      <c r="E90" s="143">
        <f>SUM(E4:E89)</f>
        <v>5809.3324</v>
      </c>
      <c r="F90" s="143"/>
      <c r="G90" s="143"/>
      <c r="H90" s="139"/>
      <c r="I90" s="143"/>
      <c r="J90" s="143">
        <f>SUM(J4:J89)</f>
        <v>4839304.10165633</v>
      </c>
      <c r="K90" s="126">
        <f>J90*1.5</f>
        <v>7258956.1524845</v>
      </c>
    </row>
    <row r="91" customHeight="1" spans="5:5">
      <c r="E91" s="126">
        <f>E90-'05工程量计算底稿你'!P110</f>
        <v>0</v>
      </c>
    </row>
  </sheetData>
  <mergeCells count="10">
    <mergeCell ref="A1:J1"/>
    <mergeCell ref="A2:A3"/>
    <mergeCell ref="B2:B3"/>
    <mergeCell ref="C2:C3"/>
    <mergeCell ref="D2:D3"/>
    <mergeCell ref="E2:E3"/>
    <mergeCell ref="F2:F3"/>
    <mergeCell ref="G2:G3"/>
    <mergeCell ref="I2:I3"/>
    <mergeCell ref="J2:J3"/>
  </mergeCells>
  <pageMargins left="0.75" right="0.75" top="1" bottom="1" header="0.5" footer="0.5"/>
  <pageSetup paperSize="9" scale="60" orientation="portrait"/>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17" workbookViewId="0">
      <selection activeCell="F19" sqref="F19"/>
    </sheetView>
  </sheetViews>
  <sheetFormatPr defaultColWidth="9" defaultRowHeight="13.8"/>
  <cols>
    <col min="1" max="1" width="7" style="19" customWidth="1"/>
    <col min="2" max="2" width="5.25" style="19" customWidth="1"/>
    <col min="3" max="3" width="18.75" style="19" customWidth="1"/>
    <col min="4" max="4" width="7.12962962962963" style="19" customWidth="1"/>
    <col min="5" max="5" width="9.5" style="19" customWidth="1"/>
    <col min="6" max="6" width="10.6296296296296" style="112" customWidth="1"/>
    <col min="7" max="7" width="11.75" style="19" customWidth="1"/>
    <col min="8" max="8" width="12.8796296296296" style="1" customWidth="1"/>
    <col min="9" max="9" width="44.5" style="19" customWidth="1"/>
    <col min="10" max="10" width="12.8888888888889" style="19"/>
    <col min="11" max="16384" width="9" style="19"/>
  </cols>
  <sheetData>
    <row r="1" s="19" customFormat="1" ht="27" customHeight="1" spans="1:9">
      <c r="A1" s="113" t="s">
        <v>182</v>
      </c>
      <c r="B1" s="113"/>
      <c r="C1" s="113"/>
      <c r="D1" s="113"/>
      <c r="E1" s="113"/>
      <c r="F1" s="114"/>
      <c r="G1" s="113"/>
      <c r="H1" s="113"/>
      <c r="I1" s="113"/>
    </row>
    <row r="2" s="19" customFormat="1" ht="47" customHeight="1" spans="1:9">
      <c r="A2" s="5" t="s">
        <v>23</v>
      </c>
      <c r="B2" s="5" t="s">
        <v>23</v>
      </c>
      <c r="C2" s="5" t="s">
        <v>183</v>
      </c>
      <c r="D2" s="5" t="s">
        <v>184</v>
      </c>
      <c r="E2" s="5" t="s">
        <v>185</v>
      </c>
      <c r="F2" s="115" t="s">
        <v>186</v>
      </c>
      <c r="G2" s="48" t="s">
        <v>187</v>
      </c>
      <c r="H2" s="48" t="s">
        <v>188</v>
      </c>
      <c r="I2" s="121" t="s">
        <v>29</v>
      </c>
    </row>
    <row r="3" s="19" customFormat="1" ht="92" customHeight="1" spans="1:9">
      <c r="A3" s="5">
        <v>3</v>
      </c>
      <c r="B3" s="5">
        <v>1</v>
      </c>
      <c r="C3" s="17" t="s">
        <v>189</v>
      </c>
      <c r="D3" s="5" t="s">
        <v>190</v>
      </c>
      <c r="E3" s="5">
        <f>'[2]04、栏杆工程量计算书'!O3+'[2]04、栏杆工程量计算书'!O4+'[2]04、栏杆工程量计算书'!O5+'[2]04、栏杆工程量计算书'!O6+'[2]04、栏杆工程量计算书'!O7+'[2]04、栏杆工程量计算书'!O8+'[2]04、栏杆工程量计算书'!O14</f>
        <v>109.92</v>
      </c>
      <c r="F3" s="6">
        <v>137.787793636255</v>
      </c>
      <c r="G3" s="116">
        <v>0.13</v>
      </c>
      <c r="H3" s="6">
        <f t="shared" ref="H3:H20" si="0">E3*F3*(1+G3)</f>
        <v>17114.5667324418</v>
      </c>
      <c r="I3" s="122" t="s">
        <v>191</v>
      </c>
    </row>
    <row r="4" s="19" customFormat="1" ht="81" customHeight="1" spans="1:9">
      <c r="A4" s="5">
        <v>4</v>
      </c>
      <c r="B4" s="5">
        <v>2</v>
      </c>
      <c r="C4" s="17" t="s">
        <v>192</v>
      </c>
      <c r="D4" s="5" t="s">
        <v>190</v>
      </c>
      <c r="E4" s="5">
        <f>'[2]04、栏杆工程量计算书'!O35+'[2]04、栏杆工程量计算书'!O36</f>
        <v>201.6</v>
      </c>
      <c r="F4" s="6">
        <v>119.884656686201</v>
      </c>
      <c r="G4" s="116">
        <f t="shared" ref="G4:G20" si="1">G3</f>
        <v>0.13</v>
      </c>
      <c r="H4" s="6">
        <f t="shared" si="0"/>
        <v>27310.68387037</v>
      </c>
      <c r="I4" s="122" t="s">
        <v>193</v>
      </c>
    </row>
    <row r="5" s="19" customFormat="1" ht="81" customHeight="1" spans="1:9">
      <c r="A5" s="5"/>
      <c r="B5" s="5">
        <v>3</v>
      </c>
      <c r="C5" s="17" t="s">
        <v>194</v>
      </c>
      <c r="D5" s="5" t="s">
        <v>190</v>
      </c>
      <c r="E5" s="5">
        <f>'[2]04、栏杆工程量计算书'!O11+'[2]04、栏杆工程量计算书'!O12+'[2]04、栏杆工程量计算书'!O13+'[2]04、栏杆工程量计算书'!O33+'[2]04、栏杆工程量计算书'!O34</f>
        <v>148.3</v>
      </c>
      <c r="F5" s="6">
        <v>117.212722962186</v>
      </c>
      <c r="G5" s="116">
        <f t="shared" si="1"/>
        <v>0.13</v>
      </c>
      <c r="H5" s="6">
        <f t="shared" si="0"/>
        <v>19642.3909012802</v>
      </c>
      <c r="I5" s="122" t="s">
        <v>193</v>
      </c>
    </row>
    <row r="6" s="19" customFormat="1" ht="81" customHeight="1" spans="1:9">
      <c r="A6" s="5"/>
      <c r="B6" s="5">
        <v>4</v>
      </c>
      <c r="C6" s="17" t="s">
        <v>195</v>
      </c>
      <c r="D6" s="5" t="s">
        <v>190</v>
      </c>
      <c r="E6" s="5">
        <f>'[2]04、栏杆工程量计算书'!O10+'[2]04、栏杆工程量计算书'!O15+'[2]04、栏杆工程量计算书'!O20+'[2]04、栏杆工程量计算书'!O22+'[2]04、栏杆工程量计算书'!O24+'[2]04、栏杆工程量计算书'!O28</f>
        <v>805.2</v>
      </c>
      <c r="F6" s="6">
        <v>162.598597079356</v>
      </c>
      <c r="G6" s="116">
        <f t="shared" si="1"/>
        <v>0.13</v>
      </c>
      <c r="H6" s="6">
        <f t="shared" si="0"/>
        <v>147944.561116177</v>
      </c>
      <c r="I6" s="122" t="s">
        <v>193</v>
      </c>
    </row>
    <row r="7" s="19" customFormat="1" ht="81" customHeight="1" spans="1:9">
      <c r="A7" s="5"/>
      <c r="B7" s="5">
        <v>5</v>
      </c>
      <c r="C7" s="17" t="s">
        <v>196</v>
      </c>
      <c r="D7" s="5" t="s">
        <v>190</v>
      </c>
      <c r="E7" s="5">
        <f>'[2]04、栏杆工程量计算书'!O9+'[2]04、栏杆工程量计算书'!O16+'[2]04、栏杆工程量计算书'!O21+'[2]04、栏杆工程量计算书'!O23+'[2]04、栏杆工程量计算书'!O25+'[2]04、栏杆工程量计算书'!O29</f>
        <v>63</v>
      </c>
      <c r="F7" s="6">
        <v>168.107593229625</v>
      </c>
      <c r="G7" s="116">
        <f t="shared" si="1"/>
        <v>0.13</v>
      </c>
      <c r="H7" s="6">
        <f t="shared" si="0"/>
        <v>11967.579562017</v>
      </c>
      <c r="I7" s="122" t="s">
        <v>193</v>
      </c>
    </row>
    <row r="8" s="19" customFormat="1" ht="92" customHeight="1" spans="1:9">
      <c r="A8" s="5">
        <v>5</v>
      </c>
      <c r="B8" s="5">
        <v>6</v>
      </c>
      <c r="C8" s="5" t="s">
        <v>197</v>
      </c>
      <c r="D8" s="5" t="s">
        <v>190</v>
      </c>
      <c r="E8" s="5">
        <f>'[2]04、栏杆工程量计算书'!O30</f>
        <v>114</v>
      </c>
      <c r="F8" s="6">
        <v>124.363968971848</v>
      </c>
      <c r="G8" s="116">
        <f t="shared" si="1"/>
        <v>0.13</v>
      </c>
      <c r="H8" s="6">
        <f t="shared" si="0"/>
        <v>16020.5664829535</v>
      </c>
      <c r="I8" s="122" t="s">
        <v>198</v>
      </c>
    </row>
    <row r="9" s="19" customFormat="1" ht="92" customHeight="1" spans="1:9">
      <c r="A9" s="5"/>
      <c r="B9" s="5">
        <v>7</v>
      </c>
      <c r="C9" s="5" t="s">
        <v>199</v>
      </c>
      <c r="D9" s="5" t="s">
        <v>190</v>
      </c>
      <c r="E9" s="5">
        <f>'[2]04、栏杆工程量计算书'!O18</f>
        <v>101.84</v>
      </c>
      <c r="F9" s="6">
        <v>144.627826988984</v>
      </c>
      <c r="G9" s="116">
        <f t="shared" si="1"/>
        <v>0.13</v>
      </c>
      <c r="H9" s="6">
        <f t="shared" si="0"/>
        <v>16643.6546276307</v>
      </c>
      <c r="I9" s="122" t="s">
        <v>198</v>
      </c>
    </row>
    <row r="10" s="19" customFormat="1" ht="92" customHeight="1" spans="1:9">
      <c r="A10" s="5"/>
      <c r="B10" s="5">
        <v>8</v>
      </c>
      <c r="C10" s="5" t="s">
        <v>200</v>
      </c>
      <c r="D10" s="5" t="s">
        <v>190</v>
      </c>
      <c r="E10" s="5">
        <f>'[2]04、栏杆工程量计算书'!O19</f>
        <v>5.36</v>
      </c>
      <c r="F10" s="6">
        <v>149.693791493268</v>
      </c>
      <c r="G10" s="116">
        <f t="shared" si="1"/>
        <v>0.13</v>
      </c>
      <c r="H10" s="6">
        <f t="shared" si="0"/>
        <v>906.665356316426</v>
      </c>
      <c r="I10" s="122" t="s">
        <v>198</v>
      </c>
    </row>
    <row r="11" s="19" customFormat="1" ht="87" customHeight="1" spans="1:9">
      <c r="A11" s="5">
        <v>7</v>
      </c>
      <c r="B11" s="5">
        <v>9</v>
      </c>
      <c r="C11" s="5" t="s">
        <v>201</v>
      </c>
      <c r="D11" s="5" t="s">
        <v>190</v>
      </c>
      <c r="E11" s="6">
        <f>'[2]04、栏杆工程量计算书'!O31+'[2]04、栏杆工程量计算书'!O32</f>
        <v>186</v>
      </c>
      <c r="F11" s="6">
        <v>127.27238372093</v>
      </c>
      <c r="G11" s="116">
        <f t="shared" si="1"/>
        <v>0.13</v>
      </c>
      <c r="H11" s="6">
        <f t="shared" si="0"/>
        <v>26750.1096104651</v>
      </c>
      <c r="I11" s="122" t="s">
        <v>198</v>
      </c>
    </row>
    <row r="12" s="19" customFormat="1" ht="87" customHeight="1" spans="1:9">
      <c r="A12" s="5"/>
      <c r="B12" s="5">
        <v>10</v>
      </c>
      <c r="C12" s="5" t="s">
        <v>202</v>
      </c>
      <c r="D12" s="5" t="s">
        <v>190</v>
      </c>
      <c r="E12" s="6">
        <f>'[2]04、栏杆工程量计算书'!O17+'[2]04、栏杆工程量计算书'!O37+'[2]04、栏杆工程量计算书'!O38</f>
        <v>18.4</v>
      </c>
      <c r="F12" s="6">
        <v>184.348153714966</v>
      </c>
      <c r="G12" s="116">
        <f t="shared" si="1"/>
        <v>0.13</v>
      </c>
      <c r="H12" s="6">
        <f t="shared" si="0"/>
        <v>3832.96681204158</v>
      </c>
      <c r="I12" s="122" t="s">
        <v>193</v>
      </c>
    </row>
    <row r="13" s="19" customFormat="1" ht="75" customHeight="1" spans="1:9">
      <c r="A13" s="5">
        <v>8</v>
      </c>
      <c r="B13" s="5">
        <v>11</v>
      </c>
      <c r="C13" s="5" t="s">
        <v>203</v>
      </c>
      <c r="D13" s="5" t="s">
        <v>190</v>
      </c>
      <c r="E13" s="6">
        <f>'[2]04、栏杆工程量计算书'!O26</f>
        <v>28.8</v>
      </c>
      <c r="F13" s="6">
        <v>159.298597079357</v>
      </c>
      <c r="G13" s="116">
        <f t="shared" si="1"/>
        <v>0.13</v>
      </c>
      <c r="H13" s="6">
        <f t="shared" si="0"/>
        <v>5184.21354335058</v>
      </c>
      <c r="I13" s="122" t="s">
        <v>193</v>
      </c>
    </row>
    <row r="14" s="19" customFormat="1" ht="75" customHeight="1" spans="1:9">
      <c r="A14" s="5"/>
      <c r="B14" s="5">
        <v>12</v>
      </c>
      <c r="C14" s="5" t="s">
        <v>204</v>
      </c>
      <c r="D14" s="5" t="s">
        <v>190</v>
      </c>
      <c r="E14" s="6">
        <f>'[2]04、栏杆工程量计算书'!O27</f>
        <v>3.2</v>
      </c>
      <c r="F14" s="6">
        <v>164.807593229625</v>
      </c>
      <c r="G14" s="116">
        <f t="shared" si="1"/>
        <v>0.13</v>
      </c>
      <c r="H14" s="6">
        <f t="shared" si="0"/>
        <v>595.944257118324</v>
      </c>
      <c r="I14" s="122" t="s">
        <v>193</v>
      </c>
    </row>
    <row r="15" s="19" customFormat="1" ht="75" customHeight="1" spans="1:9">
      <c r="A15" s="5"/>
      <c r="B15" s="5">
        <v>13</v>
      </c>
      <c r="C15" s="17" t="s">
        <v>205</v>
      </c>
      <c r="D15" s="5" t="s">
        <v>190</v>
      </c>
      <c r="E15" s="6">
        <f>4.35*2</f>
        <v>8.7</v>
      </c>
      <c r="F15" s="6">
        <v>164.468009171139</v>
      </c>
      <c r="G15" s="116">
        <f t="shared" si="1"/>
        <v>0.13</v>
      </c>
      <c r="H15" s="6">
        <f t="shared" si="0"/>
        <v>1616.88499816147</v>
      </c>
      <c r="I15" s="122" t="s">
        <v>206</v>
      </c>
    </row>
    <row r="16" s="19" customFormat="1" ht="75" customHeight="1" spans="1:9">
      <c r="A16" s="5"/>
      <c r="B16" s="5">
        <v>14</v>
      </c>
      <c r="C16" s="5" t="s">
        <v>207</v>
      </c>
      <c r="D16" s="5" t="s">
        <v>190</v>
      </c>
      <c r="E16" s="6">
        <f>3.74*2+5.82*2+1.8*2+1*2+1+(7.98*2+6.38*2+4.92*2+6.38*2)*2+7.98*2+6.38*2+9.38*2*19+4.42*2+1.33*2+1.74*2</f>
        <v>528.5</v>
      </c>
      <c r="F16" s="6">
        <v>208.872335057259</v>
      </c>
      <c r="G16" s="116">
        <f t="shared" si="1"/>
        <v>0.13</v>
      </c>
      <c r="H16" s="6">
        <f t="shared" si="0"/>
        <v>124739.60285787</v>
      </c>
      <c r="I16" s="123" t="s">
        <v>208</v>
      </c>
    </row>
    <row r="17" s="19" customFormat="1" ht="75" customHeight="1" spans="1:9">
      <c r="A17" s="5"/>
      <c r="B17" s="5">
        <v>15</v>
      </c>
      <c r="C17" s="5" t="s">
        <v>209</v>
      </c>
      <c r="D17" s="5" t="s">
        <v>190</v>
      </c>
      <c r="E17" s="6">
        <f>3.74*2+5.82*2+1.8*2+1*2+1+(7.98*2+6.38*2+4.92*2+6.38*2)*2+7.98*2+6.38*2+9.38*2*19+4.42*2+1.33*2+1.74*2</f>
        <v>528.5</v>
      </c>
      <c r="F17" s="6">
        <v>100.651966186046</v>
      </c>
      <c r="G17" s="116">
        <f t="shared" si="1"/>
        <v>0.13</v>
      </c>
      <c r="H17" s="6">
        <f t="shared" si="0"/>
        <v>60109.8574661378</v>
      </c>
      <c r="I17" s="123" t="s">
        <v>210</v>
      </c>
    </row>
    <row r="18" s="19" customFormat="1" ht="75" customHeight="1" spans="1:9">
      <c r="A18" s="5"/>
      <c r="B18" s="5">
        <v>16</v>
      </c>
      <c r="C18" s="17" t="s">
        <v>211</v>
      </c>
      <c r="D18" s="5" t="s">
        <v>77</v>
      </c>
      <c r="E18" s="6">
        <f>'[2]05、百叶工程量计算书'!H7+'[2]05、百叶工程量计算书'!H8+'[2]05、百叶工程量计算书'!H9+'[2]05、百叶工程量计算书'!H10+'[2]05、百叶工程量计算书'!H11+'[2]05、百叶工程量计算书'!H12+'[2]05、百叶工程量计算书'!H13+'[2]05、百叶工程量计算书'!H14+'[2]05、百叶工程量计算书'!H15</f>
        <v>697.06</v>
      </c>
      <c r="F18" s="6">
        <v>405.277351812347</v>
      </c>
      <c r="G18" s="116">
        <f t="shared" si="1"/>
        <v>0.13</v>
      </c>
      <c r="H18" s="6">
        <f t="shared" si="0"/>
        <v>319227.972865375</v>
      </c>
      <c r="I18" s="123" t="s">
        <v>212</v>
      </c>
    </row>
    <row r="19" s="19" customFormat="1" ht="75" customHeight="1" spans="1:9">
      <c r="A19" s="5"/>
      <c r="B19" s="5">
        <v>17</v>
      </c>
      <c r="C19" s="17" t="s">
        <v>213</v>
      </c>
      <c r="D19" s="5" t="s">
        <v>77</v>
      </c>
      <c r="E19" s="6">
        <f>'[2]05、百叶工程量计算书'!H3+'[2]05、百叶工程量计算书'!H4+'[2]05、百叶工程量计算书'!H5+'[2]05、百叶工程量计算书'!H6</f>
        <v>34.176</v>
      </c>
      <c r="F19" s="6">
        <v>273.349459714917</v>
      </c>
      <c r="G19" s="116">
        <f t="shared" si="1"/>
        <v>0.13</v>
      </c>
      <c r="H19" s="6">
        <f t="shared" si="0"/>
        <v>10556.4499827952</v>
      </c>
      <c r="I19" s="123" t="s">
        <v>212</v>
      </c>
    </row>
    <row r="20" s="19" customFormat="1" ht="75" customHeight="1" spans="1:9">
      <c r="A20" s="5"/>
      <c r="B20" s="5">
        <v>18</v>
      </c>
      <c r="C20" s="17" t="s">
        <v>214</v>
      </c>
      <c r="D20" s="5" t="s">
        <v>77</v>
      </c>
      <c r="E20" s="6">
        <f>'[2]05、百叶工程量计算书'!H16+'[2]05、百叶工程量计算书'!H17+'[2]05、百叶工程量计算书'!H18+'[2]05、百叶工程量计算书'!H19+'[2]05、百叶工程量计算书'!H20+'[2]05、百叶工程量计算书'!H21</f>
        <v>462.5</v>
      </c>
      <c r="F20" s="6">
        <v>350.175043603249</v>
      </c>
      <c r="G20" s="116">
        <f t="shared" si="1"/>
        <v>0.13</v>
      </c>
      <c r="H20" s="6">
        <f t="shared" si="0"/>
        <v>183010.232163148</v>
      </c>
      <c r="I20" s="123" t="s">
        <v>212</v>
      </c>
    </row>
    <row r="21" s="111" customFormat="1" ht="44" customHeight="1" spans="1:9">
      <c r="A21" s="117">
        <v>13</v>
      </c>
      <c r="B21" s="5">
        <v>19</v>
      </c>
      <c r="C21" s="117" t="s">
        <v>215</v>
      </c>
      <c r="D21" s="117"/>
      <c r="E21" s="117"/>
      <c r="F21" s="118"/>
      <c r="G21" s="117"/>
      <c r="H21" s="118">
        <f>SUM(H3:H20)</f>
        <v>993174.90320565</v>
      </c>
      <c r="I21" s="124"/>
    </row>
    <row r="22" s="19" customFormat="1" ht="15" customHeight="1" spans="1:9">
      <c r="A22" s="119" t="s">
        <v>216</v>
      </c>
      <c r="B22" s="119"/>
      <c r="C22" s="119"/>
      <c r="D22" s="119"/>
      <c r="E22" s="119"/>
      <c r="F22" s="120"/>
      <c r="G22" s="119"/>
      <c r="H22" s="17"/>
      <c r="I22" s="125"/>
    </row>
    <row r="23" s="19" customFormat="1" ht="42" customHeight="1" spans="1:9">
      <c r="A23" s="119"/>
      <c r="B23" s="119"/>
      <c r="C23" s="119"/>
      <c r="D23" s="119"/>
      <c r="E23" s="119"/>
      <c r="F23" s="120"/>
      <c r="G23" s="119"/>
      <c r="H23" s="17"/>
      <c r="I23" s="125"/>
    </row>
    <row r="24" s="19" customFormat="1" ht="21" customHeight="1" spans="1:9">
      <c r="A24" s="119"/>
      <c r="B24" s="119"/>
      <c r="C24" s="119"/>
      <c r="D24" s="119"/>
      <c r="E24" s="119"/>
      <c r="F24" s="120"/>
      <c r="G24" s="119"/>
      <c r="H24" s="17"/>
      <c r="I24" s="125"/>
    </row>
    <row r="25" s="19" customFormat="1" ht="42" customHeight="1" spans="1:9">
      <c r="A25" s="119"/>
      <c r="B25" s="119"/>
      <c r="C25" s="119"/>
      <c r="D25" s="119"/>
      <c r="E25" s="119"/>
      <c r="F25" s="120"/>
      <c r="G25" s="119"/>
      <c r="H25" s="17"/>
      <c r="I25" s="125"/>
    </row>
  </sheetData>
  <mergeCells count="3">
    <mergeCell ref="A1:I1"/>
    <mergeCell ref="C21:G21"/>
    <mergeCell ref="A22:I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0"/>
  <sheetViews>
    <sheetView view="pageBreakPreview" zoomScaleNormal="110" workbookViewId="0">
      <pane ySplit="2" topLeftCell="A100" activePane="bottomLeft" state="frozen"/>
      <selection/>
      <selection pane="bottomLeft" activeCell="B7" sqref="B7"/>
    </sheetView>
  </sheetViews>
  <sheetFormatPr defaultColWidth="9" defaultRowHeight="20.1" customHeight="1"/>
  <cols>
    <col min="1" max="1" width="5.25" style="77" customWidth="1"/>
    <col min="2" max="2" width="10" customWidth="1"/>
    <col min="3" max="4" width="7.62962962962963" customWidth="1"/>
    <col min="5" max="5" width="3.37962962962963" customWidth="1"/>
    <col min="6" max="10" width="3.5" customWidth="1"/>
    <col min="11" max="12" width="8.25" customWidth="1"/>
    <col min="13" max="13" width="4.37962962962963" customWidth="1"/>
    <col min="14" max="14" width="7.12962962962963" customWidth="1"/>
    <col min="15" max="15" width="9" style="77"/>
    <col min="16" max="16" width="11" customWidth="1"/>
    <col min="17" max="17" width="27.75" customWidth="1"/>
    <col min="18" max="18" width="26.75" style="78" customWidth="1"/>
    <col min="19" max="19" width="13" customWidth="1"/>
    <col min="20" max="20" width="5.25" customWidth="1"/>
    <col min="22" max="22" width="12.8888888888889"/>
  </cols>
  <sheetData>
    <row r="1" ht="30" customHeight="1" spans="1:20">
      <c r="A1" s="79" t="s">
        <v>217</v>
      </c>
      <c r="B1" s="79"/>
      <c r="C1" s="79"/>
      <c r="D1" s="79"/>
      <c r="E1" s="79"/>
      <c r="F1" s="79"/>
      <c r="G1" s="79"/>
      <c r="H1" s="79"/>
      <c r="I1" s="79"/>
      <c r="J1" s="79"/>
      <c r="K1" s="79"/>
      <c r="L1" s="79"/>
      <c r="M1" s="79"/>
      <c r="N1" s="79"/>
      <c r="O1" s="79"/>
      <c r="P1" s="79"/>
      <c r="Q1" s="79"/>
      <c r="R1" s="96"/>
      <c r="S1" s="79"/>
      <c r="T1" s="79"/>
    </row>
    <row r="2" customHeight="1" spans="1:20">
      <c r="A2" s="80" t="s">
        <v>23</v>
      </c>
      <c r="B2" s="80" t="s">
        <v>218</v>
      </c>
      <c r="C2" s="80" t="s">
        <v>219</v>
      </c>
      <c r="D2" s="80" t="s">
        <v>220</v>
      </c>
      <c r="E2" s="80" t="s">
        <v>221</v>
      </c>
      <c r="F2" s="80" t="s">
        <v>222</v>
      </c>
      <c r="G2" s="80" t="s">
        <v>223</v>
      </c>
      <c r="H2" s="80" t="s">
        <v>224</v>
      </c>
      <c r="I2" s="80" t="s">
        <v>225</v>
      </c>
      <c r="J2" s="80" t="s">
        <v>226</v>
      </c>
      <c r="K2" s="80" t="s">
        <v>227</v>
      </c>
      <c r="L2" s="80" t="s">
        <v>228</v>
      </c>
      <c r="M2" s="80" t="s">
        <v>229</v>
      </c>
      <c r="N2" s="80" t="s">
        <v>230</v>
      </c>
      <c r="O2" s="80" t="s">
        <v>231</v>
      </c>
      <c r="P2" s="80" t="s">
        <v>232</v>
      </c>
      <c r="Q2" s="80" t="s">
        <v>233</v>
      </c>
      <c r="R2" s="87" t="s">
        <v>234</v>
      </c>
      <c r="S2" s="80" t="s">
        <v>235</v>
      </c>
      <c r="T2" s="80" t="s">
        <v>29</v>
      </c>
    </row>
    <row r="3" customHeight="1" spans="1:20">
      <c r="A3" s="80">
        <v>1</v>
      </c>
      <c r="B3" s="80" t="s">
        <v>236</v>
      </c>
      <c r="C3" s="80">
        <v>4550</v>
      </c>
      <c r="D3" s="80">
        <v>1600</v>
      </c>
      <c r="E3" s="80"/>
      <c r="F3" s="80"/>
      <c r="G3" s="80"/>
      <c r="H3" s="80"/>
      <c r="I3" s="80">
        <v>2</v>
      </c>
      <c r="J3" s="80"/>
      <c r="K3" s="80"/>
      <c r="L3" s="80"/>
      <c r="M3" s="80"/>
      <c r="N3" s="80"/>
      <c r="O3" s="87">
        <f t="shared" ref="O3:O8" si="0">M3+L3*9+K3*8+J3+I3+H3+G3+F3+E3+N3</f>
        <v>2</v>
      </c>
      <c r="P3" s="88">
        <f t="shared" ref="P3:P8" si="1">O3*D3*C3/1000000</f>
        <v>14.56</v>
      </c>
      <c r="Q3" s="80" t="s">
        <v>75</v>
      </c>
      <c r="R3" s="87" t="s">
        <v>237</v>
      </c>
      <c r="S3" s="80" t="s">
        <v>238</v>
      </c>
      <c r="T3" s="80"/>
    </row>
    <row r="4" customHeight="1" spans="1:20">
      <c r="A4" s="80">
        <v>2</v>
      </c>
      <c r="B4" s="80" t="s">
        <v>239</v>
      </c>
      <c r="C4" s="80">
        <v>800</v>
      </c>
      <c r="D4" s="80">
        <v>1600</v>
      </c>
      <c r="E4" s="80"/>
      <c r="F4" s="80"/>
      <c r="G4" s="80"/>
      <c r="H4" s="80"/>
      <c r="I4" s="80">
        <v>4</v>
      </c>
      <c r="J4" s="80"/>
      <c r="K4" s="80"/>
      <c r="L4" s="80"/>
      <c r="M4" s="80"/>
      <c r="N4" s="80"/>
      <c r="O4" s="87">
        <f t="shared" si="0"/>
        <v>4</v>
      </c>
      <c r="P4" s="88">
        <f t="shared" si="1"/>
        <v>5.12</v>
      </c>
      <c r="Q4" s="80" t="s">
        <v>75</v>
      </c>
      <c r="R4" s="87" t="s">
        <v>237</v>
      </c>
      <c r="S4" s="80" t="s">
        <v>238</v>
      </c>
      <c r="T4" s="80"/>
    </row>
    <row r="5" customHeight="1" spans="1:20">
      <c r="A5" s="80">
        <v>3</v>
      </c>
      <c r="B5" s="80" t="s">
        <v>240</v>
      </c>
      <c r="C5" s="80">
        <v>1050</v>
      </c>
      <c r="D5" s="80">
        <v>1600</v>
      </c>
      <c r="E5" s="80"/>
      <c r="F5" s="80"/>
      <c r="G5" s="80"/>
      <c r="H5" s="80"/>
      <c r="I5" s="80">
        <v>8</v>
      </c>
      <c r="J5" s="80"/>
      <c r="K5" s="80"/>
      <c r="L5" s="80"/>
      <c r="M5" s="80"/>
      <c r="N5" s="80"/>
      <c r="O5" s="87">
        <f t="shared" si="0"/>
        <v>8</v>
      </c>
      <c r="P5" s="88">
        <f t="shared" si="1"/>
        <v>13.44</v>
      </c>
      <c r="Q5" s="80" t="s">
        <v>75</v>
      </c>
      <c r="R5" s="87" t="s">
        <v>237</v>
      </c>
      <c r="S5" s="80" t="s">
        <v>238</v>
      </c>
      <c r="T5" s="80"/>
    </row>
    <row r="6" customHeight="1" spans="1:20">
      <c r="A6" s="80">
        <v>4</v>
      </c>
      <c r="B6" s="80" t="s">
        <v>241</v>
      </c>
      <c r="C6" s="80">
        <v>1450</v>
      </c>
      <c r="D6" s="80">
        <v>1600</v>
      </c>
      <c r="E6" s="80"/>
      <c r="F6" s="80"/>
      <c r="G6" s="80"/>
      <c r="H6" s="80"/>
      <c r="I6" s="80">
        <v>2</v>
      </c>
      <c r="J6" s="80"/>
      <c r="K6" s="80"/>
      <c r="L6" s="80"/>
      <c r="M6" s="80"/>
      <c r="N6" s="80"/>
      <c r="O6" s="87">
        <f t="shared" si="0"/>
        <v>2</v>
      </c>
      <c r="P6" s="88">
        <f t="shared" si="1"/>
        <v>4.64</v>
      </c>
      <c r="Q6" s="80" t="s">
        <v>75</v>
      </c>
      <c r="R6" s="87" t="s">
        <v>237</v>
      </c>
      <c r="S6" s="80" t="s">
        <v>238</v>
      </c>
      <c r="T6" s="80"/>
    </row>
    <row r="7" customHeight="1" spans="1:20">
      <c r="A7" s="80">
        <v>5</v>
      </c>
      <c r="B7" s="80" t="s">
        <v>242</v>
      </c>
      <c r="C7" s="80">
        <v>1400</v>
      </c>
      <c r="D7" s="80">
        <v>1600</v>
      </c>
      <c r="E7" s="80"/>
      <c r="F7" s="80"/>
      <c r="G7" s="80"/>
      <c r="H7" s="80"/>
      <c r="I7" s="80">
        <v>2</v>
      </c>
      <c r="J7" s="80"/>
      <c r="K7" s="80"/>
      <c r="L7" s="80"/>
      <c r="M7" s="80"/>
      <c r="N7" s="80"/>
      <c r="O7" s="87">
        <f t="shared" si="0"/>
        <v>2</v>
      </c>
      <c r="P7" s="88">
        <f t="shared" si="1"/>
        <v>4.48</v>
      </c>
      <c r="Q7" s="80" t="s">
        <v>75</v>
      </c>
      <c r="R7" s="87" t="s">
        <v>237</v>
      </c>
      <c r="S7" s="80" t="s">
        <v>238</v>
      </c>
      <c r="T7" s="80"/>
    </row>
    <row r="8" customHeight="1" spans="1:20">
      <c r="A8" s="80">
        <v>6</v>
      </c>
      <c r="B8" s="80" t="s">
        <v>243</v>
      </c>
      <c r="C8" s="80">
        <v>2500</v>
      </c>
      <c r="D8" s="80">
        <v>1600</v>
      </c>
      <c r="E8" s="80"/>
      <c r="F8" s="80"/>
      <c r="G8" s="80"/>
      <c r="H8" s="80"/>
      <c r="I8" s="80">
        <v>16</v>
      </c>
      <c r="J8" s="80"/>
      <c r="K8" s="80"/>
      <c r="L8" s="80"/>
      <c r="M8" s="80"/>
      <c r="N8" s="80"/>
      <c r="O8" s="87">
        <f t="shared" si="0"/>
        <v>16</v>
      </c>
      <c r="P8" s="88">
        <f t="shared" si="1"/>
        <v>64</v>
      </c>
      <c r="Q8" s="80" t="s">
        <v>75</v>
      </c>
      <c r="R8" s="87" t="s">
        <v>237</v>
      </c>
      <c r="S8" s="80" t="s">
        <v>238</v>
      </c>
      <c r="T8" s="80"/>
    </row>
    <row r="9" customHeight="1" spans="1:20">
      <c r="A9" s="81" t="s">
        <v>244</v>
      </c>
      <c r="B9" s="82"/>
      <c r="C9" s="82"/>
      <c r="D9" s="82"/>
      <c r="E9" s="82"/>
      <c r="F9" s="82"/>
      <c r="G9" s="82"/>
      <c r="H9" s="82"/>
      <c r="I9" s="82"/>
      <c r="J9" s="82"/>
      <c r="K9" s="82"/>
      <c r="L9" s="82"/>
      <c r="M9" s="82"/>
      <c r="N9" s="89"/>
      <c r="O9" s="56">
        <f>SUM(O3:O8)</f>
        <v>34</v>
      </c>
      <c r="P9" s="90">
        <f>SUM(P3:P8)</f>
        <v>106.24</v>
      </c>
      <c r="Q9" s="97"/>
      <c r="R9" s="98"/>
      <c r="S9" s="97"/>
      <c r="T9" s="97"/>
    </row>
    <row r="10" customHeight="1" spans="1:20">
      <c r="A10" s="80">
        <v>1</v>
      </c>
      <c r="B10" s="80" t="s">
        <v>245</v>
      </c>
      <c r="C10" s="80">
        <v>1500</v>
      </c>
      <c r="D10" s="80">
        <v>2000</v>
      </c>
      <c r="E10" s="80"/>
      <c r="F10" s="80"/>
      <c r="G10" s="80"/>
      <c r="H10" s="80">
        <v>2</v>
      </c>
      <c r="I10" s="80"/>
      <c r="J10" s="80"/>
      <c r="K10" s="80"/>
      <c r="L10" s="80"/>
      <c r="M10" s="80"/>
      <c r="N10" s="80"/>
      <c r="O10" s="87">
        <f t="shared" ref="O10:O15" si="2">M10+L10*9+K10*8+J10+I10+H10+G10+F10+E10+N10</f>
        <v>2</v>
      </c>
      <c r="P10" s="88">
        <f t="shared" ref="P10:P15" si="3">O10*D10*C10/1000000</f>
        <v>6</v>
      </c>
      <c r="Q10" s="80" t="s">
        <v>83</v>
      </c>
      <c r="R10" s="87" t="s">
        <v>246</v>
      </c>
      <c r="S10" s="80" t="s">
        <v>247</v>
      </c>
      <c r="T10" s="80"/>
    </row>
    <row r="11" customHeight="1" spans="1:20">
      <c r="A11" s="81" t="s">
        <v>248</v>
      </c>
      <c r="B11" s="82"/>
      <c r="C11" s="82"/>
      <c r="D11" s="82"/>
      <c r="E11" s="82"/>
      <c r="F11" s="82"/>
      <c r="G11" s="82"/>
      <c r="H11" s="82"/>
      <c r="I11" s="82"/>
      <c r="J11" s="82"/>
      <c r="K11" s="82"/>
      <c r="L11" s="82"/>
      <c r="M11" s="82"/>
      <c r="N11" s="89"/>
      <c r="O11" s="56">
        <f>SUM(O10)</f>
        <v>2</v>
      </c>
      <c r="P11" s="90">
        <f>SUM(P10)</f>
        <v>6</v>
      </c>
      <c r="Q11" s="97"/>
      <c r="R11" s="98"/>
      <c r="S11" s="97"/>
      <c r="T11" s="97"/>
    </row>
    <row r="12" ht="41" customHeight="1" spans="1:20">
      <c r="A12" s="80">
        <v>1</v>
      </c>
      <c r="B12" s="80" t="s">
        <v>249</v>
      </c>
      <c r="C12" s="80">
        <v>1800</v>
      </c>
      <c r="D12" s="80">
        <v>2250</v>
      </c>
      <c r="E12" s="80"/>
      <c r="F12" s="80"/>
      <c r="G12" s="80"/>
      <c r="H12" s="80"/>
      <c r="I12" s="80">
        <v>2</v>
      </c>
      <c r="J12" s="80">
        <v>2</v>
      </c>
      <c r="K12" s="80">
        <v>2</v>
      </c>
      <c r="L12" s="80">
        <v>2</v>
      </c>
      <c r="M12" s="80">
        <v>2</v>
      </c>
      <c r="N12" s="80"/>
      <c r="O12" s="87">
        <v>78</v>
      </c>
      <c r="P12" s="88">
        <f t="shared" si="3"/>
        <v>315.9</v>
      </c>
      <c r="Q12" s="80" t="s">
        <v>86</v>
      </c>
      <c r="R12" s="87" t="s">
        <v>250</v>
      </c>
      <c r="S12" s="80" t="s">
        <v>251</v>
      </c>
      <c r="T12" s="99"/>
    </row>
    <row r="13" ht="30" customHeight="1" spans="1:20">
      <c r="A13" s="80">
        <v>2</v>
      </c>
      <c r="B13" s="80" t="s">
        <v>252</v>
      </c>
      <c r="C13" s="80">
        <v>2000</v>
      </c>
      <c r="D13" s="80">
        <v>2250</v>
      </c>
      <c r="E13" s="80"/>
      <c r="F13" s="80"/>
      <c r="G13" s="80"/>
      <c r="H13" s="80"/>
      <c r="I13" s="80"/>
      <c r="J13" s="80">
        <v>4</v>
      </c>
      <c r="K13" s="80">
        <v>4</v>
      </c>
      <c r="L13" s="80">
        <v>4</v>
      </c>
      <c r="M13" s="80">
        <v>4</v>
      </c>
      <c r="N13" s="80"/>
      <c r="O13" s="87">
        <f t="shared" si="2"/>
        <v>76</v>
      </c>
      <c r="P13" s="88">
        <f t="shared" si="3"/>
        <v>342</v>
      </c>
      <c r="Q13" s="80" t="s">
        <v>86</v>
      </c>
      <c r="R13" s="87" t="s">
        <v>250</v>
      </c>
      <c r="S13" s="80" t="s">
        <v>251</v>
      </c>
      <c r="T13" s="99"/>
    </row>
    <row r="14" s="76" customFormat="1" ht="29" customHeight="1" spans="1:20">
      <c r="A14" s="83">
        <v>3</v>
      </c>
      <c r="B14" s="83" t="s">
        <v>253</v>
      </c>
      <c r="C14" s="83">
        <v>2200</v>
      </c>
      <c r="D14" s="83">
        <v>2250</v>
      </c>
      <c r="E14" s="83"/>
      <c r="F14" s="83"/>
      <c r="G14" s="83"/>
      <c r="H14" s="83"/>
      <c r="I14" s="83">
        <v>4</v>
      </c>
      <c r="J14" s="83">
        <v>4</v>
      </c>
      <c r="K14" s="83">
        <v>4</v>
      </c>
      <c r="L14" s="83">
        <v>4</v>
      </c>
      <c r="M14" s="83"/>
      <c r="N14" s="83"/>
      <c r="O14" s="91">
        <v>38</v>
      </c>
      <c r="P14" s="92">
        <f t="shared" si="3"/>
        <v>188.1</v>
      </c>
      <c r="Q14" s="83" t="s">
        <v>90</v>
      </c>
      <c r="R14" s="91" t="s">
        <v>254</v>
      </c>
      <c r="S14" s="83" t="s">
        <v>251</v>
      </c>
      <c r="T14" s="100"/>
    </row>
    <row r="15" ht="36" customHeight="1" spans="1:20">
      <c r="A15" s="80">
        <v>4</v>
      </c>
      <c r="B15" s="80" t="s">
        <v>255</v>
      </c>
      <c r="C15" s="80">
        <v>2000</v>
      </c>
      <c r="D15" s="80">
        <v>1750</v>
      </c>
      <c r="E15" s="80"/>
      <c r="F15" s="80"/>
      <c r="G15" s="80"/>
      <c r="H15" s="80"/>
      <c r="I15" s="80">
        <v>4</v>
      </c>
      <c r="J15" s="80"/>
      <c r="K15" s="80"/>
      <c r="L15" s="80"/>
      <c r="M15" s="80"/>
      <c r="N15" s="80"/>
      <c r="O15" s="87">
        <f t="shared" si="2"/>
        <v>4</v>
      </c>
      <c r="P15" s="88">
        <f t="shared" si="3"/>
        <v>14</v>
      </c>
      <c r="Q15" s="80" t="s">
        <v>86</v>
      </c>
      <c r="R15" s="87" t="s">
        <v>250</v>
      </c>
      <c r="S15" s="80" t="s">
        <v>251</v>
      </c>
      <c r="T15" s="99"/>
    </row>
    <row r="16" customHeight="1" spans="1:20">
      <c r="A16" s="81" t="s">
        <v>256</v>
      </c>
      <c r="B16" s="82"/>
      <c r="C16" s="82"/>
      <c r="D16" s="82"/>
      <c r="E16" s="82"/>
      <c r="F16" s="82"/>
      <c r="G16" s="82"/>
      <c r="H16" s="82"/>
      <c r="I16" s="82"/>
      <c r="J16" s="82"/>
      <c r="K16" s="82"/>
      <c r="L16" s="82"/>
      <c r="M16" s="82"/>
      <c r="N16" s="89"/>
      <c r="O16" s="56">
        <f>SUM(O12:O15)</f>
        <v>196</v>
      </c>
      <c r="P16" s="90">
        <f>SUM(P12:P15)</f>
        <v>860</v>
      </c>
      <c r="Q16" s="97"/>
      <c r="R16" s="98"/>
      <c r="S16" s="97"/>
      <c r="T16" s="97"/>
    </row>
    <row r="17" customHeight="1" spans="1:22">
      <c r="A17" s="80">
        <v>1</v>
      </c>
      <c r="B17" s="80" t="s">
        <v>257</v>
      </c>
      <c r="C17" s="80">
        <v>800</v>
      </c>
      <c r="D17" s="80">
        <v>1450</v>
      </c>
      <c r="E17" s="80"/>
      <c r="F17" s="80"/>
      <c r="G17" s="80"/>
      <c r="H17" s="80"/>
      <c r="I17" s="80"/>
      <c r="J17" s="80">
        <v>2</v>
      </c>
      <c r="K17" s="80"/>
      <c r="L17" s="80">
        <v>2</v>
      </c>
      <c r="M17" s="80">
        <v>2</v>
      </c>
      <c r="N17" s="80"/>
      <c r="O17" s="87">
        <f t="shared" ref="O17:O40" si="4">M17+L17*9+K17*8+J17+I17+H17+G17+F17+E17+N17</f>
        <v>22</v>
      </c>
      <c r="P17" s="88">
        <f t="shared" ref="P17:P22" si="5">O17*D17*C17/1000000</f>
        <v>25.52</v>
      </c>
      <c r="Q17" s="80" t="s">
        <v>93</v>
      </c>
      <c r="R17" s="87" t="s">
        <v>250</v>
      </c>
      <c r="S17" s="80" t="s">
        <v>251</v>
      </c>
      <c r="T17" s="80"/>
      <c r="V17" s="101"/>
    </row>
    <row r="18" customHeight="1" spans="1:22">
      <c r="A18" s="81" t="s">
        <v>258</v>
      </c>
      <c r="B18" s="82"/>
      <c r="C18" s="82"/>
      <c r="D18" s="82"/>
      <c r="E18" s="82"/>
      <c r="F18" s="82"/>
      <c r="G18" s="82"/>
      <c r="H18" s="82"/>
      <c r="I18" s="82"/>
      <c r="J18" s="82"/>
      <c r="K18" s="82"/>
      <c r="L18" s="82"/>
      <c r="M18" s="82"/>
      <c r="N18" s="89"/>
      <c r="O18" s="56">
        <f>SUM(O17)</f>
        <v>22</v>
      </c>
      <c r="P18" s="90">
        <f>SUM(P17)</f>
        <v>25.52</v>
      </c>
      <c r="Q18" s="97"/>
      <c r="R18" s="98"/>
      <c r="S18" s="97"/>
      <c r="T18" s="97"/>
      <c r="V18" s="101"/>
    </row>
    <row r="19" ht="49" customHeight="1" spans="1:20">
      <c r="A19" s="80">
        <v>2</v>
      </c>
      <c r="B19" s="80" t="s">
        <v>259</v>
      </c>
      <c r="C19" s="80">
        <v>2400</v>
      </c>
      <c r="D19" s="80">
        <v>2050</v>
      </c>
      <c r="E19" s="80"/>
      <c r="F19" s="80"/>
      <c r="G19" s="80"/>
      <c r="H19" s="80"/>
      <c r="I19" s="80">
        <v>2</v>
      </c>
      <c r="J19" s="80">
        <v>2</v>
      </c>
      <c r="K19" s="80">
        <v>2</v>
      </c>
      <c r="L19" s="80">
        <v>2</v>
      </c>
      <c r="M19" s="80">
        <v>2</v>
      </c>
      <c r="N19" s="80"/>
      <c r="O19" s="87">
        <f t="shared" si="4"/>
        <v>40</v>
      </c>
      <c r="P19" s="88">
        <f t="shared" si="5"/>
        <v>196.8</v>
      </c>
      <c r="Q19" s="80" t="s">
        <v>260</v>
      </c>
      <c r="R19" s="87" t="s">
        <v>261</v>
      </c>
      <c r="S19" s="80" t="s">
        <v>251</v>
      </c>
      <c r="T19" s="80"/>
    </row>
    <row r="20" ht="46" customHeight="1" spans="1:20">
      <c r="A20" s="80">
        <v>3</v>
      </c>
      <c r="B20" s="80" t="s">
        <v>262</v>
      </c>
      <c r="C20" s="80">
        <v>3320</v>
      </c>
      <c r="D20" s="80">
        <v>2250</v>
      </c>
      <c r="E20" s="80"/>
      <c r="F20" s="80"/>
      <c r="G20" s="80"/>
      <c r="H20" s="80"/>
      <c r="I20" s="80"/>
      <c r="J20" s="80">
        <v>4</v>
      </c>
      <c r="K20" s="80">
        <v>4</v>
      </c>
      <c r="L20" s="80">
        <v>4</v>
      </c>
      <c r="M20" s="80">
        <v>4</v>
      </c>
      <c r="N20" s="80"/>
      <c r="O20" s="87">
        <f t="shared" si="4"/>
        <v>76</v>
      </c>
      <c r="P20" s="88">
        <f t="shared" si="5"/>
        <v>567.72</v>
      </c>
      <c r="Q20" s="80" t="s">
        <v>260</v>
      </c>
      <c r="R20" s="87" t="s">
        <v>261</v>
      </c>
      <c r="S20" s="80" t="s">
        <v>251</v>
      </c>
      <c r="T20" s="80"/>
    </row>
    <row r="21" ht="52" customHeight="1" spans="1:20">
      <c r="A21" s="80">
        <v>4</v>
      </c>
      <c r="B21" s="80" t="s">
        <v>263</v>
      </c>
      <c r="C21" s="80">
        <v>2900</v>
      </c>
      <c r="D21" s="80">
        <v>2250</v>
      </c>
      <c r="E21" s="80"/>
      <c r="F21" s="80"/>
      <c r="G21" s="80"/>
      <c r="H21" s="80"/>
      <c r="I21" s="80"/>
      <c r="J21" s="80">
        <v>2</v>
      </c>
      <c r="K21" s="80">
        <v>2</v>
      </c>
      <c r="L21" s="80">
        <v>2</v>
      </c>
      <c r="M21" s="80">
        <v>2</v>
      </c>
      <c r="N21" s="80"/>
      <c r="O21" s="87">
        <f t="shared" si="4"/>
        <v>38</v>
      </c>
      <c r="P21" s="88">
        <f t="shared" si="5"/>
        <v>247.95</v>
      </c>
      <c r="Q21" s="80" t="s">
        <v>260</v>
      </c>
      <c r="R21" s="87" t="s">
        <v>261</v>
      </c>
      <c r="S21" s="80" t="s">
        <v>264</v>
      </c>
      <c r="T21" s="80"/>
    </row>
    <row r="22" ht="41" customHeight="1" spans="1:20">
      <c r="A22" s="80">
        <v>5</v>
      </c>
      <c r="B22" s="80" t="s">
        <v>265</v>
      </c>
      <c r="C22" s="80">
        <v>2700</v>
      </c>
      <c r="D22" s="80">
        <v>2250</v>
      </c>
      <c r="E22" s="80"/>
      <c r="F22" s="80"/>
      <c r="G22" s="80"/>
      <c r="H22" s="80"/>
      <c r="I22" s="80"/>
      <c r="J22" s="80">
        <v>2</v>
      </c>
      <c r="K22" s="80">
        <v>2</v>
      </c>
      <c r="L22" s="80">
        <v>2</v>
      </c>
      <c r="M22" s="80">
        <v>2</v>
      </c>
      <c r="N22" s="80"/>
      <c r="O22" s="87">
        <f t="shared" si="4"/>
        <v>38</v>
      </c>
      <c r="P22" s="88">
        <f t="shared" si="5"/>
        <v>230.85</v>
      </c>
      <c r="Q22" s="80" t="s">
        <v>260</v>
      </c>
      <c r="R22" s="87" t="s">
        <v>261</v>
      </c>
      <c r="S22" s="80" t="s">
        <v>264</v>
      </c>
      <c r="T22" s="80"/>
    </row>
    <row r="23" s="76" customFormat="1" customHeight="1" spans="1:20">
      <c r="A23" s="83">
        <v>9</v>
      </c>
      <c r="B23" s="83" t="s">
        <v>266</v>
      </c>
      <c r="C23" s="83">
        <v>1400</v>
      </c>
      <c r="D23" s="83">
        <v>1800</v>
      </c>
      <c r="E23" s="83"/>
      <c r="F23" s="83"/>
      <c r="G23" s="83"/>
      <c r="H23" s="83"/>
      <c r="I23" s="83">
        <v>2</v>
      </c>
      <c r="J23" s="83">
        <v>2</v>
      </c>
      <c r="K23" s="83">
        <v>2</v>
      </c>
      <c r="L23" s="83">
        <v>2</v>
      </c>
      <c r="M23" s="83">
        <v>2</v>
      </c>
      <c r="N23" s="83"/>
      <c r="O23" s="91">
        <f t="shared" si="4"/>
        <v>40</v>
      </c>
      <c r="P23" s="92">
        <v>0</v>
      </c>
      <c r="Q23" s="83" t="s">
        <v>267</v>
      </c>
      <c r="R23" s="91" t="s">
        <v>268</v>
      </c>
      <c r="S23" s="83" t="s">
        <v>269</v>
      </c>
      <c r="T23" s="83"/>
    </row>
    <row r="24" s="76" customFormat="1" ht="33" customHeight="1" spans="1:20">
      <c r="A24" s="83">
        <v>10</v>
      </c>
      <c r="B24" s="83" t="s">
        <v>270</v>
      </c>
      <c r="C24" s="83">
        <v>3320</v>
      </c>
      <c r="D24" s="83">
        <v>1750</v>
      </c>
      <c r="E24" s="83"/>
      <c r="F24" s="83"/>
      <c r="G24" s="83"/>
      <c r="H24" s="83"/>
      <c r="I24" s="83">
        <v>4</v>
      </c>
      <c r="J24" s="83"/>
      <c r="K24" s="83"/>
      <c r="L24" s="83"/>
      <c r="M24" s="83"/>
      <c r="N24" s="83"/>
      <c r="O24" s="91">
        <f t="shared" si="4"/>
        <v>4</v>
      </c>
      <c r="P24" s="92">
        <f t="shared" ref="P24:P38" si="6">O24*D24*C24/1000000</f>
        <v>23.24</v>
      </c>
      <c r="Q24" s="80" t="s">
        <v>260</v>
      </c>
      <c r="R24" s="87" t="s">
        <v>261</v>
      </c>
      <c r="S24" s="83" t="s">
        <v>251</v>
      </c>
      <c r="T24" s="83"/>
    </row>
    <row r="25" ht="42" customHeight="1" spans="1:20">
      <c r="A25" s="80">
        <v>11</v>
      </c>
      <c r="B25" s="80" t="s">
        <v>271</v>
      </c>
      <c r="C25" s="80">
        <v>2700</v>
      </c>
      <c r="D25" s="80">
        <v>1750</v>
      </c>
      <c r="E25" s="80"/>
      <c r="F25" s="80"/>
      <c r="G25" s="80"/>
      <c r="H25" s="80"/>
      <c r="I25" s="80">
        <v>2</v>
      </c>
      <c r="J25" s="80"/>
      <c r="K25" s="80"/>
      <c r="L25" s="80"/>
      <c r="M25" s="80"/>
      <c r="N25" s="80"/>
      <c r="O25" s="87">
        <f t="shared" si="4"/>
        <v>2</v>
      </c>
      <c r="P25" s="88">
        <f t="shared" si="6"/>
        <v>9.45</v>
      </c>
      <c r="Q25" s="80" t="s">
        <v>260</v>
      </c>
      <c r="R25" s="87" t="s">
        <v>261</v>
      </c>
      <c r="S25" s="80" t="s">
        <v>264</v>
      </c>
      <c r="T25" s="80"/>
    </row>
    <row r="26" ht="30" customHeight="1" spans="1:20">
      <c r="A26" s="80">
        <v>12</v>
      </c>
      <c r="B26" s="80" t="s">
        <v>272</v>
      </c>
      <c r="C26" s="80">
        <v>2900</v>
      </c>
      <c r="D26" s="80">
        <v>1750</v>
      </c>
      <c r="E26" s="80"/>
      <c r="F26" s="80"/>
      <c r="G26" s="80"/>
      <c r="H26" s="80"/>
      <c r="I26" s="80">
        <v>2</v>
      </c>
      <c r="J26" s="80"/>
      <c r="K26" s="80"/>
      <c r="L26" s="80"/>
      <c r="M26" s="80"/>
      <c r="N26" s="80"/>
      <c r="O26" s="87">
        <f t="shared" si="4"/>
        <v>2</v>
      </c>
      <c r="P26" s="88">
        <f t="shared" si="6"/>
        <v>10.15</v>
      </c>
      <c r="Q26" s="80" t="s">
        <v>260</v>
      </c>
      <c r="R26" s="87" t="s">
        <v>261</v>
      </c>
      <c r="S26" s="80" t="s">
        <v>264</v>
      </c>
      <c r="T26" s="80"/>
    </row>
    <row r="27" customHeight="1" spans="1:20">
      <c r="A27" s="80">
        <v>14</v>
      </c>
      <c r="B27" s="80" t="s">
        <v>273</v>
      </c>
      <c r="C27" s="80">
        <v>1450</v>
      </c>
      <c r="D27" s="80">
        <v>2300</v>
      </c>
      <c r="E27" s="80"/>
      <c r="F27" s="80">
        <v>2</v>
      </c>
      <c r="G27" s="80">
        <v>2</v>
      </c>
      <c r="H27" s="80">
        <v>2</v>
      </c>
      <c r="I27" s="80"/>
      <c r="J27" s="80"/>
      <c r="K27" s="80"/>
      <c r="L27" s="80"/>
      <c r="M27" s="80"/>
      <c r="N27" s="80"/>
      <c r="O27" s="87">
        <f t="shared" si="4"/>
        <v>6</v>
      </c>
      <c r="P27" s="88">
        <f t="shared" si="6"/>
        <v>20.01</v>
      </c>
      <c r="Q27" s="80" t="s">
        <v>267</v>
      </c>
      <c r="R27" s="87" t="s">
        <v>268</v>
      </c>
      <c r="S27" s="80" t="s">
        <v>274</v>
      </c>
      <c r="T27" s="80"/>
    </row>
    <row r="28" customHeight="1" spans="1:20">
      <c r="A28" s="80">
        <v>15</v>
      </c>
      <c r="B28" s="80" t="s">
        <v>275</v>
      </c>
      <c r="C28" s="80">
        <v>1400</v>
      </c>
      <c r="D28" s="80">
        <v>2300</v>
      </c>
      <c r="E28" s="80"/>
      <c r="F28" s="80">
        <v>2</v>
      </c>
      <c r="G28" s="80">
        <v>2</v>
      </c>
      <c r="H28" s="80">
        <v>2</v>
      </c>
      <c r="I28" s="80"/>
      <c r="J28" s="80"/>
      <c r="K28" s="80"/>
      <c r="L28" s="80"/>
      <c r="M28" s="80"/>
      <c r="N28" s="80"/>
      <c r="O28" s="87">
        <f t="shared" si="4"/>
        <v>6</v>
      </c>
      <c r="P28" s="88">
        <f t="shared" si="6"/>
        <v>19.32</v>
      </c>
      <c r="Q28" s="80" t="s">
        <v>267</v>
      </c>
      <c r="R28" s="87" t="s">
        <v>268</v>
      </c>
      <c r="S28" s="80" t="s">
        <v>274</v>
      </c>
      <c r="T28" s="80"/>
    </row>
    <row r="29" customHeight="1" spans="1:20">
      <c r="A29" s="80">
        <v>16</v>
      </c>
      <c r="B29" s="80" t="s">
        <v>276</v>
      </c>
      <c r="C29" s="80">
        <v>2500</v>
      </c>
      <c r="D29" s="80">
        <v>2300</v>
      </c>
      <c r="E29" s="80"/>
      <c r="F29" s="80">
        <v>14</v>
      </c>
      <c r="G29" s="80">
        <v>15</v>
      </c>
      <c r="H29" s="80">
        <v>14</v>
      </c>
      <c r="I29" s="80"/>
      <c r="J29" s="80"/>
      <c r="K29" s="80"/>
      <c r="L29" s="80"/>
      <c r="M29" s="80"/>
      <c r="N29" s="80"/>
      <c r="O29" s="87">
        <f t="shared" si="4"/>
        <v>43</v>
      </c>
      <c r="P29" s="88">
        <f t="shared" si="6"/>
        <v>247.25</v>
      </c>
      <c r="Q29" s="80" t="s">
        <v>267</v>
      </c>
      <c r="R29" s="87" t="s">
        <v>268</v>
      </c>
      <c r="S29" s="80" t="s">
        <v>274</v>
      </c>
      <c r="T29" s="80"/>
    </row>
    <row r="30" customHeight="1" spans="1:20">
      <c r="A30" s="80">
        <v>17</v>
      </c>
      <c r="B30" s="80" t="s">
        <v>277</v>
      </c>
      <c r="C30" s="80">
        <v>2500</v>
      </c>
      <c r="D30" s="80">
        <v>2300</v>
      </c>
      <c r="E30" s="80"/>
      <c r="F30" s="80">
        <v>2</v>
      </c>
      <c r="G30" s="80">
        <v>1</v>
      </c>
      <c r="H30" s="80">
        <v>2</v>
      </c>
      <c r="I30" s="80"/>
      <c r="J30" s="80"/>
      <c r="K30" s="80"/>
      <c r="L30" s="80"/>
      <c r="M30" s="80"/>
      <c r="N30" s="80"/>
      <c r="O30" s="87">
        <f t="shared" si="4"/>
        <v>5</v>
      </c>
      <c r="P30" s="88">
        <f t="shared" si="6"/>
        <v>28.75</v>
      </c>
      <c r="Q30" s="80" t="s">
        <v>267</v>
      </c>
      <c r="R30" s="87" t="s">
        <v>268</v>
      </c>
      <c r="S30" s="80" t="s">
        <v>274</v>
      </c>
      <c r="T30" s="80"/>
    </row>
    <row r="31" customHeight="1" spans="1:20">
      <c r="A31" s="80">
        <v>22</v>
      </c>
      <c r="B31" s="80" t="s">
        <v>278</v>
      </c>
      <c r="C31" s="80">
        <v>1800</v>
      </c>
      <c r="D31" s="80">
        <v>2000</v>
      </c>
      <c r="E31" s="80"/>
      <c r="F31" s="80">
        <v>4</v>
      </c>
      <c r="G31" s="80">
        <v>4</v>
      </c>
      <c r="H31" s="80"/>
      <c r="I31" s="80"/>
      <c r="J31" s="80"/>
      <c r="K31" s="80"/>
      <c r="L31" s="80"/>
      <c r="M31" s="80"/>
      <c r="N31" s="80"/>
      <c r="O31" s="87">
        <f t="shared" si="4"/>
        <v>8</v>
      </c>
      <c r="P31" s="88">
        <f t="shared" si="6"/>
        <v>28.8</v>
      </c>
      <c r="Q31" s="80" t="s">
        <v>267</v>
      </c>
      <c r="R31" s="87" t="s">
        <v>268</v>
      </c>
      <c r="S31" s="80" t="s">
        <v>274</v>
      </c>
      <c r="T31" s="80"/>
    </row>
    <row r="32" customHeight="1" spans="1:20">
      <c r="A32" s="80"/>
      <c r="B32" s="80" t="s">
        <v>279</v>
      </c>
      <c r="C32" s="80">
        <v>1800</v>
      </c>
      <c r="D32" s="80">
        <v>2000</v>
      </c>
      <c r="E32" s="80"/>
      <c r="F32" s="80">
        <v>2</v>
      </c>
      <c r="G32" s="80">
        <v>2</v>
      </c>
      <c r="H32" s="80"/>
      <c r="I32" s="80"/>
      <c r="J32" s="80"/>
      <c r="K32" s="80"/>
      <c r="L32" s="80"/>
      <c r="M32" s="80"/>
      <c r="N32" s="80"/>
      <c r="O32" s="87">
        <f t="shared" si="4"/>
        <v>4</v>
      </c>
      <c r="P32" s="88">
        <f t="shared" si="6"/>
        <v>14.4</v>
      </c>
      <c r="Q32" s="80" t="s">
        <v>267</v>
      </c>
      <c r="R32" s="87" t="s">
        <v>268</v>
      </c>
      <c r="S32" s="80" t="s">
        <v>274</v>
      </c>
      <c r="T32" s="80"/>
    </row>
    <row r="33" customHeight="1" spans="1:20">
      <c r="A33" s="80">
        <v>23</v>
      </c>
      <c r="B33" s="80" t="s">
        <v>280</v>
      </c>
      <c r="C33" s="80">
        <v>1600</v>
      </c>
      <c r="D33" s="80">
        <v>2000</v>
      </c>
      <c r="E33" s="80"/>
      <c r="F33" s="80">
        <v>2</v>
      </c>
      <c r="G33" s="80">
        <v>2</v>
      </c>
      <c r="H33" s="80"/>
      <c r="I33" s="80"/>
      <c r="J33" s="80"/>
      <c r="K33" s="80"/>
      <c r="L33" s="80"/>
      <c r="M33" s="80"/>
      <c r="N33" s="80"/>
      <c r="O33" s="87">
        <f t="shared" si="4"/>
        <v>4</v>
      </c>
      <c r="P33" s="88">
        <f t="shared" si="6"/>
        <v>12.8</v>
      </c>
      <c r="Q33" s="80" t="s">
        <v>267</v>
      </c>
      <c r="R33" s="87" t="s">
        <v>268</v>
      </c>
      <c r="S33" s="80" t="s">
        <v>281</v>
      </c>
      <c r="T33" s="80"/>
    </row>
    <row r="34" customHeight="1" spans="1:20">
      <c r="A34" s="80">
        <v>26</v>
      </c>
      <c r="B34" s="80" t="s">
        <v>282</v>
      </c>
      <c r="C34" s="80">
        <v>1100</v>
      </c>
      <c r="D34" s="80">
        <v>1000</v>
      </c>
      <c r="E34" s="80"/>
      <c r="F34" s="80">
        <v>2</v>
      </c>
      <c r="G34" s="80">
        <v>2</v>
      </c>
      <c r="H34" s="80"/>
      <c r="I34" s="80"/>
      <c r="J34" s="80"/>
      <c r="K34" s="80"/>
      <c r="L34" s="80"/>
      <c r="M34" s="80"/>
      <c r="N34" s="80"/>
      <c r="O34" s="87">
        <f t="shared" si="4"/>
        <v>4</v>
      </c>
      <c r="P34" s="88">
        <f t="shared" si="6"/>
        <v>4.4</v>
      </c>
      <c r="Q34" s="80" t="s">
        <v>267</v>
      </c>
      <c r="R34" s="87" t="s">
        <v>268</v>
      </c>
      <c r="S34" s="80" t="s">
        <v>274</v>
      </c>
      <c r="T34" s="80"/>
    </row>
    <row r="35" customHeight="1" spans="1:20">
      <c r="A35" s="80">
        <v>27</v>
      </c>
      <c r="B35" s="80" t="s">
        <v>283</v>
      </c>
      <c r="C35" s="80">
        <v>1300</v>
      </c>
      <c r="D35" s="80">
        <v>2000</v>
      </c>
      <c r="E35" s="80"/>
      <c r="F35" s="80">
        <v>2</v>
      </c>
      <c r="G35" s="80">
        <v>2</v>
      </c>
      <c r="H35" s="80"/>
      <c r="I35" s="80"/>
      <c r="J35" s="80"/>
      <c r="K35" s="80"/>
      <c r="L35" s="80"/>
      <c r="M35" s="80"/>
      <c r="N35" s="80"/>
      <c r="O35" s="87">
        <f t="shared" si="4"/>
        <v>4</v>
      </c>
      <c r="P35" s="88">
        <f t="shared" si="6"/>
        <v>10.4</v>
      </c>
      <c r="Q35" s="80" t="s">
        <v>267</v>
      </c>
      <c r="R35" s="87" t="s">
        <v>268</v>
      </c>
      <c r="S35" s="80" t="s">
        <v>274</v>
      </c>
      <c r="T35" s="80"/>
    </row>
    <row r="36" customHeight="1" spans="1:20">
      <c r="A36" s="80">
        <v>28</v>
      </c>
      <c r="B36" s="80" t="s">
        <v>284</v>
      </c>
      <c r="C36" s="80">
        <v>1000</v>
      </c>
      <c r="D36" s="80">
        <v>1000</v>
      </c>
      <c r="E36" s="80"/>
      <c r="F36" s="80">
        <v>2</v>
      </c>
      <c r="G36" s="80">
        <v>2</v>
      </c>
      <c r="H36" s="80"/>
      <c r="I36" s="80"/>
      <c r="J36" s="80"/>
      <c r="K36" s="80"/>
      <c r="L36" s="80"/>
      <c r="M36" s="80"/>
      <c r="N36" s="80"/>
      <c r="O36" s="87">
        <f t="shared" si="4"/>
        <v>4</v>
      </c>
      <c r="P36" s="88">
        <f t="shared" si="6"/>
        <v>4</v>
      </c>
      <c r="Q36" s="80" t="s">
        <v>267</v>
      </c>
      <c r="R36" s="87" t="s">
        <v>268</v>
      </c>
      <c r="S36" s="80" t="s">
        <v>274</v>
      </c>
      <c r="T36" s="80"/>
    </row>
    <row r="37" customHeight="1" spans="1:20">
      <c r="A37" s="80">
        <v>31</v>
      </c>
      <c r="B37" s="80" t="s">
        <v>285</v>
      </c>
      <c r="C37" s="80">
        <v>1500</v>
      </c>
      <c r="D37" s="80">
        <v>2000</v>
      </c>
      <c r="E37" s="80"/>
      <c r="F37" s="80">
        <v>2</v>
      </c>
      <c r="G37" s="80">
        <v>3</v>
      </c>
      <c r="H37" s="80"/>
      <c r="I37" s="80"/>
      <c r="J37" s="80"/>
      <c r="K37" s="80"/>
      <c r="L37" s="80"/>
      <c r="M37" s="80"/>
      <c r="N37" s="80"/>
      <c r="O37" s="87">
        <f t="shared" si="4"/>
        <v>5</v>
      </c>
      <c r="P37" s="88">
        <f t="shared" si="6"/>
        <v>15</v>
      </c>
      <c r="Q37" s="80" t="s">
        <v>267</v>
      </c>
      <c r="R37" s="87" t="s">
        <v>268</v>
      </c>
      <c r="S37" s="80" t="s">
        <v>286</v>
      </c>
      <c r="T37" s="80"/>
    </row>
    <row r="38" customHeight="1" spans="1:20">
      <c r="A38" s="80">
        <v>32</v>
      </c>
      <c r="B38" s="80" t="s">
        <v>287</v>
      </c>
      <c r="C38" s="80">
        <v>3600</v>
      </c>
      <c r="D38" s="80">
        <v>2000</v>
      </c>
      <c r="E38" s="80"/>
      <c r="F38" s="80">
        <v>4</v>
      </c>
      <c r="G38" s="80"/>
      <c r="H38" s="80"/>
      <c r="I38" s="80"/>
      <c r="J38" s="80"/>
      <c r="K38" s="80"/>
      <c r="L38" s="80"/>
      <c r="M38" s="80"/>
      <c r="N38" s="80"/>
      <c r="O38" s="87">
        <f t="shared" si="4"/>
        <v>4</v>
      </c>
      <c r="P38" s="88">
        <f t="shared" si="6"/>
        <v>28.8</v>
      </c>
      <c r="Q38" s="80" t="s">
        <v>267</v>
      </c>
      <c r="R38" s="87" t="s">
        <v>268</v>
      </c>
      <c r="S38" s="80" t="s">
        <v>274</v>
      </c>
      <c r="T38" s="80"/>
    </row>
    <row r="39" customHeight="1" spans="1:20">
      <c r="A39" s="80">
        <v>35</v>
      </c>
      <c r="B39" s="80" t="s">
        <v>288</v>
      </c>
      <c r="C39" s="80">
        <v>1460</v>
      </c>
      <c r="D39" s="80">
        <v>2199</v>
      </c>
      <c r="E39" s="80">
        <v>2</v>
      </c>
      <c r="F39" s="80"/>
      <c r="G39" s="80"/>
      <c r="H39" s="80"/>
      <c r="I39" s="80"/>
      <c r="J39" s="80"/>
      <c r="K39" s="80"/>
      <c r="L39" s="80"/>
      <c r="M39" s="80"/>
      <c r="N39" s="80"/>
      <c r="O39" s="87">
        <f t="shared" si="4"/>
        <v>2</v>
      </c>
      <c r="P39" s="88">
        <v>0</v>
      </c>
      <c r="Q39" s="80" t="s">
        <v>267</v>
      </c>
      <c r="R39" s="87" t="s">
        <v>268</v>
      </c>
      <c r="S39" s="80" t="s">
        <v>289</v>
      </c>
      <c r="T39" s="80"/>
    </row>
    <row r="40" customHeight="1" spans="1:20">
      <c r="A40" s="84"/>
      <c r="B40" s="83" t="s">
        <v>270</v>
      </c>
      <c r="C40" s="83">
        <v>3320</v>
      </c>
      <c r="D40" s="83">
        <v>1750</v>
      </c>
      <c r="E40" s="83"/>
      <c r="F40" s="83"/>
      <c r="G40" s="83"/>
      <c r="H40" s="83"/>
      <c r="I40" s="83">
        <v>4</v>
      </c>
      <c r="J40" s="83"/>
      <c r="K40" s="83"/>
      <c r="L40" s="83"/>
      <c r="M40" s="83"/>
      <c r="N40" s="83"/>
      <c r="O40" s="91">
        <f t="shared" si="4"/>
        <v>4</v>
      </c>
      <c r="P40" s="92">
        <v>0</v>
      </c>
      <c r="Q40" s="83" t="s">
        <v>267</v>
      </c>
      <c r="R40" s="91" t="s">
        <v>268</v>
      </c>
      <c r="S40" s="83" t="s">
        <v>251</v>
      </c>
      <c r="T40" s="80"/>
    </row>
    <row r="41" ht="27" customHeight="1" spans="1:20">
      <c r="A41" s="81" t="s">
        <v>290</v>
      </c>
      <c r="B41" s="82"/>
      <c r="C41" s="82"/>
      <c r="D41" s="82"/>
      <c r="E41" s="82"/>
      <c r="F41" s="82"/>
      <c r="G41" s="82"/>
      <c r="H41" s="82"/>
      <c r="I41" s="82"/>
      <c r="J41" s="82"/>
      <c r="K41" s="82"/>
      <c r="L41" s="82"/>
      <c r="M41" s="82"/>
      <c r="N41" s="89"/>
      <c r="O41" s="56">
        <f>SUM(O19:O39)</f>
        <v>339</v>
      </c>
      <c r="P41" s="90">
        <f>SUM(P19:P40)</f>
        <v>1720.09</v>
      </c>
      <c r="Q41" s="97"/>
      <c r="R41" s="98"/>
      <c r="S41" s="97"/>
      <c r="T41" s="97"/>
    </row>
    <row r="42" ht="27" customHeight="1" spans="1:20">
      <c r="A42" s="80">
        <v>1</v>
      </c>
      <c r="B42" s="80" t="s">
        <v>291</v>
      </c>
      <c r="C42" s="80">
        <v>1200</v>
      </c>
      <c r="D42" s="80">
        <v>1450</v>
      </c>
      <c r="E42" s="80"/>
      <c r="F42" s="80"/>
      <c r="G42" s="80"/>
      <c r="H42" s="80"/>
      <c r="I42" s="80">
        <v>2</v>
      </c>
      <c r="J42" s="80">
        <v>2</v>
      </c>
      <c r="K42" s="80">
        <v>2</v>
      </c>
      <c r="L42" s="80">
        <v>2</v>
      </c>
      <c r="M42" s="80">
        <v>2</v>
      </c>
      <c r="N42" s="80"/>
      <c r="O42" s="87">
        <f t="shared" ref="O42:O45" si="7">M42+L42*9+K42*8+J42+I42+H42+G42+F42+E42+N42</f>
        <v>40</v>
      </c>
      <c r="P42" s="88">
        <f t="shared" ref="P42:P57" si="8">O42*D42*C42/1000000</f>
        <v>69.6</v>
      </c>
      <c r="Q42" s="80" t="s">
        <v>117</v>
      </c>
      <c r="R42" s="87" t="s">
        <v>246</v>
      </c>
      <c r="S42" s="80" t="s">
        <v>292</v>
      </c>
      <c r="T42" s="97"/>
    </row>
    <row r="43" ht="27" customHeight="1" spans="1:20">
      <c r="A43" s="80"/>
      <c r="B43" s="80" t="s">
        <v>293</v>
      </c>
      <c r="C43" s="80">
        <v>1500</v>
      </c>
      <c r="D43" s="80">
        <v>2350</v>
      </c>
      <c r="E43" s="80"/>
      <c r="F43" s="80"/>
      <c r="G43" s="80"/>
      <c r="H43" s="80"/>
      <c r="I43" s="80">
        <v>2</v>
      </c>
      <c r="J43" s="80">
        <v>2</v>
      </c>
      <c r="K43" s="80">
        <v>2</v>
      </c>
      <c r="L43" s="80">
        <v>2</v>
      </c>
      <c r="M43" s="80">
        <v>2</v>
      </c>
      <c r="N43" s="80"/>
      <c r="O43" s="87">
        <f t="shared" si="7"/>
        <v>40</v>
      </c>
      <c r="P43" s="88">
        <f t="shared" si="8"/>
        <v>141</v>
      </c>
      <c r="Q43" s="80" t="s">
        <v>117</v>
      </c>
      <c r="R43" s="87" t="s">
        <v>246</v>
      </c>
      <c r="S43" s="80" t="s">
        <v>294</v>
      </c>
      <c r="T43" s="97"/>
    </row>
    <row r="44" ht="27" customHeight="1" spans="1:20">
      <c r="A44" s="80"/>
      <c r="B44" s="80" t="s">
        <v>295</v>
      </c>
      <c r="C44" s="80">
        <v>1100</v>
      </c>
      <c r="D44" s="80">
        <v>1450</v>
      </c>
      <c r="E44" s="80"/>
      <c r="F44" s="80"/>
      <c r="G44" s="80"/>
      <c r="H44" s="80">
        <v>2</v>
      </c>
      <c r="I44" s="80">
        <v>2</v>
      </c>
      <c r="J44" s="80">
        <v>2</v>
      </c>
      <c r="K44" s="80">
        <v>2</v>
      </c>
      <c r="L44" s="80">
        <v>2</v>
      </c>
      <c r="M44" s="80">
        <v>2</v>
      </c>
      <c r="N44" s="80">
        <v>2</v>
      </c>
      <c r="O44" s="87">
        <f t="shared" si="7"/>
        <v>44</v>
      </c>
      <c r="P44" s="88">
        <f t="shared" si="8"/>
        <v>70.18</v>
      </c>
      <c r="Q44" s="86" t="s">
        <v>117</v>
      </c>
      <c r="R44" s="87" t="s">
        <v>246</v>
      </c>
      <c r="S44" s="80" t="s">
        <v>247</v>
      </c>
      <c r="T44" s="97"/>
    </row>
    <row r="45" ht="27" customHeight="1" spans="1:20">
      <c r="A45" s="80"/>
      <c r="B45" s="80" t="s">
        <v>296</v>
      </c>
      <c r="C45" s="80">
        <v>1500</v>
      </c>
      <c r="D45" s="80">
        <v>1450</v>
      </c>
      <c r="E45" s="80"/>
      <c r="F45" s="80"/>
      <c r="G45" s="80"/>
      <c r="H45" s="80"/>
      <c r="I45" s="80">
        <v>2</v>
      </c>
      <c r="J45" s="80">
        <v>2</v>
      </c>
      <c r="K45" s="80">
        <v>2</v>
      </c>
      <c r="L45" s="80">
        <v>2</v>
      </c>
      <c r="M45" s="80">
        <v>2</v>
      </c>
      <c r="N45" s="80"/>
      <c r="O45" s="87">
        <f t="shared" si="7"/>
        <v>40</v>
      </c>
      <c r="P45" s="88">
        <f t="shared" si="8"/>
        <v>87</v>
      </c>
      <c r="Q45" s="86" t="s">
        <v>117</v>
      </c>
      <c r="R45" s="87" t="s">
        <v>246</v>
      </c>
      <c r="S45" s="80" t="s">
        <v>247</v>
      </c>
      <c r="T45" s="97"/>
    </row>
    <row r="46" ht="27" customHeight="1" spans="1:20">
      <c r="A46" s="80"/>
      <c r="B46" s="80" t="s">
        <v>266</v>
      </c>
      <c r="C46" s="80">
        <v>1400</v>
      </c>
      <c r="D46" s="80">
        <v>1800</v>
      </c>
      <c r="E46" s="80"/>
      <c r="F46" s="80"/>
      <c r="G46" s="80"/>
      <c r="H46" s="80">
        <v>2</v>
      </c>
      <c r="I46" s="80">
        <v>2</v>
      </c>
      <c r="J46" s="80">
        <v>2</v>
      </c>
      <c r="K46" s="80">
        <v>2</v>
      </c>
      <c r="L46" s="80">
        <v>2</v>
      </c>
      <c r="M46" s="80"/>
      <c r="N46" s="80"/>
      <c r="O46" s="87">
        <v>40</v>
      </c>
      <c r="P46" s="88">
        <f t="shared" si="8"/>
        <v>100.8</v>
      </c>
      <c r="Q46" s="80" t="s">
        <v>117</v>
      </c>
      <c r="R46" s="87" t="s">
        <v>246</v>
      </c>
      <c r="S46" s="80" t="s">
        <v>294</v>
      </c>
      <c r="T46" s="97"/>
    </row>
    <row r="47" ht="27" customHeight="1" spans="1:20">
      <c r="A47" s="80"/>
      <c r="B47" s="80" t="s">
        <v>297</v>
      </c>
      <c r="C47" s="80">
        <v>1300</v>
      </c>
      <c r="D47" s="80">
        <v>2000</v>
      </c>
      <c r="E47" s="80"/>
      <c r="F47" s="80"/>
      <c r="G47" s="80"/>
      <c r="H47" s="80"/>
      <c r="I47" s="80"/>
      <c r="J47" s="80"/>
      <c r="K47" s="80"/>
      <c r="L47" s="80"/>
      <c r="M47" s="80"/>
      <c r="N47" s="80"/>
      <c r="O47" s="87">
        <v>6</v>
      </c>
      <c r="P47" s="88">
        <f t="shared" si="8"/>
        <v>15.6</v>
      </c>
      <c r="Q47" s="80" t="s">
        <v>117</v>
      </c>
      <c r="R47" s="87" t="s">
        <v>246</v>
      </c>
      <c r="S47" s="80" t="s">
        <v>281</v>
      </c>
      <c r="T47" s="97"/>
    </row>
    <row r="48" ht="27" customHeight="1" spans="1:20">
      <c r="A48" s="80"/>
      <c r="B48" s="80" t="s">
        <v>298</v>
      </c>
      <c r="C48" s="80">
        <v>1200</v>
      </c>
      <c r="D48" s="80">
        <v>1550</v>
      </c>
      <c r="E48" s="80"/>
      <c r="F48" s="80"/>
      <c r="G48" s="80"/>
      <c r="H48" s="80">
        <v>2</v>
      </c>
      <c r="I48" s="80"/>
      <c r="J48" s="80"/>
      <c r="K48" s="80"/>
      <c r="L48" s="80"/>
      <c r="M48" s="80"/>
      <c r="N48" s="80"/>
      <c r="O48" s="87">
        <f t="shared" ref="O48:O51" si="9">M48+L48*9+K48*8+J48+I48+H48+G48+F48+E48+N48</f>
        <v>2</v>
      </c>
      <c r="P48" s="88">
        <f t="shared" si="8"/>
        <v>3.72</v>
      </c>
      <c r="Q48" s="80" t="s">
        <v>117</v>
      </c>
      <c r="R48" s="87" t="s">
        <v>246</v>
      </c>
      <c r="S48" s="80" t="s">
        <v>281</v>
      </c>
      <c r="T48" s="97"/>
    </row>
    <row r="49" ht="27" customHeight="1" spans="1:20">
      <c r="A49" s="80"/>
      <c r="B49" s="80" t="s">
        <v>299</v>
      </c>
      <c r="C49" s="80">
        <v>1400</v>
      </c>
      <c r="D49" s="80">
        <v>1450</v>
      </c>
      <c r="E49" s="80"/>
      <c r="F49" s="80"/>
      <c r="G49" s="80"/>
      <c r="H49" s="80">
        <v>2</v>
      </c>
      <c r="I49" s="80"/>
      <c r="J49" s="80"/>
      <c r="K49" s="80"/>
      <c r="L49" s="80"/>
      <c r="M49" s="80"/>
      <c r="N49" s="80"/>
      <c r="O49" s="87">
        <f t="shared" si="9"/>
        <v>2</v>
      </c>
      <c r="P49" s="88">
        <f t="shared" si="8"/>
        <v>4.06</v>
      </c>
      <c r="Q49" s="80" t="s">
        <v>117</v>
      </c>
      <c r="R49" s="87" t="s">
        <v>246</v>
      </c>
      <c r="S49" s="80" t="s">
        <v>294</v>
      </c>
      <c r="T49" s="97"/>
    </row>
    <row r="50" ht="27" customHeight="1" spans="1:20">
      <c r="A50" s="80"/>
      <c r="B50" s="80" t="s">
        <v>300</v>
      </c>
      <c r="C50" s="80">
        <v>1500</v>
      </c>
      <c r="D50" s="80">
        <v>1450</v>
      </c>
      <c r="E50" s="80"/>
      <c r="F50" s="80"/>
      <c r="G50" s="80"/>
      <c r="H50" s="80">
        <v>2</v>
      </c>
      <c r="I50" s="80"/>
      <c r="J50" s="80"/>
      <c r="K50" s="80"/>
      <c r="L50" s="80"/>
      <c r="M50" s="80"/>
      <c r="N50" s="80">
        <v>2</v>
      </c>
      <c r="O50" s="87">
        <f t="shared" si="9"/>
        <v>4</v>
      </c>
      <c r="P50" s="88">
        <f t="shared" si="8"/>
        <v>8.7</v>
      </c>
      <c r="Q50" s="80" t="s">
        <v>117</v>
      </c>
      <c r="R50" s="87" t="s">
        <v>246</v>
      </c>
      <c r="S50" s="80" t="s">
        <v>294</v>
      </c>
      <c r="T50" s="97"/>
    </row>
    <row r="51" customHeight="1" spans="1:20">
      <c r="A51" s="85"/>
      <c r="B51" s="80" t="s">
        <v>301</v>
      </c>
      <c r="C51" s="80">
        <v>1500</v>
      </c>
      <c r="D51" s="80">
        <v>1500</v>
      </c>
      <c r="E51" s="80"/>
      <c r="F51" s="80"/>
      <c r="G51" s="80"/>
      <c r="H51" s="80">
        <v>2</v>
      </c>
      <c r="I51" s="80"/>
      <c r="J51" s="80"/>
      <c r="K51" s="80"/>
      <c r="L51" s="80"/>
      <c r="M51" s="80"/>
      <c r="N51" s="80"/>
      <c r="O51" s="87">
        <f t="shared" si="9"/>
        <v>2</v>
      </c>
      <c r="P51" s="88">
        <f t="shared" si="8"/>
        <v>4.5</v>
      </c>
      <c r="Q51" s="80" t="s">
        <v>117</v>
      </c>
      <c r="R51" s="87" t="s">
        <v>246</v>
      </c>
      <c r="S51" s="80" t="s">
        <v>247</v>
      </c>
      <c r="T51" s="102"/>
    </row>
    <row r="52" customHeight="1" spans="1:20">
      <c r="A52" s="85"/>
      <c r="B52" s="80" t="s">
        <v>302</v>
      </c>
      <c r="C52" s="80">
        <v>1400</v>
      </c>
      <c r="D52" s="80">
        <v>2000</v>
      </c>
      <c r="E52" s="80"/>
      <c r="F52" s="80"/>
      <c r="G52" s="80"/>
      <c r="H52" s="80"/>
      <c r="I52" s="80"/>
      <c r="J52" s="80"/>
      <c r="K52" s="80"/>
      <c r="L52" s="80"/>
      <c r="M52" s="80"/>
      <c r="N52" s="80"/>
      <c r="O52" s="87">
        <v>4</v>
      </c>
      <c r="P52" s="88">
        <f t="shared" si="8"/>
        <v>11.2</v>
      </c>
      <c r="Q52" s="80" t="s">
        <v>117</v>
      </c>
      <c r="R52" s="87" t="s">
        <v>246</v>
      </c>
      <c r="S52" s="80" t="s">
        <v>281</v>
      </c>
      <c r="T52" s="102"/>
    </row>
    <row r="53" customHeight="1" spans="1:20">
      <c r="A53" s="85"/>
      <c r="B53" s="86" t="s">
        <v>303</v>
      </c>
      <c r="C53" s="86">
        <v>1500</v>
      </c>
      <c r="D53" s="86">
        <v>1740</v>
      </c>
      <c r="E53" s="86"/>
      <c r="F53" s="86"/>
      <c r="G53" s="86">
        <v>2</v>
      </c>
      <c r="H53" s="86"/>
      <c r="I53" s="86"/>
      <c r="J53" s="86"/>
      <c r="K53" s="86"/>
      <c r="L53" s="86"/>
      <c r="M53" s="86"/>
      <c r="N53" s="86"/>
      <c r="O53" s="93">
        <f t="shared" ref="O53:O57" si="10">M53+L53*9+K53*8+J53+I53+H53+G53+F53+E53+N53</f>
        <v>2</v>
      </c>
      <c r="P53" s="94">
        <f t="shared" si="8"/>
        <v>5.22</v>
      </c>
      <c r="Q53" s="86" t="s">
        <v>117</v>
      </c>
      <c r="R53" s="87" t="s">
        <v>246</v>
      </c>
      <c r="S53" s="86" t="s">
        <v>247</v>
      </c>
      <c r="T53" s="102"/>
    </row>
    <row r="54" customHeight="1" spans="1:20">
      <c r="A54" s="85"/>
      <c r="B54" s="80" t="s">
        <v>304</v>
      </c>
      <c r="C54" s="80">
        <v>1500</v>
      </c>
      <c r="D54" s="80">
        <v>2000</v>
      </c>
      <c r="E54" s="80"/>
      <c r="F54" s="80"/>
      <c r="G54" s="80">
        <v>2</v>
      </c>
      <c r="H54" s="80"/>
      <c r="I54" s="80"/>
      <c r="J54" s="80"/>
      <c r="K54" s="80"/>
      <c r="L54" s="80"/>
      <c r="M54" s="80"/>
      <c r="N54" s="80"/>
      <c r="O54" s="87">
        <f t="shared" si="10"/>
        <v>2</v>
      </c>
      <c r="P54" s="88">
        <f t="shared" si="8"/>
        <v>6</v>
      </c>
      <c r="Q54" s="86" t="s">
        <v>117</v>
      </c>
      <c r="R54" s="87" t="s">
        <v>246</v>
      </c>
      <c r="S54" s="80" t="s">
        <v>247</v>
      </c>
      <c r="T54" s="102"/>
    </row>
    <row r="55" customHeight="1" spans="1:20">
      <c r="A55" s="85"/>
      <c r="B55" s="80" t="s">
        <v>305</v>
      </c>
      <c r="C55" s="80">
        <v>1500</v>
      </c>
      <c r="D55" s="80">
        <v>1150</v>
      </c>
      <c r="E55" s="80"/>
      <c r="F55" s="80">
        <v>2</v>
      </c>
      <c r="G55" s="80"/>
      <c r="H55" s="80"/>
      <c r="I55" s="80"/>
      <c r="J55" s="80"/>
      <c r="K55" s="80"/>
      <c r="L55" s="80"/>
      <c r="M55" s="80"/>
      <c r="N55" s="80"/>
      <c r="O55" s="87">
        <f t="shared" si="10"/>
        <v>2</v>
      </c>
      <c r="P55" s="88">
        <f t="shared" si="8"/>
        <v>3.45</v>
      </c>
      <c r="Q55" s="86" t="s">
        <v>117</v>
      </c>
      <c r="R55" s="87" t="s">
        <v>246</v>
      </c>
      <c r="S55" s="80" t="s">
        <v>247</v>
      </c>
      <c r="T55" s="102"/>
    </row>
    <row r="56" customHeight="1" spans="1:20">
      <c r="A56" s="85"/>
      <c r="B56" s="80" t="s">
        <v>306</v>
      </c>
      <c r="C56" s="80">
        <v>1500</v>
      </c>
      <c r="D56" s="80">
        <v>1070</v>
      </c>
      <c r="E56" s="80"/>
      <c r="F56" s="80">
        <v>2</v>
      </c>
      <c r="G56" s="80"/>
      <c r="H56" s="80"/>
      <c r="I56" s="80"/>
      <c r="J56" s="80"/>
      <c r="K56" s="80"/>
      <c r="L56" s="80"/>
      <c r="M56" s="80"/>
      <c r="N56" s="80"/>
      <c r="O56" s="87">
        <f t="shared" si="10"/>
        <v>2</v>
      </c>
      <c r="P56" s="88">
        <f t="shared" si="8"/>
        <v>3.21</v>
      </c>
      <c r="Q56" s="86" t="s">
        <v>117</v>
      </c>
      <c r="R56" s="87" t="s">
        <v>246</v>
      </c>
      <c r="S56" s="80" t="s">
        <v>247</v>
      </c>
      <c r="T56" s="102"/>
    </row>
    <row r="57" customHeight="1" spans="1:20">
      <c r="A57" s="85"/>
      <c r="B57" s="80" t="s">
        <v>307</v>
      </c>
      <c r="C57" s="80">
        <v>600</v>
      </c>
      <c r="D57" s="80">
        <v>2700</v>
      </c>
      <c r="E57" s="80">
        <v>1</v>
      </c>
      <c r="F57" s="80"/>
      <c r="G57" s="80"/>
      <c r="H57" s="80"/>
      <c r="I57" s="80"/>
      <c r="J57" s="80"/>
      <c r="K57" s="80"/>
      <c r="L57" s="80"/>
      <c r="M57" s="80"/>
      <c r="N57" s="80"/>
      <c r="O57" s="87">
        <f t="shared" si="10"/>
        <v>1</v>
      </c>
      <c r="P57" s="88">
        <f t="shared" si="8"/>
        <v>1.62</v>
      </c>
      <c r="Q57" s="86" t="s">
        <v>117</v>
      </c>
      <c r="R57" s="87" t="s">
        <v>246</v>
      </c>
      <c r="S57" s="80" t="s">
        <v>247</v>
      </c>
      <c r="T57" s="102"/>
    </row>
    <row r="58" customHeight="1" spans="1:20">
      <c r="A58" s="81" t="s">
        <v>308</v>
      </c>
      <c r="B58" s="82"/>
      <c r="C58" s="82"/>
      <c r="D58" s="82"/>
      <c r="E58" s="82"/>
      <c r="F58" s="82"/>
      <c r="G58" s="82"/>
      <c r="H58" s="82"/>
      <c r="I58" s="82"/>
      <c r="J58" s="82"/>
      <c r="K58" s="82"/>
      <c r="L58" s="82"/>
      <c r="M58" s="82"/>
      <c r="N58" s="89"/>
      <c r="O58" s="95"/>
      <c r="P58" s="90">
        <f>SUM(P42:P57)</f>
        <v>535.86</v>
      </c>
      <c r="Q58" s="56"/>
      <c r="R58" s="95"/>
      <c r="S58" s="56"/>
      <c r="T58" s="97"/>
    </row>
    <row r="59" customHeight="1" spans="1:20">
      <c r="A59" s="80">
        <v>1</v>
      </c>
      <c r="B59" s="80" t="s">
        <v>309</v>
      </c>
      <c r="C59" s="80">
        <v>800</v>
      </c>
      <c r="D59" s="80">
        <v>1450</v>
      </c>
      <c r="E59" s="80"/>
      <c r="F59" s="80"/>
      <c r="G59" s="80"/>
      <c r="H59" s="80"/>
      <c r="I59" s="80">
        <v>12</v>
      </c>
      <c r="J59" s="80">
        <v>10</v>
      </c>
      <c r="K59" s="80">
        <v>12</v>
      </c>
      <c r="L59" s="80">
        <v>10</v>
      </c>
      <c r="M59" s="80">
        <v>10</v>
      </c>
      <c r="N59" s="80">
        <v>4</v>
      </c>
      <c r="O59" s="87">
        <f t="shared" ref="O59:O62" si="11">M59+L59*9+K59*8+J59+I59+H59+G59+F59+E59+N59</f>
        <v>222</v>
      </c>
      <c r="P59" s="88">
        <f t="shared" ref="P59:P62" si="12">O59*D59*C59/1000000</f>
        <v>257.52</v>
      </c>
      <c r="Q59" s="80" t="s">
        <v>310</v>
      </c>
      <c r="R59" s="87" t="s">
        <v>268</v>
      </c>
      <c r="S59" s="80" t="s">
        <v>311</v>
      </c>
      <c r="T59" s="80"/>
    </row>
    <row r="60" customHeight="1" spans="1:20">
      <c r="A60" s="80">
        <v>2</v>
      </c>
      <c r="B60" s="80" t="s">
        <v>312</v>
      </c>
      <c r="C60" s="80">
        <v>900</v>
      </c>
      <c r="D60" s="80">
        <v>1450</v>
      </c>
      <c r="E60" s="80"/>
      <c r="F60" s="80"/>
      <c r="G60" s="80"/>
      <c r="H60" s="80"/>
      <c r="I60" s="80">
        <v>4</v>
      </c>
      <c r="J60" s="80">
        <v>4</v>
      </c>
      <c r="K60" s="80">
        <v>4</v>
      </c>
      <c r="L60" s="80">
        <v>4</v>
      </c>
      <c r="M60" s="80">
        <v>4</v>
      </c>
      <c r="N60" s="80"/>
      <c r="O60" s="87">
        <f t="shared" si="11"/>
        <v>80</v>
      </c>
      <c r="P60" s="88">
        <f t="shared" si="12"/>
        <v>104.4</v>
      </c>
      <c r="Q60" s="80" t="s">
        <v>310</v>
      </c>
      <c r="R60" s="87" t="s">
        <v>268</v>
      </c>
      <c r="S60" s="80" t="s">
        <v>251</v>
      </c>
      <c r="T60" s="80"/>
    </row>
    <row r="61" customHeight="1" spans="1:20">
      <c r="A61" s="80">
        <v>3</v>
      </c>
      <c r="B61" s="80" t="s">
        <v>313</v>
      </c>
      <c r="C61" s="80">
        <v>700</v>
      </c>
      <c r="D61" s="80">
        <v>1450</v>
      </c>
      <c r="E61" s="80"/>
      <c r="F61" s="80"/>
      <c r="G61" s="80"/>
      <c r="H61" s="80"/>
      <c r="I61" s="80">
        <v>6</v>
      </c>
      <c r="J61" s="80">
        <v>6</v>
      </c>
      <c r="K61" s="80">
        <v>6</v>
      </c>
      <c r="L61" s="80">
        <v>6</v>
      </c>
      <c r="M61" s="80">
        <v>6</v>
      </c>
      <c r="N61" s="80"/>
      <c r="O61" s="87">
        <f t="shared" si="11"/>
        <v>120</v>
      </c>
      <c r="P61" s="88">
        <f t="shared" si="12"/>
        <v>121.8</v>
      </c>
      <c r="Q61" s="80" t="s">
        <v>310</v>
      </c>
      <c r="R61" s="87" t="s">
        <v>268</v>
      </c>
      <c r="S61" s="80" t="s">
        <v>314</v>
      </c>
      <c r="T61" s="80"/>
    </row>
    <row r="62" customHeight="1" spans="1:20">
      <c r="A62" s="80">
        <v>4</v>
      </c>
      <c r="B62" s="80" t="s">
        <v>315</v>
      </c>
      <c r="C62" s="80">
        <v>800</v>
      </c>
      <c r="D62" s="80">
        <v>2000</v>
      </c>
      <c r="E62" s="80"/>
      <c r="F62" s="80">
        <v>4</v>
      </c>
      <c r="G62" s="80">
        <v>4</v>
      </c>
      <c r="H62" s="80">
        <v>4</v>
      </c>
      <c r="I62" s="80"/>
      <c r="J62" s="80"/>
      <c r="K62" s="80"/>
      <c r="L62" s="80"/>
      <c r="M62" s="80"/>
      <c r="N62" s="80"/>
      <c r="O62" s="87">
        <f t="shared" si="11"/>
        <v>12</v>
      </c>
      <c r="P62" s="88">
        <f t="shared" si="12"/>
        <v>19.2</v>
      </c>
      <c r="Q62" s="80" t="s">
        <v>310</v>
      </c>
      <c r="R62" s="87" t="s">
        <v>268</v>
      </c>
      <c r="S62" s="80" t="s">
        <v>316</v>
      </c>
      <c r="T62" s="80"/>
    </row>
    <row r="63" customHeight="1" spans="1:20">
      <c r="A63" s="81" t="s">
        <v>317</v>
      </c>
      <c r="B63" s="82"/>
      <c r="C63" s="82"/>
      <c r="D63" s="82"/>
      <c r="E63" s="82"/>
      <c r="F63" s="82"/>
      <c r="G63" s="82"/>
      <c r="H63" s="82"/>
      <c r="I63" s="82"/>
      <c r="J63" s="82"/>
      <c r="K63" s="82"/>
      <c r="L63" s="82"/>
      <c r="M63" s="82"/>
      <c r="N63" s="89"/>
      <c r="O63" s="56">
        <f>SUM(O59:O62)</f>
        <v>434</v>
      </c>
      <c r="P63" s="90">
        <f>SUM(P59:P62)</f>
        <v>502.92</v>
      </c>
      <c r="Q63" s="97"/>
      <c r="R63" s="98"/>
      <c r="S63" s="97"/>
      <c r="T63" s="97"/>
    </row>
    <row r="64" customHeight="1" spans="1:20">
      <c r="A64" s="80">
        <v>1</v>
      </c>
      <c r="B64" s="80" t="s">
        <v>318</v>
      </c>
      <c r="C64" s="80">
        <v>500</v>
      </c>
      <c r="D64" s="80">
        <v>1000</v>
      </c>
      <c r="E64" s="80"/>
      <c r="F64" s="80">
        <v>18</v>
      </c>
      <c r="G64" s="80">
        <v>18</v>
      </c>
      <c r="H64" s="80">
        <v>12</v>
      </c>
      <c r="I64" s="80">
        <v>4</v>
      </c>
      <c r="J64" s="80">
        <v>4</v>
      </c>
      <c r="K64" s="80">
        <v>4</v>
      </c>
      <c r="L64" s="80">
        <v>4</v>
      </c>
      <c r="M64" s="80">
        <v>4</v>
      </c>
      <c r="N64" s="80"/>
      <c r="O64" s="87">
        <f t="shared" ref="O64:O75" si="13">M64+L64*9+K64*8+J64+I64+H64+G64+F64+E64+N64</f>
        <v>128</v>
      </c>
      <c r="P64" s="88">
        <f t="shared" ref="P64:P75" si="14">O64*D64*C64/1000000</f>
        <v>64</v>
      </c>
      <c r="Q64" s="80" t="s">
        <v>319</v>
      </c>
      <c r="R64" s="87" t="s">
        <v>268</v>
      </c>
      <c r="S64" s="80" t="s">
        <v>320</v>
      </c>
      <c r="T64" s="80"/>
    </row>
    <row r="65" customHeight="1" spans="1:20">
      <c r="A65" s="84">
        <v>2</v>
      </c>
      <c r="B65" s="80" t="s">
        <v>321</v>
      </c>
      <c r="C65" s="80">
        <v>1800</v>
      </c>
      <c r="D65" s="80">
        <v>2000</v>
      </c>
      <c r="E65" s="80">
        <v>1</v>
      </c>
      <c r="F65" s="80"/>
      <c r="G65" s="80"/>
      <c r="H65" s="80"/>
      <c r="I65" s="80"/>
      <c r="J65" s="80"/>
      <c r="K65" s="80"/>
      <c r="L65" s="80"/>
      <c r="M65" s="80"/>
      <c r="N65" s="80"/>
      <c r="O65" s="87">
        <f t="shared" si="13"/>
        <v>1</v>
      </c>
      <c r="P65" s="88">
        <f t="shared" si="14"/>
        <v>3.6</v>
      </c>
      <c r="Q65" s="80" t="s">
        <v>319</v>
      </c>
      <c r="R65" s="87" t="s">
        <v>268</v>
      </c>
      <c r="S65" s="80" t="s">
        <v>322</v>
      </c>
      <c r="T65" s="80"/>
    </row>
    <row r="66" customHeight="1" spans="1:20">
      <c r="A66" s="81" t="s">
        <v>323</v>
      </c>
      <c r="B66" s="82"/>
      <c r="C66" s="82"/>
      <c r="D66" s="82"/>
      <c r="E66" s="82"/>
      <c r="F66" s="82"/>
      <c r="G66" s="82"/>
      <c r="H66" s="82"/>
      <c r="I66" s="82"/>
      <c r="J66" s="82"/>
      <c r="K66" s="82"/>
      <c r="L66" s="82"/>
      <c r="M66" s="82"/>
      <c r="N66" s="89"/>
      <c r="O66" s="56">
        <f>SUM(O64)</f>
        <v>128</v>
      </c>
      <c r="P66" s="90">
        <f>SUM(P64:P65)</f>
        <v>67.6</v>
      </c>
      <c r="Q66" s="97"/>
      <c r="R66" s="98"/>
      <c r="S66" s="97"/>
      <c r="T66" s="97"/>
    </row>
    <row r="67" customHeight="1" spans="1:20">
      <c r="A67" s="80">
        <v>1</v>
      </c>
      <c r="B67" s="80" t="s">
        <v>324</v>
      </c>
      <c r="C67" s="80">
        <v>2050</v>
      </c>
      <c r="D67" s="80">
        <v>2200</v>
      </c>
      <c r="E67" s="80"/>
      <c r="F67" s="80"/>
      <c r="G67" s="80"/>
      <c r="H67" s="80"/>
      <c r="I67" s="80"/>
      <c r="J67" s="80"/>
      <c r="K67" s="80"/>
      <c r="L67" s="80"/>
      <c r="M67" s="80">
        <v>4</v>
      </c>
      <c r="N67" s="80"/>
      <c r="O67" s="87">
        <f t="shared" si="13"/>
        <v>4</v>
      </c>
      <c r="P67" s="88">
        <f t="shared" si="14"/>
        <v>18.04</v>
      </c>
      <c r="Q67" s="80" t="s">
        <v>139</v>
      </c>
      <c r="R67" s="87" t="s">
        <v>325</v>
      </c>
      <c r="S67" s="80" t="s">
        <v>251</v>
      </c>
      <c r="T67" s="80"/>
    </row>
    <row r="68" customHeight="1" spans="1:20">
      <c r="A68" s="80">
        <v>2</v>
      </c>
      <c r="B68" s="80" t="s">
        <v>326</v>
      </c>
      <c r="C68" s="80">
        <v>2400</v>
      </c>
      <c r="D68" s="80">
        <v>2200</v>
      </c>
      <c r="E68" s="80"/>
      <c r="F68" s="80"/>
      <c r="G68" s="80"/>
      <c r="H68" s="80"/>
      <c r="I68" s="80"/>
      <c r="J68" s="80"/>
      <c r="K68" s="80"/>
      <c r="L68" s="80"/>
      <c r="M68" s="80">
        <v>0</v>
      </c>
      <c r="N68" s="80"/>
      <c r="O68" s="87">
        <f t="shared" si="13"/>
        <v>0</v>
      </c>
      <c r="P68" s="88">
        <f t="shared" si="14"/>
        <v>0</v>
      </c>
      <c r="Q68" s="80" t="s">
        <v>139</v>
      </c>
      <c r="R68" s="87" t="s">
        <v>325</v>
      </c>
      <c r="S68" s="80" t="s">
        <v>327</v>
      </c>
      <c r="T68" s="80"/>
    </row>
    <row r="69" customHeight="1" spans="1:20">
      <c r="A69" s="80">
        <v>3</v>
      </c>
      <c r="B69" s="80" t="s">
        <v>328</v>
      </c>
      <c r="C69" s="80">
        <v>3300</v>
      </c>
      <c r="D69" s="80">
        <v>2200</v>
      </c>
      <c r="E69" s="80"/>
      <c r="F69" s="80"/>
      <c r="G69" s="80"/>
      <c r="H69" s="80"/>
      <c r="I69" s="80"/>
      <c r="J69" s="80"/>
      <c r="K69" s="80"/>
      <c r="L69" s="80"/>
      <c r="M69" s="80">
        <v>2</v>
      </c>
      <c r="N69" s="80"/>
      <c r="O69" s="87">
        <f t="shared" si="13"/>
        <v>2</v>
      </c>
      <c r="P69" s="88">
        <f t="shared" si="14"/>
        <v>14.52</v>
      </c>
      <c r="Q69" s="80" t="s">
        <v>139</v>
      </c>
      <c r="R69" s="87" t="s">
        <v>246</v>
      </c>
      <c r="S69" s="80" t="s">
        <v>251</v>
      </c>
      <c r="T69" s="80"/>
    </row>
    <row r="70" customHeight="1" spans="1:20">
      <c r="A70" s="80">
        <v>4</v>
      </c>
      <c r="B70" s="80" t="s">
        <v>329</v>
      </c>
      <c r="C70" s="80">
        <v>2700</v>
      </c>
      <c r="D70" s="80">
        <v>2200</v>
      </c>
      <c r="E70" s="80"/>
      <c r="F70" s="80"/>
      <c r="G70" s="80"/>
      <c r="H70" s="80"/>
      <c r="I70" s="80"/>
      <c r="J70" s="80"/>
      <c r="K70" s="80"/>
      <c r="L70" s="80"/>
      <c r="M70" s="80">
        <v>0</v>
      </c>
      <c r="N70" s="80"/>
      <c r="O70" s="87">
        <f t="shared" si="13"/>
        <v>0</v>
      </c>
      <c r="P70" s="88">
        <f t="shared" si="14"/>
        <v>0</v>
      </c>
      <c r="Q70" s="80" t="s">
        <v>139</v>
      </c>
      <c r="R70" s="87" t="s">
        <v>246</v>
      </c>
      <c r="S70" s="80" t="s">
        <v>327</v>
      </c>
      <c r="T70" s="80"/>
    </row>
    <row r="71" customHeight="1" spans="1:20">
      <c r="A71" s="80">
        <v>5</v>
      </c>
      <c r="B71" s="80" t="s">
        <v>330</v>
      </c>
      <c r="C71" s="80">
        <v>2050</v>
      </c>
      <c r="D71" s="80">
        <v>2350</v>
      </c>
      <c r="E71" s="80"/>
      <c r="F71" s="80"/>
      <c r="G71" s="80"/>
      <c r="H71" s="80"/>
      <c r="I71" s="80">
        <v>4</v>
      </c>
      <c r="J71" s="80">
        <v>4</v>
      </c>
      <c r="K71" s="80">
        <v>4</v>
      </c>
      <c r="L71" s="80">
        <v>4</v>
      </c>
      <c r="M71" s="80"/>
      <c r="N71" s="80"/>
      <c r="O71" s="87">
        <f t="shared" si="13"/>
        <v>76</v>
      </c>
      <c r="P71" s="88">
        <f t="shared" si="14"/>
        <v>366.13</v>
      </c>
      <c r="Q71" s="80" t="s">
        <v>139</v>
      </c>
      <c r="R71" s="87" t="s">
        <v>325</v>
      </c>
      <c r="S71" s="80" t="s">
        <v>251</v>
      </c>
      <c r="T71" s="80"/>
    </row>
    <row r="72" customHeight="1" spans="1:20">
      <c r="A72" s="80">
        <v>6</v>
      </c>
      <c r="B72" s="80" t="s">
        <v>331</v>
      </c>
      <c r="C72" s="80">
        <v>2700</v>
      </c>
      <c r="D72" s="80">
        <v>2350</v>
      </c>
      <c r="E72" s="80"/>
      <c r="F72" s="80"/>
      <c r="G72" s="80"/>
      <c r="H72" s="80"/>
      <c r="I72" s="80">
        <v>0</v>
      </c>
      <c r="J72" s="80">
        <v>0</v>
      </c>
      <c r="K72" s="80">
        <v>0</v>
      </c>
      <c r="L72" s="80">
        <v>0</v>
      </c>
      <c r="M72" s="80"/>
      <c r="N72" s="80"/>
      <c r="O72" s="87">
        <f t="shared" si="13"/>
        <v>0</v>
      </c>
      <c r="P72" s="88">
        <f t="shared" si="14"/>
        <v>0</v>
      </c>
      <c r="Q72" s="80" t="s">
        <v>139</v>
      </c>
      <c r="R72" s="87" t="s">
        <v>246</v>
      </c>
      <c r="S72" s="80" t="s">
        <v>327</v>
      </c>
      <c r="T72" s="80"/>
    </row>
    <row r="73" customHeight="1" spans="1:20">
      <c r="A73" s="80">
        <v>7</v>
      </c>
      <c r="B73" s="80" t="s">
        <v>332</v>
      </c>
      <c r="C73" s="80">
        <v>3300</v>
      </c>
      <c r="D73" s="80">
        <v>2760</v>
      </c>
      <c r="E73" s="80"/>
      <c r="F73" s="80"/>
      <c r="G73" s="80"/>
      <c r="H73" s="80"/>
      <c r="I73" s="80">
        <v>2</v>
      </c>
      <c r="J73" s="80">
        <v>2</v>
      </c>
      <c r="K73" s="80">
        <v>2</v>
      </c>
      <c r="L73" s="80">
        <v>2</v>
      </c>
      <c r="M73" s="80"/>
      <c r="N73" s="80"/>
      <c r="O73" s="87">
        <f t="shared" si="13"/>
        <v>38</v>
      </c>
      <c r="P73" s="88">
        <f t="shared" si="14"/>
        <v>346.104</v>
      </c>
      <c r="Q73" s="80" t="s">
        <v>139</v>
      </c>
      <c r="R73" s="87" t="s">
        <v>246</v>
      </c>
      <c r="S73" s="80" t="s">
        <v>251</v>
      </c>
      <c r="T73" s="80"/>
    </row>
    <row r="74" customHeight="1" spans="1:20">
      <c r="A74" s="80">
        <v>8</v>
      </c>
      <c r="B74" s="80" t="s">
        <v>333</v>
      </c>
      <c r="C74" s="80">
        <v>2400</v>
      </c>
      <c r="D74" s="80">
        <v>2350</v>
      </c>
      <c r="E74" s="80"/>
      <c r="F74" s="80"/>
      <c r="G74" s="80"/>
      <c r="H74" s="80"/>
      <c r="I74" s="80">
        <v>0</v>
      </c>
      <c r="J74" s="80">
        <v>0</v>
      </c>
      <c r="K74" s="80">
        <v>0</v>
      </c>
      <c r="L74" s="80">
        <v>0</v>
      </c>
      <c r="M74" s="80"/>
      <c r="N74" s="80"/>
      <c r="O74" s="87">
        <f t="shared" si="13"/>
        <v>0</v>
      </c>
      <c r="P74" s="88">
        <f t="shared" si="14"/>
        <v>0</v>
      </c>
      <c r="Q74" s="80" t="s">
        <v>139</v>
      </c>
      <c r="R74" s="87" t="s">
        <v>325</v>
      </c>
      <c r="S74" s="80" t="s">
        <v>327</v>
      </c>
      <c r="T74" s="80"/>
    </row>
    <row r="75" customHeight="1" spans="1:20">
      <c r="A75" s="80">
        <v>9</v>
      </c>
      <c r="B75" s="80" t="s">
        <v>334</v>
      </c>
      <c r="C75" s="80">
        <v>2900</v>
      </c>
      <c r="D75" s="80">
        <v>2350</v>
      </c>
      <c r="E75" s="80"/>
      <c r="F75" s="80"/>
      <c r="G75" s="80"/>
      <c r="H75" s="80"/>
      <c r="I75" s="80">
        <v>2</v>
      </c>
      <c r="J75" s="80">
        <v>2</v>
      </c>
      <c r="K75" s="80">
        <v>2</v>
      </c>
      <c r="L75" s="80">
        <v>2</v>
      </c>
      <c r="M75" s="80"/>
      <c r="N75" s="80"/>
      <c r="O75" s="87">
        <f t="shared" si="13"/>
        <v>38</v>
      </c>
      <c r="P75" s="88">
        <f t="shared" si="14"/>
        <v>258.97</v>
      </c>
      <c r="Q75" s="80" t="s">
        <v>139</v>
      </c>
      <c r="R75" s="87" t="s">
        <v>325</v>
      </c>
      <c r="S75" s="80" t="s">
        <v>251</v>
      </c>
      <c r="T75" s="80"/>
    </row>
    <row r="76" customHeight="1" spans="1:20">
      <c r="A76" s="81" t="s">
        <v>335</v>
      </c>
      <c r="B76" s="82"/>
      <c r="C76" s="82"/>
      <c r="D76" s="82"/>
      <c r="E76" s="82"/>
      <c r="F76" s="82"/>
      <c r="G76" s="82"/>
      <c r="H76" s="82"/>
      <c r="I76" s="82"/>
      <c r="J76" s="82"/>
      <c r="K76" s="82"/>
      <c r="L76" s="82"/>
      <c r="M76" s="82"/>
      <c r="N76" s="89"/>
      <c r="O76" s="95">
        <f>SUM(O67:O75)</f>
        <v>158</v>
      </c>
      <c r="P76" s="105">
        <f>SUM(P67:P75)</f>
        <v>1003.764</v>
      </c>
      <c r="Q76" s="56"/>
      <c r="R76" s="95"/>
      <c r="S76" s="56"/>
      <c r="T76" s="56"/>
    </row>
    <row r="77" customHeight="1" spans="1:20">
      <c r="A77" s="80">
        <v>10</v>
      </c>
      <c r="B77" s="80" t="s">
        <v>336</v>
      </c>
      <c r="C77" s="80">
        <v>2000</v>
      </c>
      <c r="D77" s="80">
        <v>2900</v>
      </c>
      <c r="E77" s="80"/>
      <c r="F77" s="80">
        <v>4</v>
      </c>
      <c r="G77" s="80">
        <v>4</v>
      </c>
      <c r="H77" s="80">
        <v>4</v>
      </c>
      <c r="I77" s="80"/>
      <c r="J77" s="80"/>
      <c r="K77" s="80"/>
      <c r="L77" s="80"/>
      <c r="M77" s="80"/>
      <c r="N77" s="80"/>
      <c r="O77" s="87">
        <f t="shared" ref="O77:O84" si="15">M77+L77*9+K77*8+J77+I77+H77+G77+F77+E77+N77</f>
        <v>12</v>
      </c>
      <c r="P77" s="88">
        <f t="shared" ref="P77:P84" si="16">O77*D77*C77/1000000</f>
        <v>69.6</v>
      </c>
      <c r="Q77" s="80" t="s">
        <v>139</v>
      </c>
      <c r="R77" s="87" t="s">
        <v>246</v>
      </c>
      <c r="S77" s="80" t="s">
        <v>274</v>
      </c>
      <c r="T77" s="80"/>
    </row>
    <row r="78" customHeight="1" spans="1:20">
      <c r="A78" s="80">
        <v>11</v>
      </c>
      <c r="B78" s="80" t="s">
        <v>337</v>
      </c>
      <c r="C78" s="80">
        <v>2950</v>
      </c>
      <c r="D78" s="80">
        <v>2900</v>
      </c>
      <c r="E78" s="80"/>
      <c r="F78" s="80"/>
      <c r="G78" s="80"/>
      <c r="H78" s="80">
        <v>8</v>
      </c>
      <c r="I78" s="80"/>
      <c r="J78" s="80"/>
      <c r="K78" s="80"/>
      <c r="L78" s="80"/>
      <c r="M78" s="80"/>
      <c r="N78" s="80"/>
      <c r="O78" s="87">
        <f t="shared" si="15"/>
        <v>8</v>
      </c>
      <c r="P78" s="88">
        <f t="shared" si="16"/>
        <v>68.44</v>
      </c>
      <c r="Q78" s="80" t="s">
        <v>139</v>
      </c>
      <c r="R78" s="87" t="s">
        <v>246</v>
      </c>
      <c r="S78" s="80" t="s">
        <v>274</v>
      </c>
      <c r="T78" s="80"/>
    </row>
    <row r="79" customHeight="1" spans="1:20">
      <c r="A79" s="80">
        <v>12</v>
      </c>
      <c r="B79" s="80" t="s">
        <v>338</v>
      </c>
      <c r="C79" s="80">
        <v>3600</v>
      </c>
      <c r="D79" s="80">
        <v>2900</v>
      </c>
      <c r="E79" s="80"/>
      <c r="F79" s="80"/>
      <c r="G79" s="80">
        <v>4</v>
      </c>
      <c r="H79" s="80"/>
      <c r="I79" s="80"/>
      <c r="J79" s="80"/>
      <c r="K79" s="80"/>
      <c r="L79" s="80"/>
      <c r="M79" s="80"/>
      <c r="N79" s="80"/>
      <c r="O79" s="87">
        <f t="shared" si="15"/>
        <v>4</v>
      </c>
      <c r="P79" s="88">
        <f t="shared" si="16"/>
        <v>41.76</v>
      </c>
      <c r="Q79" s="80" t="s">
        <v>139</v>
      </c>
      <c r="R79" s="87" t="s">
        <v>246</v>
      </c>
      <c r="S79" s="80" t="s">
        <v>274</v>
      </c>
      <c r="T79" s="80"/>
    </row>
    <row r="80" customHeight="1" spans="1:20">
      <c r="A80" s="80">
        <v>13</v>
      </c>
      <c r="B80" s="80" t="s">
        <v>339</v>
      </c>
      <c r="C80" s="80">
        <v>2000</v>
      </c>
      <c r="D80" s="80">
        <v>2900</v>
      </c>
      <c r="E80" s="80"/>
      <c r="F80" s="80">
        <v>4</v>
      </c>
      <c r="G80" s="80">
        <v>4</v>
      </c>
      <c r="H80" s="80"/>
      <c r="I80" s="80"/>
      <c r="J80" s="80"/>
      <c r="K80" s="80"/>
      <c r="L80" s="80"/>
      <c r="M80" s="80"/>
      <c r="N80" s="80"/>
      <c r="O80" s="87">
        <f t="shared" si="15"/>
        <v>8</v>
      </c>
      <c r="P80" s="88">
        <f t="shared" si="16"/>
        <v>46.4</v>
      </c>
      <c r="Q80" s="80" t="s">
        <v>139</v>
      </c>
      <c r="R80" s="87" t="s">
        <v>246</v>
      </c>
      <c r="S80" s="80" t="s">
        <v>274</v>
      </c>
      <c r="T80" s="80"/>
    </row>
    <row r="81" customHeight="1" spans="1:20">
      <c r="A81" s="80">
        <v>14</v>
      </c>
      <c r="B81" s="80" t="s">
        <v>340</v>
      </c>
      <c r="C81" s="80">
        <v>2400</v>
      </c>
      <c r="D81" s="80">
        <v>2900</v>
      </c>
      <c r="E81" s="80"/>
      <c r="F81" s="80">
        <v>2</v>
      </c>
      <c r="G81" s="80">
        <v>2</v>
      </c>
      <c r="H81" s="80"/>
      <c r="I81" s="80"/>
      <c r="J81" s="80"/>
      <c r="K81" s="80"/>
      <c r="L81" s="80"/>
      <c r="M81" s="80"/>
      <c r="N81" s="80"/>
      <c r="O81" s="87">
        <f t="shared" si="15"/>
        <v>4</v>
      </c>
      <c r="P81" s="88">
        <f t="shared" si="16"/>
        <v>27.84</v>
      </c>
      <c r="Q81" s="80" t="s">
        <v>139</v>
      </c>
      <c r="R81" s="87" t="s">
        <v>325</v>
      </c>
      <c r="S81" s="80" t="s">
        <v>274</v>
      </c>
      <c r="T81" s="80"/>
    </row>
    <row r="82" customHeight="1" spans="1:20">
      <c r="A82" s="80">
        <v>15</v>
      </c>
      <c r="B82" s="80" t="s">
        <v>341</v>
      </c>
      <c r="C82" s="80">
        <v>2300</v>
      </c>
      <c r="D82" s="80">
        <v>2900</v>
      </c>
      <c r="E82" s="80"/>
      <c r="F82" s="80">
        <v>2</v>
      </c>
      <c r="G82" s="80">
        <v>2</v>
      </c>
      <c r="H82" s="80"/>
      <c r="I82" s="80"/>
      <c r="J82" s="80"/>
      <c r="K82" s="80"/>
      <c r="L82" s="80"/>
      <c r="M82" s="80"/>
      <c r="N82" s="80"/>
      <c r="O82" s="87">
        <f t="shared" si="15"/>
        <v>4</v>
      </c>
      <c r="P82" s="88">
        <f t="shared" si="16"/>
        <v>26.68</v>
      </c>
      <c r="Q82" s="80" t="s">
        <v>139</v>
      </c>
      <c r="R82" s="87" t="s">
        <v>325</v>
      </c>
      <c r="S82" s="80" t="s">
        <v>274</v>
      </c>
      <c r="T82" s="80"/>
    </row>
    <row r="83" customHeight="1" spans="1:20">
      <c r="A83" s="80">
        <v>16</v>
      </c>
      <c r="B83" s="80" t="s">
        <v>342</v>
      </c>
      <c r="C83" s="80">
        <v>2700</v>
      </c>
      <c r="D83" s="80">
        <v>2900</v>
      </c>
      <c r="E83" s="80"/>
      <c r="F83" s="80">
        <v>2</v>
      </c>
      <c r="G83" s="80">
        <v>2</v>
      </c>
      <c r="H83" s="80"/>
      <c r="I83" s="80"/>
      <c r="J83" s="80"/>
      <c r="K83" s="80"/>
      <c r="L83" s="80"/>
      <c r="M83" s="80"/>
      <c r="N83" s="80"/>
      <c r="O83" s="87">
        <f t="shared" si="15"/>
        <v>4</v>
      </c>
      <c r="P83" s="88">
        <f t="shared" si="16"/>
        <v>31.32</v>
      </c>
      <c r="Q83" s="80" t="s">
        <v>139</v>
      </c>
      <c r="R83" s="87" t="s">
        <v>246</v>
      </c>
      <c r="S83" s="80" t="s">
        <v>274</v>
      </c>
      <c r="T83" s="80"/>
    </row>
    <row r="84" customHeight="1" spans="1:20">
      <c r="A84" s="80">
        <v>17</v>
      </c>
      <c r="B84" s="80" t="s">
        <v>337</v>
      </c>
      <c r="C84" s="80">
        <v>2950</v>
      </c>
      <c r="D84" s="80">
        <v>2900</v>
      </c>
      <c r="E84" s="80"/>
      <c r="F84" s="80">
        <v>8</v>
      </c>
      <c r="G84" s="80">
        <v>8</v>
      </c>
      <c r="H84" s="80">
        <v>0</v>
      </c>
      <c r="I84" s="80"/>
      <c r="J84" s="80"/>
      <c r="K84" s="80"/>
      <c r="L84" s="80"/>
      <c r="M84" s="80"/>
      <c r="N84" s="80"/>
      <c r="O84" s="87">
        <f t="shared" si="15"/>
        <v>16</v>
      </c>
      <c r="P84" s="88">
        <f t="shared" si="16"/>
        <v>136.88</v>
      </c>
      <c r="Q84" s="80" t="s">
        <v>139</v>
      </c>
      <c r="R84" s="87" t="s">
        <v>246</v>
      </c>
      <c r="S84" s="80" t="s">
        <v>274</v>
      </c>
      <c r="T84" s="80"/>
    </row>
    <row r="85" customHeight="1" spans="1:20">
      <c r="A85" s="81" t="s">
        <v>335</v>
      </c>
      <c r="B85" s="82"/>
      <c r="C85" s="82"/>
      <c r="D85" s="82"/>
      <c r="E85" s="82"/>
      <c r="F85" s="82"/>
      <c r="G85" s="82"/>
      <c r="H85" s="82"/>
      <c r="I85" s="82"/>
      <c r="J85" s="82"/>
      <c r="K85" s="82"/>
      <c r="L85" s="82"/>
      <c r="M85" s="82"/>
      <c r="N85" s="89"/>
      <c r="O85" s="56">
        <f>SUM(O67:O84)</f>
        <v>376</v>
      </c>
      <c r="P85" s="90">
        <f>SUM(P77:P84)</f>
        <v>448.92</v>
      </c>
      <c r="Q85" s="97"/>
      <c r="R85" s="98"/>
      <c r="S85" s="97"/>
      <c r="T85" s="97"/>
    </row>
    <row r="86" ht="28" customHeight="1" spans="1:20">
      <c r="A86" s="80">
        <v>1</v>
      </c>
      <c r="B86" s="80" t="s">
        <v>343</v>
      </c>
      <c r="C86" s="80">
        <v>5400</v>
      </c>
      <c r="D86" s="80">
        <v>4050</v>
      </c>
      <c r="E86" s="80">
        <v>2</v>
      </c>
      <c r="F86" s="80"/>
      <c r="G86" s="80"/>
      <c r="H86" s="80"/>
      <c r="I86" s="80"/>
      <c r="J86" s="80"/>
      <c r="K86" s="80"/>
      <c r="L86" s="80"/>
      <c r="M86" s="80"/>
      <c r="N86" s="80"/>
      <c r="O86" s="87">
        <f t="shared" ref="O86:O108" si="17">M86+L86*9+K86*8+J86+I86+H86+G86+F86+E86+N86</f>
        <v>2</v>
      </c>
      <c r="P86" s="88">
        <f t="shared" ref="P86:P100" si="18">O86*D86*C86/1000000</f>
        <v>43.74</v>
      </c>
      <c r="Q86" s="87" t="s">
        <v>344</v>
      </c>
      <c r="R86" s="87" t="s">
        <v>246</v>
      </c>
      <c r="S86" s="80" t="s">
        <v>289</v>
      </c>
      <c r="T86" s="80"/>
    </row>
    <row r="87" customHeight="1" spans="1:20">
      <c r="A87" s="80">
        <v>2</v>
      </c>
      <c r="B87" s="80" t="s">
        <v>345</v>
      </c>
      <c r="C87" s="80">
        <v>4900</v>
      </c>
      <c r="D87" s="80">
        <v>4050</v>
      </c>
      <c r="E87" s="80">
        <v>2</v>
      </c>
      <c r="F87" s="80"/>
      <c r="G87" s="80"/>
      <c r="H87" s="80"/>
      <c r="I87" s="80"/>
      <c r="J87" s="80"/>
      <c r="K87" s="80"/>
      <c r="L87" s="80"/>
      <c r="M87" s="80"/>
      <c r="N87" s="80"/>
      <c r="O87" s="87">
        <f t="shared" si="17"/>
        <v>2</v>
      </c>
      <c r="P87" s="88">
        <f t="shared" si="18"/>
        <v>39.69</v>
      </c>
      <c r="Q87" s="87" t="s">
        <v>344</v>
      </c>
      <c r="R87" s="87" t="s">
        <v>246</v>
      </c>
      <c r="S87" s="80" t="s">
        <v>289</v>
      </c>
      <c r="T87" s="80"/>
    </row>
    <row r="88" customHeight="1" spans="1:20">
      <c r="A88" s="80">
        <v>3</v>
      </c>
      <c r="B88" s="80" t="s">
        <v>346</v>
      </c>
      <c r="C88" s="80">
        <v>4600</v>
      </c>
      <c r="D88" s="80">
        <v>4050</v>
      </c>
      <c r="E88" s="80">
        <v>2</v>
      </c>
      <c r="F88" s="80"/>
      <c r="G88" s="80"/>
      <c r="H88" s="80"/>
      <c r="I88" s="80"/>
      <c r="J88" s="80"/>
      <c r="K88" s="80"/>
      <c r="L88" s="80"/>
      <c r="M88" s="80"/>
      <c r="N88" s="80"/>
      <c r="O88" s="87">
        <f t="shared" si="17"/>
        <v>2</v>
      </c>
      <c r="P88" s="88">
        <f t="shared" si="18"/>
        <v>37.26</v>
      </c>
      <c r="Q88" s="87" t="s">
        <v>344</v>
      </c>
      <c r="R88" s="87" t="s">
        <v>246</v>
      </c>
      <c r="S88" s="80" t="s">
        <v>289</v>
      </c>
      <c r="T88" s="80"/>
    </row>
    <row r="89" customHeight="1" spans="1:20">
      <c r="A89" s="80">
        <v>4</v>
      </c>
      <c r="B89" s="80" t="s">
        <v>347</v>
      </c>
      <c r="C89" s="80">
        <v>7000</v>
      </c>
      <c r="D89" s="80">
        <v>4050</v>
      </c>
      <c r="E89" s="80">
        <v>2</v>
      </c>
      <c r="F89" s="80"/>
      <c r="G89" s="80"/>
      <c r="H89" s="80"/>
      <c r="I89" s="80"/>
      <c r="J89" s="80"/>
      <c r="K89" s="80"/>
      <c r="L89" s="80"/>
      <c r="M89" s="80"/>
      <c r="N89" s="80"/>
      <c r="O89" s="87">
        <f t="shared" si="17"/>
        <v>2</v>
      </c>
      <c r="P89" s="88">
        <f t="shared" si="18"/>
        <v>56.7</v>
      </c>
      <c r="Q89" s="87" t="s">
        <v>344</v>
      </c>
      <c r="R89" s="87" t="s">
        <v>246</v>
      </c>
      <c r="S89" s="80" t="s">
        <v>289</v>
      </c>
      <c r="T89" s="80"/>
    </row>
    <row r="90" customHeight="1" spans="1:20">
      <c r="A90" s="80">
        <v>5</v>
      </c>
      <c r="B90" s="80" t="s">
        <v>348</v>
      </c>
      <c r="C90" s="80">
        <v>5700</v>
      </c>
      <c r="D90" s="80">
        <v>4050</v>
      </c>
      <c r="E90" s="80">
        <v>2</v>
      </c>
      <c r="F90" s="80"/>
      <c r="G90" s="80"/>
      <c r="H90" s="80"/>
      <c r="I90" s="80"/>
      <c r="J90" s="80"/>
      <c r="K90" s="80"/>
      <c r="L90" s="80"/>
      <c r="M90" s="80"/>
      <c r="N90" s="80"/>
      <c r="O90" s="87">
        <f t="shared" si="17"/>
        <v>2</v>
      </c>
      <c r="P90" s="88">
        <f t="shared" si="18"/>
        <v>46.17</v>
      </c>
      <c r="Q90" s="87" t="s">
        <v>344</v>
      </c>
      <c r="R90" s="87" t="s">
        <v>246</v>
      </c>
      <c r="S90" s="80" t="s">
        <v>289</v>
      </c>
      <c r="T90" s="80"/>
    </row>
    <row r="91" customHeight="1" spans="1:20">
      <c r="A91" s="80">
        <v>6</v>
      </c>
      <c r="B91" s="80" t="s">
        <v>349</v>
      </c>
      <c r="C91" s="80">
        <v>7000</v>
      </c>
      <c r="D91" s="80">
        <v>4050</v>
      </c>
      <c r="E91" s="80">
        <v>1</v>
      </c>
      <c r="F91" s="80"/>
      <c r="G91" s="80"/>
      <c r="H91" s="80"/>
      <c r="I91" s="80"/>
      <c r="J91" s="80"/>
      <c r="K91" s="80"/>
      <c r="L91" s="80"/>
      <c r="M91" s="80"/>
      <c r="N91" s="80"/>
      <c r="O91" s="87">
        <f t="shared" si="17"/>
        <v>1</v>
      </c>
      <c r="P91" s="88">
        <f t="shared" si="18"/>
        <v>28.35</v>
      </c>
      <c r="Q91" s="87" t="s">
        <v>344</v>
      </c>
      <c r="R91" s="87" t="s">
        <v>246</v>
      </c>
      <c r="S91" s="80" t="s">
        <v>289</v>
      </c>
      <c r="T91" s="80"/>
    </row>
    <row r="92" customHeight="1" spans="1:20">
      <c r="A92" s="80">
        <v>7</v>
      </c>
      <c r="B92" s="80" t="s">
        <v>350</v>
      </c>
      <c r="C92" s="80">
        <v>6800</v>
      </c>
      <c r="D92" s="80">
        <v>4050</v>
      </c>
      <c r="E92" s="80">
        <v>2</v>
      </c>
      <c r="F92" s="80"/>
      <c r="G92" s="80"/>
      <c r="H92" s="80"/>
      <c r="I92" s="80"/>
      <c r="J92" s="80"/>
      <c r="K92" s="80"/>
      <c r="L92" s="80"/>
      <c r="M92" s="80"/>
      <c r="N92" s="80"/>
      <c r="O92" s="87">
        <f t="shared" si="17"/>
        <v>2</v>
      </c>
      <c r="P92" s="88">
        <f t="shared" si="18"/>
        <v>55.08</v>
      </c>
      <c r="Q92" s="87" t="s">
        <v>344</v>
      </c>
      <c r="R92" s="87" t="s">
        <v>246</v>
      </c>
      <c r="S92" s="80" t="s">
        <v>289</v>
      </c>
      <c r="T92" s="80"/>
    </row>
    <row r="93" customHeight="1" spans="1:20">
      <c r="A93" s="80">
        <v>8</v>
      </c>
      <c r="B93" s="80" t="s">
        <v>351</v>
      </c>
      <c r="C93" s="80">
        <v>7000</v>
      </c>
      <c r="D93" s="80">
        <v>4050</v>
      </c>
      <c r="E93" s="80">
        <v>1</v>
      </c>
      <c r="F93" s="80"/>
      <c r="G93" s="80"/>
      <c r="H93" s="80"/>
      <c r="I93" s="80"/>
      <c r="J93" s="80"/>
      <c r="K93" s="80"/>
      <c r="L93" s="80"/>
      <c r="M93" s="80"/>
      <c r="N93" s="80"/>
      <c r="O93" s="87">
        <f t="shared" si="17"/>
        <v>1</v>
      </c>
      <c r="P93" s="88">
        <f t="shared" si="18"/>
        <v>28.35</v>
      </c>
      <c r="Q93" s="87" t="s">
        <v>344</v>
      </c>
      <c r="R93" s="87" t="s">
        <v>246</v>
      </c>
      <c r="S93" s="80" t="s">
        <v>289</v>
      </c>
      <c r="T93" s="80"/>
    </row>
    <row r="94" customHeight="1" spans="1:20">
      <c r="A94" s="80">
        <v>9</v>
      </c>
      <c r="B94" s="80" t="s">
        <v>352</v>
      </c>
      <c r="C94" s="80">
        <v>2800</v>
      </c>
      <c r="D94" s="80">
        <v>4050</v>
      </c>
      <c r="E94" s="80">
        <v>1</v>
      </c>
      <c r="F94" s="80"/>
      <c r="G94" s="80"/>
      <c r="H94" s="80"/>
      <c r="I94" s="80"/>
      <c r="J94" s="80"/>
      <c r="K94" s="80"/>
      <c r="L94" s="80"/>
      <c r="M94" s="80"/>
      <c r="N94" s="80"/>
      <c r="O94" s="87">
        <f t="shared" si="17"/>
        <v>1</v>
      </c>
      <c r="P94" s="88">
        <f t="shared" si="18"/>
        <v>11.34</v>
      </c>
      <c r="Q94" s="87" t="s">
        <v>344</v>
      </c>
      <c r="R94" s="87" t="s">
        <v>246</v>
      </c>
      <c r="S94" s="80" t="s">
        <v>289</v>
      </c>
      <c r="T94" s="80"/>
    </row>
    <row r="95" customHeight="1" spans="1:20">
      <c r="A95" s="80">
        <v>10</v>
      </c>
      <c r="B95" s="80" t="s">
        <v>353</v>
      </c>
      <c r="C95" s="80">
        <v>1400</v>
      </c>
      <c r="D95" s="80">
        <v>2100</v>
      </c>
      <c r="E95" s="80">
        <v>4</v>
      </c>
      <c r="F95" s="80"/>
      <c r="G95" s="80"/>
      <c r="H95" s="80"/>
      <c r="I95" s="80"/>
      <c r="J95" s="80"/>
      <c r="K95" s="80"/>
      <c r="L95" s="80"/>
      <c r="M95" s="80"/>
      <c r="N95" s="80"/>
      <c r="O95" s="87">
        <f t="shared" si="17"/>
        <v>4</v>
      </c>
      <c r="P95" s="88">
        <f t="shared" si="18"/>
        <v>11.76</v>
      </c>
      <c r="Q95" s="80" t="s">
        <v>169</v>
      </c>
      <c r="R95" s="87" t="s">
        <v>246</v>
      </c>
      <c r="S95" s="80" t="s">
        <v>289</v>
      </c>
      <c r="T95" s="80"/>
    </row>
    <row r="96" customHeight="1" spans="1:20">
      <c r="A96" s="80">
        <v>11</v>
      </c>
      <c r="B96" s="80" t="s">
        <v>354</v>
      </c>
      <c r="C96" s="80">
        <v>1800</v>
      </c>
      <c r="D96" s="80">
        <v>4050</v>
      </c>
      <c r="E96" s="80">
        <v>1</v>
      </c>
      <c r="F96" s="80"/>
      <c r="G96" s="80"/>
      <c r="H96" s="80"/>
      <c r="I96" s="80"/>
      <c r="J96" s="80"/>
      <c r="K96" s="80"/>
      <c r="L96" s="80"/>
      <c r="M96" s="80"/>
      <c r="N96" s="80"/>
      <c r="O96" s="87">
        <f t="shared" si="17"/>
        <v>1</v>
      </c>
      <c r="P96" s="88">
        <f t="shared" si="18"/>
        <v>7.29</v>
      </c>
      <c r="Q96" s="87" t="s">
        <v>344</v>
      </c>
      <c r="R96" s="87" t="s">
        <v>246</v>
      </c>
      <c r="S96" s="80" t="s">
        <v>289</v>
      </c>
      <c r="T96" s="80"/>
    </row>
    <row r="97" customHeight="1" spans="1:20">
      <c r="A97" s="80">
        <v>12</v>
      </c>
      <c r="B97" s="80" t="s">
        <v>355</v>
      </c>
      <c r="C97" s="80">
        <v>1800</v>
      </c>
      <c r="D97" s="80">
        <v>4050</v>
      </c>
      <c r="E97" s="80">
        <v>2</v>
      </c>
      <c r="F97" s="80"/>
      <c r="G97" s="80"/>
      <c r="H97" s="80"/>
      <c r="I97" s="80"/>
      <c r="J97" s="80"/>
      <c r="K97" s="80"/>
      <c r="L97" s="80"/>
      <c r="M97" s="80"/>
      <c r="N97" s="80"/>
      <c r="O97" s="87">
        <f t="shared" si="17"/>
        <v>2</v>
      </c>
      <c r="P97" s="88">
        <f t="shared" si="18"/>
        <v>14.58</v>
      </c>
      <c r="Q97" s="87" t="s">
        <v>344</v>
      </c>
      <c r="R97" s="87" t="s">
        <v>246</v>
      </c>
      <c r="S97" s="80" t="s">
        <v>289</v>
      </c>
      <c r="T97" s="80"/>
    </row>
    <row r="98" customHeight="1" spans="1:20">
      <c r="A98" s="80">
        <v>13</v>
      </c>
      <c r="B98" s="80" t="s">
        <v>356</v>
      </c>
      <c r="C98" s="80">
        <v>1800</v>
      </c>
      <c r="D98" s="80">
        <v>4050</v>
      </c>
      <c r="E98" s="80">
        <v>2</v>
      </c>
      <c r="F98" s="80"/>
      <c r="G98" s="80"/>
      <c r="H98" s="80"/>
      <c r="I98" s="80"/>
      <c r="J98" s="80"/>
      <c r="K98" s="80"/>
      <c r="L98" s="80"/>
      <c r="M98" s="80"/>
      <c r="N98" s="80"/>
      <c r="O98" s="87">
        <f t="shared" si="17"/>
        <v>2</v>
      </c>
      <c r="P98" s="88">
        <f t="shared" si="18"/>
        <v>14.58</v>
      </c>
      <c r="Q98" s="87" t="s">
        <v>344</v>
      </c>
      <c r="R98" s="87" t="s">
        <v>246</v>
      </c>
      <c r="S98" s="80" t="s">
        <v>289</v>
      </c>
      <c r="T98" s="80"/>
    </row>
    <row r="99" customHeight="1" spans="1:20">
      <c r="A99" s="80">
        <v>14</v>
      </c>
      <c r="B99" s="80" t="s">
        <v>357</v>
      </c>
      <c r="C99" s="80">
        <v>1800</v>
      </c>
      <c r="D99" s="80">
        <v>4050</v>
      </c>
      <c r="E99" s="80">
        <v>2</v>
      </c>
      <c r="F99" s="80"/>
      <c r="G99" s="80"/>
      <c r="H99" s="80"/>
      <c r="I99" s="80"/>
      <c r="J99" s="80"/>
      <c r="K99" s="80"/>
      <c r="L99" s="80"/>
      <c r="M99" s="80"/>
      <c r="N99" s="80"/>
      <c r="O99" s="87">
        <f t="shared" si="17"/>
        <v>2</v>
      </c>
      <c r="P99" s="88">
        <f t="shared" si="18"/>
        <v>14.58</v>
      </c>
      <c r="Q99" s="87" t="s">
        <v>344</v>
      </c>
      <c r="R99" s="87" t="s">
        <v>246</v>
      </c>
      <c r="S99" s="80" t="s">
        <v>289</v>
      </c>
      <c r="T99" s="80"/>
    </row>
    <row r="100" customHeight="1" spans="1:20">
      <c r="A100" s="80">
        <v>15</v>
      </c>
      <c r="B100" s="80" t="s">
        <v>358</v>
      </c>
      <c r="C100" s="80">
        <v>2300</v>
      </c>
      <c r="D100" s="80">
        <v>4300</v>
      </c>
      <c r="E100" s="80">
        <v>2</v>
      </c>
      <c r="F100" s="80"/>
      <c r="G100" s="80"/>
      <c r="H100" s="80"/>
      <c r="I100" s="80"/>
      <c r="J100" s="80"/>
      <c r="K100" s="80"/>
      <c r="L100" s="80"/>
      <c r="M100" s="80"/>
      <c r="N100" s="80"/>
      <c r="O100" s="87">
        <f t="shared" si="17"/>
        <v>2</v>
      </c>
      <c r="P100" s="88">
        <f t="shared" si="18"/>
        <v>19.78</v>
      </c>
      <c r="Q100" s="87" t="s">
        <v>344</v>
      </c>
      <c r="R100" s="87" t="s">
        <v>246</v>
      </c>
      <c r="S100" s="80" t="s">
        <v>289</v>
      </c>
      <c r="T100" s="80"/>
    </row>
    <row r="101" customHeight="1" spans="1:20">
      <c r="A101" s="80">
        <v>16</v>
      </c>
      <c r="B101" s="80" t="s">
        <v>359</v>
      </c>
      <c r="C101" s="80">
        <v>4350</v>
      </c>
      <c r="D101" s="80">
        <v>4300</v>
      </c>
      <c r="E101" s="80">
        <v>2</v>
      </c>
      <c r="F101" s="80"/>
      <c r="G101" s="80"/>
      <c r="H101" s="80"/>
      <c r="I101" s="80"/>
      <c r="J101" s="80"/>
      <c r="K101" s="80"/>
      <c r="L101" s="80"/>
      <c r="M101" s="80"/>
      <c r="N101" s="80"/>
      <c r="O101" s="87">
        <f t="shared" si="17"/>
        <v>2</v>
      </c>
      <c r="P101" s="88">
        <f>O101*D101*C101/1000000*0</f>
        <v>0</v>
      </c>
      <c r="Q101" s="87" t="s">
        <v>344</v>
      </c>
      <c r="R101" s="87" t="s">
        <v>246</v>
      </c>
      <c r="S101" s="80" t="s">
        <v>289</v>
      </c>
      <c r="T101" s="80"/>
    </row>
    <row r="102" customHeight="1" spans="1:20">
      <c r="A102" s="80">
        <v>17</v>
      </c>
      <c r="B102" s="80" t="s">
        <v>360</v>
      </c>
      <c r="C102" s="80">
        <v>1500</v>
      </c>
      <c r="D102" s="80">
        <v>3850</v>
      </c>
      <c r="E102" s="80">
        <v>2</v>
      </c>
      <c r="F102" s="80"/>
      <c r="G102" s="80"/>
      <c r="H102" s="80"/>
      <c r="I102" s="80"/>
      <c r="J102" s="80"/>
      <c r="K102" s="80"/>
      <c r="L102" s="80"/>
      <c r="M102" s="80"/>
      <c r="N102" s="80"/>
      <c r="O102" s="87">
        <f t="shared" si="17"/>
        <v>2</v>
      </c>
      <c r="P102" s="88">
        <f t="shared" ref="P102:P108" si="19">O102*D102*C102/1000000</f>
        <v>11.55</v>
      </c>
      <c r="Q102" s="87" t="s">
        <v>344</v>
      </c>
      <c r="R102" s="87" t="s">
        <v>246</v>
      </c>
      <c r="S102" s="80" t="s">
        <v>289</v>
      </c>
      <c r="T102" s="80"/>
    </row>
    <row r="103" customHeight="1" spans="1:20">
      <c r="A103" s="80">
        <v>18</v>
      </c>
      <c r="B103" s="80" t="s">
        <v>361</v>
      </c>
      <c r="C103" s="80">
        <v>1400</v>
      </c>
      <c r="D103" s="80">
        <v>2878</v>
      </c>
      <c r="E103" s="80">
        <v>2</v>
      </c>
      <c r="F103" s="80"/>
      <c r="G103" s="80"/>
      <c r="H103" s="80"/>
      <c r="I103" s="80"/>
      <c r="J103" s="80"/>
      <c r="K103" s="80"/>
      <c r="L103" s="80"/>
      <c r="M103" s="80"/>
      <c r="N103" s="80"/>
      <c r="O103" s="87">
        <f t="shared" si="17"/>
        <v>2</v>
      </c>
      <c r="P103" s="88">
        <f t="shared" si="19"/>
        <v>8.0584</v>
      </c>
      <c r="Q103" s="80" t="s">
        <v>169</v>
      </c>
      <c r="R103" s="87" t="s">
        <v>246</v>
      </c>
      <c r="S103" s="80" t="s">
        <v>289</v>
      </c>
      <c r="T103" s="80"/>
    </row>
    <row r="104" customHeight="1" spans="1:20">
      <c r="A104" s="80">
        <v>19</v>
      </c>
      <c r="B104" s="80" t="s">
        <v>362</v>
      </c>
      <c r="C104" s="80">
        <v>4200</v>
      </c>
      <c r="D104" s="80">
        <v>4300</v>
      </c>
      <c r="E104" s="80">
        <v>1</v>
      </c>
      <c r="F104" s="80"/>
      <c r="G104" s="80"/>
      <c r="H104" s="80"/>
      <c r="I104" s="80"/>
      <c r="J104" s="80"/>
      <c r="K104" s="80"/>
      <c r="L104" s="80"/>
      <c r="M104" s="80"/>
      <c r="N104" s="80"/>
      <c r="O104" s="87">
        <f t="shared" si="17"/>
        <v>1</v>
      </c>
      <c r="P104" s="88">
        <f t="shared" si="19"/>
        <v>18.06</v>
      </c>
      <c r="Q104" s="87" t="s">
        <v>344</v>
      </c>
      <c r="R104" s="87" t="s">
        <v>246</v>
      </c>
      <c r="S104" s="80" t="s">
        <v>289</v>
      </c>
      <c r="T104" s="80"/>
    </row>
    <row r="105" customHeight="1" spans="1:20">
      <c r="A105" s="80">
        <v>20</v>
      </c>
      <c r="B105" s="80" t="s">
        <v>363</v>
      </c>
      <c r="C105" s="80">
        <v>6800</v>
      </c>
      <c r="D105" s="80">
        <v>4300</v>
      </c>
      <c r="E105" s="80">
        <v>1</v>
      </c>
      <c r="F105" s="80"/>
      <c r="G105" s="80"/>
      <c r="H105" s="80"/>
      <c r="I105" s="80"/>
      <c r="J105" s="80"/>
      <c r="K105" s="80"/>
      <c r="L105" s="80"/>
      <c r="M105" s="80"/>
      <c r="N105" s="80"/>
      <c r="O105" s="87">
        <f t="shared" si="17"/>
        <v>1</v>
      </c>
      <c r="P105" s="88">
        <f t="shared" si="19"/>
        <v>29.24</v>
      </c>
      <c r="Q105" s="87" t="s">
        <v>344</v>
      </c>
      <c r="R105" s="87" t="s">
        <v>246</v>
      </c>
      <c r="S105" s="80" t="s">
        <v>289</v>
      </c>
      <c r="T105" s="80"/>
    </row>
    <row r="106" customHeight="1" spans="1:20">
      <c r="A106" s="80">
        <v>21</v>
      </c>
      <c r="B106" s="80" t="s">
        <v>364</v>
      </c>
      <c r="C106" s="80">
        <v>4100</v>
      </c>
      <c r="D106" s="80">
        <v>4300</v>
      </c>
      <c r="E106" s="80">
        <v>1</v>
      </c>
      <c r="F106" s="80"/>
      <c r="G106" s="80"/>
      <c r="H106" s="80"/>
      <c r="I106" s="80"/>
      <c r="J106" s="80"/>
      <c r="K106" s="80"/>
      <c r="L106" s="80"/>
      <c r="M106" s="80"/>
      <c r="N106" s="80"/>
      <c r="O106" s="87">
        <f t="shared" si="17"/>
        <v>1</v>
      </c>
      <c r="P106" s="88">
        <f t="shared" si="19"/>
        <v>17.63</v>
      </c>
      <c r="Q106" s="87" t="s">
        <v>344</v>
      </c>
      <c r="R106" s="87" t="s">
        <v>246</v>
      </c>
      <c r="S106" s="80" t="s">
        <v>289</v>
      </c>
      <c r="T106" s="80"/>
    </row>
    <row r="107" customHeight="1" spans="1:20">
      <c r="A107" s="80">
        <v>22</v>
      </c>
      <c r="B107" s="80" t="s">
        <v>365</v>
      </c>
      <c r="C107" s="80">
        <v>1800</v>
      </c>
      <c r="D107" s="80">
        <v>4050</v>
      </c>
      <c r="E107" s="80">
        <v>1</v>
      </c>
      <c r="F107" s="80"/>
      <c r="G107" s="80"/>
      <c r="H107" s="80"/>
      <c r="I107" s="80"/>
      <c r="J107" s="80"/>
      <c r="K107" s="80"/>
      <c r="L107" s="80"/>
      <c r="M107" s="80"/>
      <c r="N107" s="80"/>
      <c r="O107" s="87">
        <f t="shared" si="17"/>
        <v>1</v>
      </c>
      <c r="P107" s="88">
        <f t="shared" si="19"/>
        <v>7.29</v>
      </c>
      <c r="Q107" s="87" t="s">
        <v>344</v>
      </c>
      <c r="R107" s="87" t="s">
        <v>246</v>
      </c>
      <c r="S107" s="80" t="s">
        <v>366</v>
      </c>
      <c r="T107" s="80"/>
    </row>
    <row r="108" ht="57" customHeight="1" spans="1:20">
      <c r="A108" s="80">
        <v>23</v>
      </c>
      <c r="B108" s="80" t="s">
        <v>367</v>
      </c>
      <c r="C108" s="80">
        <v>2800</v>
      </c>
      <c r="D108" s="80">
        <v>4050</v>
      </c>
      <c r="E108" s="80">
        <v>1</v>
      </c>
      <c r="F108" s="80"/>
      <c r="G108" s="80"/>
      <c r="H108" s="80"/>
      <c r="I108" s="80"/>
      <c r="J108" s="80"/>
      <c r="K108" s="80"/>
      <c r="L108" s="80"/>
      <c r="M108" s="80"/>
      <c r="N108" s="80"/>
      <c r="O108" s="87">
        <f t="shared" si="17"/>
        <v>1</v>
      </c>
      <c r="P108" s="88">
        <f t="shared" si="19"/>
        <v>11.34</v>
      </c>
      <c r="Q108" s="87" t="s">
        <v>344</v>
      </c>
      <c r="R108" s="87" t="s">
        <v>246</v>
      </c>
      <c r="S108" s="80" t="s">
        <v>289</v>
      </c>
      <c r="T108" s="80"/>
    </row>
    <row r="109" customHeight="1" spans="1:20">
      <c r="A109" s="81" t="s">
        <v>368</v>
      </c>
      <c r="B109" s="82"/>
      <c r="C109" s="82"/>
      <c r="D109" s="82"/>
      <c r="E109" s="82"/>
      <c r="F109" s="82"/>
      <c r="G109" s="82"/>
      <c r="H109" s="82"/>
      <c r="I109" s="82"/>
      <c r="J109" s="82"/>
      <c r="K109" s="82"/>
      <c r="L109" s="82"/>
      <c r="M109" s="82"/>
      <c r="N109" s="89"/>
      <c r="O109" s="56">
        <f>SUM(O86:O108)</f>
        <v>39</v>
      </c>
      <c r="P109" s="90">
        <f>SUM(P86:P108)</f>
        <v>532.4184</v>
      </c>
      <c r="Q109" s="97"/>
      <c r="R109" s="98"/>
      <c r="S109" s="97"/>
      <c r="T109" s="97"/>
    </row>
    <row r="110" customHeight="1" spans="1:20">
      <c r="A110" s="103" t="s">
        <v>369</v>
      </c>
      <c r="B110" s="104"/>
      <c r="C110" s="104"/>
      <c r="D110" s="104"/>
      <c r="E110" s="104"/>
      <c r="F110" s="104"/>
      <c r="G110" s="104"/>
      <c r="H110" s="104"/>
      <c r="I110" s="104"/>
      <c r="J110" s="104"/>
      <c r="K110" s="104"/>
      <c r="L110" s="104"/>
      <c r="M110" s="104"/>
      <c r="N110" s="106"/>
      <c r="O110" s="107">
        <f>O109+O85+O66+O63+O41+O18+O16+O11+O9</f>
        <v>1570</v>
      </c>
      <c r="P110" s="108">
        <f>P109+P85+P66+P63+P41+P18+P16+P11+P9+P58+P76</f>
        <v>5809.3324</v>
      </c>
      <c r="Q110" s="109"/>
      <c r="R110" s="110"/>
      <c r="S110" s="109"/>
      <c r="T110" s="109"/>
    </row>
  </sheetData>
  <mergeCells count="13">
    <mergeCell ref="A1:T1"/>
    <mergeCell ref="A9:N9"/>
    <mergeCell ref="A11:N11"/>
    <mergeCell ref="A16:N16"/>
    <mergeCell ref="A18:N18"/>
    <mergeCell ref="A41:N41"/>
    <mergeCell ref="A58:N58"/>
    <mergeCell ref="A63:N63"/>
    <mergeCell ref="A66:N66"/>
    <mergeCell ref="A76:N76"/>
    <mergeCell ref="A85:N85"/>
    <mergeCell ref="A109:N109"/>
    <mergeCell ref="A110:N110"/>
  </mergeCells>
  <pageMargins left="0.7" right="0.7" top="0.75" bottom="0.75" header="0.3" footer="0.3"/>
  <pageSetup paperSize="9" scale="49" orientation="portrait"/>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2"/>
  <sheetViews>
    <sheetView view="pageBreakPreview" zoomScaleNormal="100" topLeftCell="A25" workbookViewId="0">
      <selection activeCell="B7" sqref="B7"/>
    </sheetView>
  </sheetViews>
  <sheetFormatPr defaultColWidth="9" defaultRowHeight="24.95" customHeight="1"/>
  <cols>
    <col min="1" max="1" width="12.5" style="57" customWidth="1"/>
    <col min="2" max="2" width="23.6296296296296" style="57" customWidth="1"/>
    <col min="3" max="3" width="10.5" style="57" customWidth="1"/>
    <col min="4" max="4" width="13.25" style="57" customWidth="1"/>
    <col min="5" max="5" width="12.3796296296296" style="57" customWidth="1"/>
    <col min="6" max="6" width="10.75" style="57" customWidth="1"/>
    <col min="7" max="16378" width="9" style="57"/>
  </cols>
  <sheetData>
    <row r="1" s="57" customFormat="1" ht="21.95" customHeight="1" spans="1:6">
      <c r="A1" s="59" t="s">
        <v>370</v>
      </c>
      <c r="B1" s="59"/>
      <c r="C1" s="59"/>
      <c r="D1" s="59"/>
      <c r="E1" s="59"/>
      <c r="F1" s="59"/>
    </row>
    <row r="2" s="57" customFormat="1" customHeight="1" spans="1:6">
      <c r="A2" s="60" t="s">
        <v>371</v>
      </c>
      <c r="B2" s="60"/>
      <c r="C2" s="61"/>
      <c r="D2" s="60"/>
      <c r="E2" s="60"/>
      <c r="F2" s="60"/>
    </row>
    <row r="3" s="57" customFormat="1" customHeight="1" spans="1:6">
      <c r="A3" s="62" t="s">
        <v>23</v>
      </c>
      <c r="B3" s="62" t="s">
        <v>183</v>
      </c>
      <c r="C3" s="62" t="s">
        <v>184</v>
      </c>
      <c r="D3" s="62" t="s">
        <v>372</v>
      </c>
      <c r="E3" s="63" t="s">
        <v>373</v>
      </c>
      <c r="F3" s="62" t="s">
        <v>29</v>
      </c>
    </row>
    <row r="4" s="57" customFormat="1" customHeight="1" spans="1:6">
      <c r="A4" s="64">
        <v>1</v>
      </c>
      <c r="B4" s="64" t="s">
        <v>374</v>
      </c>
      <c r="C4" s="65"/>
      <c r="D4" s="65"/>
      <c r="E4" s="66"/>
      <c r="F4" s="65"/>
    </row>
    <row r="5" s="57" customFormat="1" customHeight="1" spans="1:6">
      <c r="A5" s="62">
        <v>1.1</v>
      </c>
      <c r="B5" s="62" t="s">
        <v>75</v>
      </c>
      <c r="C5" s="62" t="s">
        <v>375</v>
      </c>
      <c r="D5" s="62" t="s">
        <v>376</v>
      </c>
      <c r="E5" s="67">
        <v>22489.3541518808</v>
      </c>
      <c r="F5" s="62"/>
    </row>
    <row r="6" s="57" customFormat="1" customHeight="1" spans="1:6">
      <c r="A6" s="62">
        <v>1.2</v>
      </c>
      <c r="B6" s="62" t="s">
        <v>83</v>
      </c>
      <c r="C6" s="62" t="s">
        <v>375</v>
      </c>
      <c r="D6" s="62" t="s">
        <v>376</v>
      </c>
      <c r="E6" s="67">
        <v>22489.3541518808</v>
      </c>
      <c r="F6" s="62"/>
    </row>
    <row r="7" s="57" customFormat="1" customHeight="1" spans="1:6">
      <c r="A7" s="62">
        <v>1.3</v>
      </c>
      <c r="B7" s="62" t="s">
        <v>117</v>
      </c>
      <c r="C7" s="62" t="s">
        <v>375</v>
      </c>
      <c r="D7" s="62" t="s">
        <v>376</v>
      </c>
      <c r="E7" s="67">
        <v>22489.3541518808</v>
      </c>
      <c r="F7" s="62"/>
    </row>
    <row r="8" s="57" customFormat="1" customHeight="1" spans="1:6">
      <c r="A8" s="62">
        <v>1.4</v>
      </c>
      <c r="B8" s="62" t="s">
        <v>377</v>
      </c>
      <c r="C8" s="62" t="s">
        <v>375</v>
      </c>
      <c r="D8" s="62" t="s">
        <v>376</v>
      </c>
      <c r="E8" s="67">
        <v>23376.5081618169</v>
      </c>
      <c r="F8" s="62"/>
    </row>
    <row r="9" s="57" customFormat="1" customHeight="1" spans="1:6">
      <c r="A9" s="62">
        <v>1.5</v>
      </c>
      <c r="B9" s="62" t="s">
        <v>378</v>
      </c>
      <c r="C9" s="62" t="s">
        <v>375</v>
      </c>
      <c r="D9" s="62" t="s">
        <v>376</v>
      </c>
      <c r="E9" s="67">
        <v>22489.3541518808</v>
      </c>
      <c r="F9" s="62"/>
    </row>
    <row r="10" s="57" customFormat="1" customHeight="1" spans="1:6">
      <c r="A10" s="62">
        <v>1.6</v>
      </c>
      <c r="B10" s="62" t="s">
        <v>379</v>
      </c>
      <c r="C10" s="62" t="s">
        <v>375</v>
      </c>
      <c r="D10" s="62" t="s">
        <v>376</v>
      </c>
      <c r="E10" s="67">
        <v>22489.3541518808</v>
      </c>
      <c r="F10" s="62"/>
    </row>
    <row r="11" s="57" customFormat="1" customHeight="1" spans="1:6">
      <c r="A11" s="64">
        <v>2</v>
      </c>
      <c r="B11" s="64" t="s">
        <v>380</v>
      </c>
      <c r="C11" s="64"/>
      <c r="D11" s="64"/>
      <c r="E11" s="68"/>
      <c r="F11" s="69"/>
    </row>
    <row r="12" s="57" customFormat="1" customHeight="1" spans="1:6">
      <c r="A12" s="62">
        <v>2.1</v>
      </c>
      <c r="B12" s="62" t="s">
        <v>75</v>
      </c>
      <c r="C12" s="62" t="s">
        <v>381</v>
      </c>
      <c r="D12" s="62" t="s">
        <v>382</v>
      </c>
      <c r="E12" s="63" t="s">
        <v>382</v>
      </c>
      <c r="F12" s="62"/>
    </row>
    <row r="13" s="57" customFormat="1" customHeight="1" spans="1:6">
      <c r="A13" s="62">
        <v>2.2</v>
      </c>
      <c r="B13" s="62" t="s">
        <v>83</v>
      </c>
      <c r="C13" s="62" t="s">
        <v>381</v>
      </c>
      <c r="D13" s="62" t="s">
        <v>382</v>
      </c>
      <c r="E13" s="63" t="s">
        <v>382</v>
      </c>
      <c r="F13" s="62"/>
    </row>
    <row r="14" s="57" customFormat="1" customHeight="1" spans="1:6">
      <c r="A14" s="62">
        <v>2.3</v>
      </c>
      <c r="B14" s="62" t="s">
        <v>117</v>
      </c>
      <c r="C14" s="62" t="s">
        <v>381</v>
      </c>
      <c r="D14" s="62" t="s">
        <v>376</v>
      </c>
      <c r="E14" s="63">
        <v>60.681334279631</v>
      </c>
      <c r="F14" s="62"/>
    </row>
    <row r="15" s="57" customFormat="1" customHeight="1" spans="1:6">
      <c r="A15" s="62">
        <v>2.4</v>
      </c>
      <c r="B15" s="62" t="s">
        <v>383</v>
      </c>
      <c r="C15" s="62" t="s">
        <v>381</v>
      </c>
      <c r="D15" s="62" t="s">
        <v>376</v>
      </c>
      <c r="E15" s="63">
        <v>60.681334279631</v>
      </c>
      <c r="F15" s="62"/>
    </row>
    <row r="16" s="57" customFormat="1" customHeight="1" spans="1:6">
      <c r="A16" s="62">
        <v>2.5</v>
      </c>
      <c r="B16" s="62" t="s">
        <v>384</v>
      </c>
      <c r="C16" s="62" t="s">
        <v>381</v>
      </c>
      <c r="D16" s="62" t="s">
        <v>376</v>
      </c>
      <c r="E16" s="63">
        <v>58.9957416607523</v>
      </c>
      <c r="F16" s="62"/>
    </row>
    <row r="17" s="57" customFormat="1" customHeight="1" spans="1:6">
      <c r="A17" s="62">
        <v>2.6</v>
      </c>
      <c r="B17" s="62" t="s">
        <v>169</v>
      </c>
      <c r="C17" s="62" t="s">
        <v>381</v>
      </c>
      <c r="D17" s="62" t="s">
        <v>376</v>
      </c>
      <c r="E17" s="63">
        <v>220.28034066714</v>
      </c>
      <c r="F17" s="62"/>
    </row>
    <row r="18" s="57" customFormat="1" customHeight="1" spans="1:6">
      <c r="A18" s="62">
        <v>2.7</v>
      </c>
      <c r="B18" s="62" t="s">
        <v>385</v>
      </c>
      <c r="C18" s="62" t="s">
        <v>381</v>
      </c>
      <c r="D18" s="62" t="s">
        <v>376</v>
      </c>
      <c r="E18" s="63">
        <v>46.5755855216466</v>
      </c>
      <c r="F18" s="62"/>
    </row>
    <row r="19" s="57" customFormat="1" customHeight="1" spans="1:6">
      <c r="A19" s="70">
        <v>2.8</v>
      </c>
      <c r="B19" s="62" t="s">
        <v>386</v>
      </c>
      <c r="C19" s="62" t="s">
        <v>381</v>
      </c>
      <c r="D19" s="62" t="s">
        <v>376</v>
      </c>
      <c r="E19" s="63">
        <v>46.5755855216466</v>
      </c>
      <c r="F19" s="62"/>
    </row>
    <row r="20" s="57" customFormat="1" customHeight="1" spans="1:6">
      <c r="A20" s="71">
        <v>2.9</v>
      </c>
      <c r="B20" s="62" t="s">
        <v>387</v>
      </c>
      <c r="C20" s="62" t="s">
        <v>381</v>
      </c>
      <c r="D20" s="62" t="s">
        <v>376</v>
      </c>
      <c r="E20" s="63">
        <v>116.749467707594</v>
      </c>
      <c r="F20" s="62"/>
    </row>
    <row r="21" s="57" customFormat="1" customHeight="1" spans="1:6">
      <c r="A21" s="72">
        <v>2.1</v>
      </c>
      <c r="B21" s="62" t="s">
        <v>93</v>
      </c>
      <c r="C21" s="62" t="s">
        <v>381</v>
      </c>
      <c r="D21" s="62" t="s">
        <v>376</v>
      </c>
      <c r="E21" s="63">
        <v>151.312987934705</v>
      </c>
      <c r="F21" s="62"/>
    </row>
    <row r="22" s="57" customFormat="1" customHeight="1" spans="1:6">
      <c r="A22" s="64">
        <v>3</v>
      </c>
      <c r="B22" s="64" t="s">
        <v>388</v>
      </c>
      <c r="C22" s="64"/>
      <c r="D22" s="64"/>
      <c r="E22" s="68"/>
      <c r="F22" s="69"/>
    </row>
    <row r="23" s="57" customFormat="1" customHeight="1" spans="1:6">
      <c r="A23" s="62">
        <v>3.1</v>
      </c>
      <c r="B23" s="25" t="s">
        <v>389</v>
      </c>
      <c r="C23" s="62" t="s">
        <v>390</v>
      </c>
      <c r="D23" s="62" t="s">
        <v>376</v>
      </c>
      <c r="E23" s="63">
        <v>39.9219304471256</v>
      </c>
      <c r="F23" s="62"/>
    </row>
    <row r="24" s="57" customFormat="1" customHeight="1" spans="1:6">
      <c r="A24" s="62">
        <v>3.2</v>
      </c>
      <c r="B24" s="25" t="s">
        <v>391</v>
      </c>
      <c r="C24" s="73" t="s">
        <v>390</v>
      </c>
      <c r="D24" s="62" t="s">
        <v>376</v>
      </c>
      <c r="E24" s="63">
        <v>95.8126330731015</v>
      </c>
      <c r="F24" s="62"/>
    </row>
    <row r="25" s="57" customFormat="1" customHeight="1" spans="1:6">
      <c r="A25" s="62">
        <v>3.3</v>
      </c>
      <c r="B25" s="25" t="s">
        <v>392</v>
      </c>
      <c r="C25" s="73" t="s">
        <v>390</v>
      </c>
      <c r="D25" s="62" t="s">
        <v>376</v>
      </c>
      <c r="E25" s="63">
        <v>175.656493967353</v>
      </c>
      <c r="F25" s="62"/>
    </row>
    <row r="26" s="57" customFormat="1" customHeight="1" spans="1:6">
      <c r="A26" s="62">
        <v>3.4</v>
      </c>
      <c r="B26" s="25" t="s">
        <v>250</v>
      </c>
      <c r="C26" s="73" t="s">
        <v>390</v>
      </c>
      <c r="D26" s="62" t="s">
        <v>376</v>
      </c>
      <c r="E26" s="63">
        <v>190.656493967353</v>
      </c>
      <c r="F26" s="62"/>
    </row>
    <row r="27" s="57" customFormat="1" customHeight="1" spans="1:6">
      <c r="A27" s="62">
        <v>3.5</v>
      </c>
      <c r="B27" s="25" t="s">
        <v>268</v>
      </c>
      <c r="C27" s="73" t="s">
        <v>390</v>
      </c>
      <c r="D27" s="62" t="s">
        <v>376</v>
      </c>
      <c r="E27" s="63">
        <v>113.555713271824</v>
      </c>
      <c r="F27" s="62"/>
    </row>
    <row r="28" s="57" customFormat="1" customHeight="1" spans="1:6">
      <c r="A28" s="62">
        <v>3.6</v>
      </c>
      <c r="B28" s="25" t="s">
        <v>393</v>
      </c>
      <c r="C28" s="73" t="s">
        <v>390</v>
      </c>
      <c r="D28" s="62" t="s">
        <v>376</v>
      </c>
      <c r="E28" s="63">
        <v>147.267565649397</v>
      </c>
      <c r="F28" s="62"/>
    </row>
    <row r="29" s="58" customFormat="1" customHeight="1" spans="1:33">
      <c r="A29" s="74">
        <v>4</v>
      </c>
      <c r="B29" s="64" t="s">
        <v>394</v>
      </c>
      <c r="C29" s="64"/>
      <c r="D29" s="64"/>
      <c r="E29" s="68"/>
      <c r="F29" s="69"/>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row>
    <row r="30" s="58" customFormat="1" customHeight="1" spans="1:33">
      <c r="A30" s="70">
        <v>4.1</v>
      </c>
      <c r="B30" s="62" t="s">
        <v>395</v>
      </c>
      <c r="C30" s="62" t="s">
        <v>396</v>
      </c>
      <c r="D30" s="62" t="s">
        <v>376</v>
      </c>
      <c r="E30" s="63">
        <v>7.54080908445706</v>
      </c>
      <c r="F30" s="62"/>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row>
    <row r="31" s="58" customFormat="1" customHeight="1" spans="1:33">
      <c r="A31" s="70">
        <v>4.2</v>
      </c>
      <c r="B31" s="62" t="s">
        <v>397</v>
      </c>
      <c r="C31" s="62" t="s">
        <v>396</v>
      </c>
      <c r="D31" s="62" t="s">
        <v>376</v>
      </c>
      <c r="E31" s="63">
        <v>13.3073101490419</v>
      </c>
      <c r="F31" s="62"/>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row>
    <row r="32" s="58" customFormat="1" customHeight="1" spans="1:33">
      <c r="A32" s="70">
        <v>4.3</v>
      </c>
      <c r="B32" s="62" t="s">
        <v>398</v>
      </c>
      <c r="C32" s="62" t="s">
        <v>396</v>
      </c>
      <c r="D32" s="62" t="s">
        <v>376</v>
      </c>
      <c r="E32" s="63">
        <v>19.5173882185947</v>
      </c>
      <c r="F32" s="62"/>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row>
    <row r="33" s="58" customFormat="1" customHeight="1" spans="1:33">
      <c r="A33" s="70">
        <v>4.4</v>
      </c>
      <c r="B33" s="62" t="s">
        <v>399</v>
      </c>
      <c r="C33" s="62" t="s">
        <v>396</v>
      </c>
      <c r="D33" s="62" t="s">
        <v>376</v>
      </c>
      <c r="E33" s="63">
        <v>23.0660042583392</v>
      </c>
      <c r="F33" s="62"/>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row>
    <row r="34" s="58" customFormat="1" customHeight="1" spans="1:33">
      <c r="A34" s="74">
        <v>5</v>
      </c>
      <c r="B34" s="64" t="s">
        <v>400</v>
      </c>
      <c r="C34" s="64"/>
      <c r="D34" s="64"/>
      <c r="E34" s="68"/>
      <c r="F34" s="69"/>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row>
    <row r="35" s="58" customFormat="1" customHeight="1" spans="1:33">
      <c r="A35" s="70">
        <v>5.1</v>
      </c>
      <c r="B35" s="62" t="s">
        <v>401</v>
      </c>
      <c r="C35" s="62" t="s">
        <v>402</v>
      </c>
      <c r="D35" s="62" t="s">
        <v>376</v>
      </c>
      <c r="E35" s="63">
        <v>21.291696238467</v>
      </c>
      <c r="F35" s="62"/>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row>
    <row r="36" s="58" customFormat="1" customHeight="1" spans="1:33">
      <c r="A36" s="70">
        <v>5.2</v>
      </c>
      <c r="B36" s="62" t="s">
        <v>403</v>
      </c>
      <c r="C36" s="62" t="s">
        <v>190</v>
      </c>
      <c r="D36" s="62" t="s">
        <v>376</v>
      </c>
      <c r="E36" s="63">
        <v>0.18</v>
      </c>
      <c r="F36" s="62"/>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row>
    <row r="37" s="58" customFormat="1" customHeight="1" spans="1:33">
      <c r="A37" s="74">
        <v>6</v>
      </c>
      <c r="B37" s="64" t="s">
        <v>404</v>
      </c>
      <c r="C37" s="64" t="s">
        <v>402</v>
      </c>
      <c r="D37" s="64" t="s">
        <v>376</v>
      </c>
      <c r="E37" s="68">
        <v>4.34705464868701</v>
      </c>
      <c r="F37" s="69"/>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row>
    <row r="38" s="58" customFormat="1" customHeight="1" spans="1:33">
      <c r="A38" s="74">
        <v>7</v>
      </c>
      <c r="B38" s="64" t="s">
        <v>405</v>
      </c>
      <c r="C38" s="64" t="s">
        <v>402</v>
      </c>
      <c r="D38" s="64" t="s">
        <v>376</v>
      </c>
      <c r="E38" s="68">
        <v>7.14705464868701</v>
      </c>
      <c r="F38" s="69"/>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row>
    <row r="39" s="58" customFormat="1" customHeight="1" spans="1:33">
      <c r="A39" s="74">
        <v>8</v>
      </c>
      <c r="B39" s="64" t="s">
        <v>406</v>
      </c>
      <c r="C39" s="64" t="s">
        <v>402</v>
      </c>
      <c r="D39" s="64" t="s">
        <v>376</v>
      </c>
      <c r="E39" s="68">
        <v>4.34705464868701</v>
      </c>
      <c r="F39" s="69"/>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row>
    <row r="40" s="58" customFormat="1" customHeight="1" spans="1:33">
      <c r="A40" s="74">
        <v>9</v>
      </c>
      <c r="B40" s="64" t="s">
        <v>407</v>
      </c>
      <c r="C40" s="64" t="s">
        <v>402</v>
      </c>
      <c r="D40" s="64" t="s">
        <v>376</v>
      </c>
      <c r="E40" s="68">
        <v>4.64705464868701</v>
      </c>
      <c r="F40" s="69"/>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row>
    <row r="41" s="57" customFormat="1" customHeight="1" spans="1:6">
      <c r="A41" s="75" t="s">
        <v>408</v>
      </c>
      <c r="B41" s="75"/>
      <c r="C41" s="75"/>
      <c r="D41" s="75"/>
      <c r="E41" s="75"/>
      <c r="F41" s="75"/>
    </row>
    <row r="42" s="57" customFormat="1" ht="27.95" customHeight="1" spans="1:6">
      <c r="A42" s="75"/>
      <c r="B42" s="75"/>
      <c r="C42" s="75"/>
      <c r="D42" s="75"/>
      <c r="E42" s="75"/>
      <c r="F42" s="75"/>
    </row>
  </sheetData>
  <mergeCells count="3">
    <mergeCell ref="A1:F1"/>
    <mergeCell ref="A2:F2"/>
    <mergeCell ref="A41:F42"/>
  </mergeCells>
  <printOptions horizontalCentered="1"/>
  <pageMargins left="0.554861111111111" right="0.554861111111111" top="0.60625" bottom="0.60625"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view="pageBreakPreview" zoomScaleNormal="100" workbookViewId="0">
      <selection activeCell="B3" sqref="B3:B8"/>
    </sheetView>
  </sheetViews>
  <sheetFormatPr defaultColWidth="9" defaultRowHeight="13.8" outlineLevelCol="7"/>
  <cols>
    <col min="1" max="1" width="7" style="19" customWidth="1"/>
    <col min="2" max="2" width="12.5092592592593" style="19" customWidth="1"/>
    <col min="3" max="4" width="16" style="19" customWidth="1"/>
    <col min="5" max="5" width="10.5092592592593" style="19" customWidth="1"/>
    <col min="6" max="6" width="11" style="19" customWidth="1"/>
    <col min="7" max="7" width="12.5092592592593" style="19" customWidth="1"/>
    <col min="8" max="8" width="21.1296296296296" style="19" customWidth="1"/>
    <col min="9" max="16384" width="9" style="19"/>
  </cols>
  <sheetData>
    <row r="1" s="19" customFormat="1" ht="24" customHeight="1" spans="1:8">
      <c r="A1" s="30" t="s">
        <v>409</v>
      </c>
      <c r="B1" s="30"/>
      <c r="C1" s="30"/>
      <c r="D1" s="30"/>
      <c r="E1" s="30"/>
      <c r="F1" s="30"/>
      <c r="G1" s="30"/>
      <c r="H1" s="30"/>
    </row>
    <row r="2" s="19" customFormat="1" ht="18" customHeight="1" spans="1:8">
      <c r="A2" s="31" t="s">
        <v>23</v>
      </c>
      <c r="B2" s="31" t="s">
        <v>67</v>
      </c>
      <c r="C2" s="31" t="s">
        <v>410</v>
      </c>
      <c r="D2" s="31" t="s">
        <v>411</v>
      </c>
      <c r="E2" s="31" t="s">
        <v>412</v>
      </c>
      <c r="F2" s="31" t="s">
        <v>413</v>
      </c>
      <c r="G2" s="31" t="s">
        <v>414</v>
      </c>
      <c r="H2" s="31" t="s">
        <v>29</v>
      </c>
    </row>
    <row r="3" s="19" customFormat="1" ht="18" customHeight="1" spans="1:8">
      <c r="A3" s="32">
        <v>1</v>
      </c>
      <c r="B3" s="33" t="s">
        <v>415</v>
      </c>
      <c r="C3" s="31" t="s">
        <v>416</v>
      </c>
      <c r="D3" s="31" t="s">
        <v>417</v>
      </c>
      <c r="E3" s="34">
        <v>1</v>
      </c>
      <c r="F3" s="35">
        <v>14.8</v>
      </c>
      <c r="G3" s="35">
        <f t="shared" ref="G3:G7" si="0">E3*F3</f>
        <v>14.8</v>
      </c>
      <c r="H3" s="36"/>
    </row>
    <row r="4" s="19" customFormat="1" ht="18" customHeight="1" spans="1:8">
      <c r="A4" s="37"/>
      <c r="B4" s="38"/>
      <c r="C4" s="39" t="s">
        <v>418</v>
      </c>
      <c r="D4" s="39" t="s">
        <v>419</v>
      </c>
      <c r="E4" s="34">
        <v>1</v>
      </c>
      <c r="F4" s="35">
        <v>8.4</v>
      </c>
      <c r="G4" s="35">
        <f t="shared" si="0"/>
        <v>8.4</v>
      </c>
      <c r="H4" s="36"/>
    </row>
    <row r="5" s="19" customFormat="1" ht="18" customHeight="1" spans="1:8">
      <c r="A5" s="37"/>
      <c r="B5" s="38"/>
      <c r="C5" s="39" t="s">
        <v>420</v>
      </c>
      <c r="D5" s="39" t="s">
        <v>421</v>
      </c>
      <c r="E5" s="34">
        <v>2</v>
      </c>
      <c r="F5" s="35">
        <v>1.5</v>
      </c>
      <c r="G5" s="35">
        <f t="shared" si="0"/>
        <v>3</v>
      </c>
      <c r="H5" s="36"/>
    </row>
    <row r="6" s="19" customFormat="1" ht="18" customHeight="1" spans="1:8">
      <c r="A6" s="37"/>
      <c r="B6" s="38"/>
      <c r="C6" s="39" t="s">
        <v>422</v>
      </c>
      <c r="D6" s="39" t="s">
        <v>423</v>
      </c>
      <c r="E6" s="34">
        <v>1</v>
      </c>
      <c r="F6" s="35">
        <v>7.2</v>
      </c>
      <c r="G6" s="35">
        <f t="shared" si="0"/>
        <v>7.2</v>
      </c>
      <c r="H6" s="36"/>
    </row>
    <row r="7" s="19" customFormat="1" ht="18" customHeight="1" spans="1:8">
      <c r="A7" s="37"/>
      <c r="B7" s="38"/>
      <c r="C7" s="39" t="s">
        <v>424</v>
      </c>
      <c r="D7" s="39" t="s">
        <v>425</v>
      </c>
      <c r="E7" s="34">
        <v>2</v>
      </c>
      <c r="F7" s="35">
        <v>17.5</v>
      </c>
      <c r="G7" s="35">
        <f t="shared" si="0"/>
        <v>35</v>
      </c>
      <c r="H7" s="36" t="s">
        <v>426</v>
      </c>
    </row>
    <row r="8" s="19" customFormat="1" ht="18" customHeight="1" spans="1:8">
      <c r="A8" s="37"/>
      <c r="B8" s="40"/>
      <c r="C8" s="39"/>
      <c r="D8" s="39"/>
      <c r="E8" s="35"/>
      <c r="F8" s="35"/>
      <c r="G8" s="41">
        <f>SUM(G3:G7)</f>
        <v>68.4</v>
      </c>
      <c r="H8" s="36"/>
    </row>
    <row r="9" s="19" customFormat="1" ht="18" customHeight="1" spans="1:8">
      <c r="A9" s="32">
        <v>2</v>
      </c>
      <c r="B9" s="33" t="s">
        <v>427</v>
      </c>
      <c r="C9" s="39" t="s">
        <v>428</v>
      </c>
      <c r="D9" s="39" t="s">
        <v>417</v>
      </c>
      <c r="E9" s="34">
        <v>1</v>
      </c>
      <c r="F9" s="35">
        <v>14.8</v>
      </c>
      <c r="G9" s="35">
        <f t="shared" ref="G9:G12" si="1">E9*F9</f>
        <v>14.8</v>
      </c>
      <c r="H9" s="36"/>
    </row>
    <row r="10" s="19" customFormat="1" ht="18" customHeight="1" spans="1:8">
      <c r="A10" s="37"/>
      <c r="B10" s="38"/>
      <c r="C10" s="39" t="s">
        <v>429</v>
      </c>
      <c r="D10" s="39" t="s">
        <v>430</v>
      </c>
      <c r="E10" s="34">
        <v>2</v>
      </c>
      <c r="F10" s="35">
        <v>17.8</v>
      </c>
      <c r="G10" s="35">
        <f t="shared" si="1"/>
        <v>35.6</v>
      </c>
      <c r="H10" s="36" t="s">
        <v>426</v>
      </c>
    </row>
    <row r="11" s="19" customFormat="1" ht="18" customHeight="1" spans="1:8">
      <c r="A11" s="37"/>
      <c r="B11" s="38"/>
      <c r="C11" s="39" t="s">
        <v>431</v>
      </c>
      <c r="D11" s="39" t="s">
        <v>432</v>
      </c>
      <c r="E11" s="34">
        <v>1</v>
      </c>
      <c r="F11" s="35">
        <v>7.6</v>
      </c>
      <c r="G11" s="35">
        <f t="shared" si="1"/>
        <v>7.6</v>
      </c>
      <c r="H11" s="36"/>
    </row>
    <row r="12" s="19" customFormat="1" ht="18" customHeight="1" spans="1:8">
      <c r="A12" s="37"/>
      <c r="B12" s="38"/>
      <c r="C12" s="39" t="s">
        <v>433</v>
      </c>
      <c r="D12" s="39" t="s">
        <v>421</v>
      </c>
      <c r="E12" s="34">
        <v>2</v>
      </c>
      <c r="F12" s="35">
        <v>1.5</v>
      </c>
      <c r="G12" s="35">
        <f t="shared" si="1"/>
        <v>3</v>
      </c>
      <c r="H12" s="36"/>
    </row>
    <row r="13" s="19" customFormat="1" ht="18" customHeight="1" spans="1:8">
      <c r="A13" s="37"/>
      <c r="B13" s="38"/>
      <c r="C13" s="31" t="s">
        <v>434</v>
      </c>
      <c r="D13" s="31" t="s">
        <v>435</v>
      </c>
      <c r="E13" s="34">
        <v>2</v>
      </c>
      <c r="F13" s="35">
        <v>5.5</v>
      </c>
      <c r="G13" s="42">
        <v>5.5</v>
      </c>
      <c r="H13" s="36"/>
    </row>
    <row r="14" s="19" customFormat="1" ht="18" customHeight="1" spans="1:8">
      <c r="A14" s="37"/>
      <c r="B14" s="38"/>
      <c r="C14" s="31"/>
      <c r="D14" s="31"/>
      <c r="E14" s="34"/>
      <c r="F14" s="35"/>
      <c r="G14" s="41">
        <f>SUM(G9:G13)</f>
        <v>66.5</v>
      </c>
      <c r="H14" s="36"/>
    </row>
    <row r="15" s="19" customFormat="1" ht="18" customHeight="1" spans="1:8">
      <c r="A15" s="32">
        <v>3</v>
      </c>
      <c r="B15" s="32" t="s">
        <v>436</v>
      </c>
      <c r="C15" s="31" t="s">
        <v>428</v>
      </c>
      <c r="D15" s="31" t="s">
        <v>437</v>
      </c>
      <c r="E15" s="34">
        <v>1</v>
      </c>
      <c r="F15" s="35">
        <v>14.8</v>
      </c>
      <c r="G15" s="35">
        <f t="shared" ref="G15:G21" si="2">E15*F15</f>
        <v>14.8</v>
      </c>
      <c r="H15" s="36"/>
    </row>
    <row r="16" s="19" customFormat="1" ht="18" customHeight="1" spans="1:8">
      <c r="A16" s="37"/>
      <c r="B16" s="37"/>
      <c r="C16" s="39" t="s">
        <v>418</v>
      </c>
      <c r="D16" s="39" t="s">
        <v>438</v>
      </c>
      <c r="E16" s="34">
        <v>1</v>
      </c>
      <c r="F16" s="35">
        <v>8</v>
      </c>
      <c r="G16" s="35">
        <f t="shared" si="2"/>
        <v>8</v>
      </c>
      <c r="H16" s="36"/>
    </row>
    <row r="17" s="19" customFormat="1" ht="18" customHeight="1" spans="1:8">
      <c r="A17" s="37"/>
      <c r="B17" s="37"/>
      <c r="C17" s="39" t="s">
        <v>439</v>
      </c>
      <c r="D17" s="39" t="s">
        <v>421</v>
      </c>
      <c r="E17" s="34">
        <v>2</v>
      </c>
      <c r="F17" s="35">
        <v>1.5</v>
      </c>
      <c r="G17" s="35">
        <f t="shared" si="2"/>
        <v>3</v>
      </c>
      <c r="H17" s="36"/>
    </row>
    <row r="18" s="19" customFormat="1" ht="18" customHeight="1" spans="1:8">
      <c r="A18" s="37"/>
      <c r="B18" s="37"/>
      <c r="C18" s="39" t="s">
        <v>440</v>
      </c>
      <c r="D18" s="39" t="s">
        <v>441</v>
      </c>
      <c r="E18" s="34">
        <v>2</v>
      </c>
      <c r="F18" s="35">
        <v>8</v>
      </c>
      <c r="G18" s="35">
        <f t="shared" si="2"/>
        <v>16</v>
      </c>
      <c r="H18" s="36"/>
    </row>
    <row r="19" s="19" customFormat="1" ht="18" customHeight="1" spans="1:8">
      <c r="A19" s="37"/>
      <c r="B19" s="37"/>
      <c r="C19" s="39" t="s">
        <v>442</v>
      </c>
      <c r="D19" s="39" t="s">
        <v>443</v>
      </c>
      <c r="E19" s="34">
        <v>1</v>
      </c>
      <c r="F19" s="35">
        <v>0.3</v>
      </c>
      <c r="G19" s="35">
        <f t="shared" si="2"/>
        <v>0.3</v>
      </c>
      <c r="H19" s="36"/>
    </row>
    <row r="20" s="19" customFormat="1" ht="18" customHeight="1" spans="1:8">
      <c r="A20" s="37"/>
      <c r="B20" s="37"/>
      <c r="C20" s="31" t="s">
        <v>444</v>
      </c>
      <c r="D20" s="39" t="s">
        <v>445</v>
      </c>
      <c r="E20" s="34">
        <v>1</v>
      </c>
      <c r="F20" s="35">
        <v>1.8</v>
      </c>
      <c r="G20" s="35">
        <f t="shared" si="2"/>
        <v>1.8</v>
      </c>
      <c r="H20" s="36"/>
    </row>
    <row r="21" s="19" customFormat="1" ht="18" customHeight="1" spans="1:8">
      <c r="A21" s="37"/>
      <c r="B21" s="37"/>
      <c r="C21" s="39" t="s">
        <v>434</v>
      </c>
      <c r="D21" s="31" t="s">
        <v>435</v>
      </c>
      <c r="E21" s="34">
        <v>1</v>
      </c>
      <c r="F21" s="35">
        <v>5.5</v>
      </c>
      <c r="G21" s="35">
        <f t="shared" si="2"/>
        <v>5.5</v>
      </c>
      <c r="H21" s="36"/>
    </row>
    <row r="22" s="19" customFormat="1" ht="18" customHeight="1" spans="1:8">
      <c r="A22" s="37"/>
      <c r="B22" s="43"/>
      <c r="C22" s="39"/>
      <c r="D22" s="39"/>
      <c r="E22" s="34"/>
      <c r="F22" s="35"/>
      <c r="G22" s="41">
        <f>SUM(G15:G21)</f>
        <v>49.4</v>
      </c>
      <c r="H22" s="36"/>
    </row>
    <row r="23" s="19" customFormat="1" ht="18" customHeight="1" spans="1:8">
      <c r="A23" s="32">
        <v>4</v>
      </c>
      <c r="B23" s="33" t="s">
        <v>446</v>
      </c>
      <c r="C23" s="39" t="s">
        <v>447</v>
      </c>
      <c r="D23" s="39" t="s">
        <v>448</v>
      </c>
      <c r="E23" s="34">
        <v>1</v>
      </c>
      <c r="F23" s="35">
        <v>5.3</v>
      </c>
      <c r="G23" s="35">
        <f t="shared" ref="G23:G25" si="3">F23*E23</f>
        <v>5.3</v>
      </c>
      <c r="H23" s="36"/>
    </row>
    <row r="24" s="19" customFormat="1" ht="18" customHeight="1" spans="1:8">
      <c r="A24" s="37"/>
      <c r="B24" s="38"/>
      <c r="C24" s="39" t="s">
        <v>449</v>
      </c>
      <c r="D24" s="39" t="s">
        <v>450</v>
      </c>
      <c r="E24" s="34">
        <v>1</v>
      </c>
      <c r="F24" s="35">
        <v>1.3</v>
      </c>
      <c r="G24" s="35">
        <f t="shared" si="3"/>
        <v>1.3</v>
      </c>
      <c r="H24" s="36"/>
    </row>
    <row r="25" s="19" customFormat="1" ht="18" customHeight="1" spans="1:8">
      <c r="A25" s="37"/>
      <c r="B25" s="38"/>
      <c r="C25" s="39" t="s">
        <v>451</v>
      </c>
      <c r="D25" s="39" t="s">
        <v>452</v>
      </c>
      <c r="E25" s="34">
        <v>4</v>
      </c>
      <c r="F25" s="35">
        <v>8.8</v>
      </c>
      <c r="G25" s="35">
        <f t="shared" si="3"/>
        <v>35.2</v>
      </c>
      <c r="H25" s="36"/>
    </row>
    <row r="26" s="19" customFormat="1" ht="18" customHeight="1" spans="1:8">
      <c r="A26" s="43"/>
      <c r="B26" s="40"/>
      <c r="C26" s="39"/>
      <c r="D26" s="39"/>
      <c r="E26" s="35"/>
      <c r="F26" s="35"/>
      <c r="G26" s="41">
        <f>SUM(G23:G25)</f>
        <v>41.8</v>
      </c>
      <c r="H26" s="36"/>
    </row>
    <row r="27" s="19" customFormat="1" ht="18" customHeight="1" spans="1:8">
      <c r="A27" s="32">
        <v>5</v>
      </c>
      <c r="B27" s="33" t="s">
        <v>453</v>
      </c>
      <c r="C27" s="39" t="s">
        <v>428</v>
      </c>
      <c r="D27" s="39" t="s">
        <v>454</v>
      </c>
      <c r="E27" s="44">
        <v>1</v>
      </c>
      <c r="F27" s="35">
        <v>29.2</v>
      </c>
      <c r="G27" s="35">
        <f t="shared" ref="G27:G31" si="4">E27*F27</f>
        <v>29.2</v>
      </c>
      <c r="H27" s="36"/>
    </row>
    <row r="28" s="19" customFormat="1" ht="18" customHeight="1" spans="1:8">
      <c r="A28" s="37"/>
      <c r="B28" s="38"/>
      <c r="C28" s="39" t="s">
        <v>455</v>
      </c>
      <c r="D28" s="39" t="s">
        <v>456</v>
      </c>
      <c r="E28" s="44">
        <v>1</v>
      </c>
      <c r="F28" s="35">
        <v>35.6</v>
      </c>
      <c r="G28" s="35">
        <f t="shared" si="4"/>
        <v>35.6</v>
      </c>
      <c r="H28" s="36"/>
    </row>
    <row r="29" s="19" customFormat="1" ht="18" customHeight="1" spans="1:8">
      <c r="A29" s="37"/>
      <c r="B29" s="38"/>
      <c r="C29" s="39" t="s">
        <v>457</v>
      </c>
      <c r="D29" s="39" t="s">
        <v>458</v>
      </c>
      <c r="E29" s="44">
        <v>1</v>
      </c>
      <c r="F29" s="35">
        <v>36.7</v>
      </c>
      <c r="G29" s="35">
        <f t="shared" si="4"/>
        <v>36.7</v>
      </c>
      <c r="H29" s="36"/>
    </row>
    <row r="30" s="19" customFormat="1" ht="18" customHeight="1" spans="1:8">
      <c r="A30" s="37"/>
      <c r="B30" s="38"/>
      <c r="C30" s="39" t="s">
        <v>459</v>
      </c>
      <c r="D30" s="39" t="s">
        <v>460</v>
      </c>
      <c r="E30" s="44">
        <v>1</v>
      </c>
      <c r="F30" s="35">
        <v>3.6</v>
      </c>
      <c r="G30" s="35">
        <f t="shared" si="4"/>
        <v>3.6</v>
      </c>
      <c r="H30" s="36"/>
    </row>
    <row r="31" s="19" customFormat="1" ht="18" customHeight="1" spans="1:8">
      <c r="A31" s="37"/>
      <c r="B31" s="38"/>
      <c r="C31" s="39" t="s">
        <v>440</v>
      </c>
      <c r="D31" s="39" t="s">
        <v>461</v>
      </c>
      <c r="E31" s="44">
        <v>3</v>
      </c>
      <c r="F31" s="35">
        <v>20</v>
      </c>
      <c r="G31" s="35">
        <f t="shared" si="4"/>
        <v>60</v>
      </c>
      <c r="H31" s="36" t="s">
        <v>462</v>
      </c>
    </row>
    <row r="32" s="19" customFormat="1" ht="18" customHeight="1" spans="1:8">
      <c r="A32" s="43"/>
      <c r="B32" s="40"/>
      <c r="C32" s="39"/>
      <c r="D32" s="39"/>
      <c r="E32" s="35"/>
      <c r="F32" s="35"/>
      <c r="G32" s="41">
        <f>SUM(G27:G31)</f>
        <v>165.1</v>
      </c>
      <c r="H32" s="36"/>
    </row>
    <row r="33" s="19" customFormat="1" ht="18" customHeight="1" spans="1:8">
      <c r="A33" s="32">
        <v>6</v>
      </c>
      <c r="B33" s="33" t="s">
        <v>463</v>
      </c>
      <c r="C33" s="39" t="s">
        <v>428</v>
      </c>
      <c r="D33" s="39" t="s">
        <v>454</v>
      </c>
      <c r="E33" s="44">
        <v>1</v>
      </c>
      <c r="F33" s="35">
        <v>29.2</v>
      </c>
      <c r="G33" s="35">
        <f t="shared" ref="G33:G39" si="5">E33*F33</f>
        <v>29.2</v>
      </c>
      <c r="H33" s="36"/>
    </row>
    <row r="34" s="19" customFormat="1" ht="18" customHeight="1" spans="1:8">
      <c r="A34" s="37"/>
      <c r="B34" s="38"/>
      <c r="C34" s="39" t="s">
        <v>455</v>
      </c>
      <c r="D34" s="39" t="s">
        <v>456</v>
      </c>
      <c r="E34" s="44">
        <v>1</v>
      </c>
      <c r="F34" s="35">
        <v>35.6</v>
      </c>
      <c r="G34" s="35">
        <f t="shared" si="5"/>
        <v>35.6</v>
      </c>
      <c r="H34" s="36"/>
    </row>
    <row r="35" s="19" customFormat="1" ht="18" customHeight="1" spans="1:8">
      <c r="A35" s="37"/>
      <c r="B35" s="38"/>
      <c r="C35" s="39" t="s">
        <v>457</v>
      </c>
      <c r="D35" s="39" t="s">
        <v>458</v>
      </c>
      <c r="E35" s="44">
        <v>1</v>
      </c>
      <c r="F35" s="35">
        <v>36.7</v>
      </c>
      <c r="G35" s="35">
        <f t="shared" si="5"/>
        <v>36.7</v>
      </c>
      <c r="H35" s="36"/>
    </row>
    <row r="36" s="19" customFormat="1" ht="18" customHeight="1" spans="1:8">
      <c r="A36" s="37"/>
      <c r="B36" s="38"/>
      <c r="C36" s="39" t="s">
        <v>459</v>
      </c>
      <c r="D36" s="39" t="s">
        <v>460</v>
      </c>
      <c r="E36" s="44">
        <v>1</v>
      </c>
      <c r="F36" s="35">
        <v>3.6</v>
      </c>
      <c r="G36" s="35">
        <f t="shared" si="5"/>
        <v>3.6</v>
      </c>
      <c r="H36" s="36"/>
    </row>
    <row r="37" s="19" customFormat="1" ht="18" customHeight="1" spans="1:8">
      <c r="A37" s="37"/>
      <c r="B37" s="38"/>
      <c r="C37" s="39" t="s">
        <v>440</v>
      </c>
      <c r="D37" s="39" t="s">
        <v>461</v>
      </c>
      <c r="E37" s="44">
        <v>6</v>
      </c>
      <c r="F37" s="35">
        <v>20</v>
      </c>
      <c r="G37" s="35">
        <f t="shared" si="5"/>
        <v>120</v>
      </c>
      <c r="H37" s="36" t="s">
        <v>462</v>
      </c>
    </row>
    <row r="38" s="19" customFormat="1" ht="18" customHeight="1" spans="1:8">
      <c r="A38" s="37"/>
      <c r="B38" s="38"/>
      <c r="C38" s="39" t="s">
        <v>464</v>
      </c>
      <c r="D38" s="39" t="s">
        <v>465</v>
      </c>
      <c r="E38" s="44">
        <v>2</v>
      </c>
      <c r="F38" s="35">
        <v>9</v>
      </c>
      <c r="G38" s="35">
        <f t="shared" si="5"/>
        <v>18</v>
      </c>
      <c r="H38" s="36"/>
    </row>
    <row r="39" s="19" customFormat="1" ht="18" customHeight="1" spans="1:8">
      <c r="A39" s="37"/>
      <c r="B39" s="38"/>
      <c r="C39" s="39" t="s">
        <v>439</v>
      </c>
      <c r="D39" s="39" t="s">
        <v>466</v>
      </c>
      <c r="E39" s="44">
        <v>2</v>
      </c>
      <c r="F39" s="35">
        <v>2.6</v>
      </c>
      <c r="G39" s="35">
        <f t="shared" si="5"/>
        <v>5.2</v>
      </c>
      <c r="H39" s="36"/>
    </row>
    <row r="40" s="19" customFormat="1" ht="18" customHeight="1" spans="1:8">
      <c r="A40" s="37"/>
      <c r="B40" s="38"/>
      <c r="C40" s="39"/>
      <c r="D40" s="39"/>
      <c r="E40" s="44"/>
      <c r="F40" s="45"/>
      <c r="G40" s="46">
        <f>SUM(G33:G39)</f>
        <v>248.3</v>
      </c>
      <c r="H40" s="36"/>
    </row>
    <row r="41" s="19" customFormat="1" ht="18" customHeight="1" spans="1:8">
      <c r="A41" s="32">
        <v>7</v>
      </c>
      <c r="B41" s="33" t="s">
        <v>467</v>
      </c>
      <c r="C41" s="47" t="s">
        <v>468</v>
      </c>
      <c r="D41" s="48" t="s">
        <v>469</v>
      </c>
      <c r="E41" s="48">
        <v>1</v>
      </c>
      <c r="F41" s="48">
        <v>14.8</v>
      </c>
      <c r="G41" s="35">
        <f t="shared" ref="G41:G46" si="6">E41*F41</f>
        <v>14.8</v>
      </c>
      <c r="H41" s="36"/>
    </row>
    <row r="42" s="19" customFormat="1" ht="18" customHeight="1" spans="1:8">
      <c r="A42" s="37"/>
      <c r="B42" s="38"/>
      <c r="C42" s="47" t="s">
        <v>470</v>
      </c>
      <c r="D42" s="48" t="s">
        <v>471</v>
      </c>
      <c r="E42" s="48">
        <v>1</v>
      </c>
      <c r="F42" s="48">
        <v>22.4</v>
      </c>
      <c r="G42" s="35">
        <f t="shared" si="6"/>
        <v>22.4</v>
      </c>
      <c r="H42" s="36"/>
    </row>
    <row r="43" s="19" customFormat="1" ht="18" customHeight="1" spans="1:8">
      <c r="A43" s="37"/>
      <c r="B43" s="38"/>
      <c r="C43" s="47" t="s">
        <v>472</v>
      </c>
      <c r="D43" s="48" t="s">
        <v>473</v>
      </c>
      <c r="E43" s="48">
        <v>1</v>
      </c>
      <c r="F43" s="48">
        <v>8.4</v>
      </c>
      <c r="G43" s="35">
        <f t="shared" si="6"/>
        <v>8.4</v>
      </c>
      <c r="H43" s="36"/>
    </row>
    <row r="44" s="19" customFormat="1" ht="18" customHeight="1" spans="1:8">
      <c r="A44" s="37"/>
      <c r="B44" s="38"/>
      <c r="C44" s="47" t="s">
        <v>439</v>
      </c>
      <c r="D44" s="48" t="s">
        <v>474</v>
      </c>
      <c r="E44" s="48">
        <v>2</v>
      </c>
      <c r="F44" s="48">
        <v>1.5</v>
      </c>
      <c r="G44" s="35">
        <f t="shared" si="6"/>
        <v>3</v>
      </c>
      <c r="H44" s="36"/>
    </row>
    <row r="45" s="19" customFormat="1" ht="18" customHeight="1" spans="1:8">
      <c r="A45" s="37"/>
      <c r="B45" s="38"/>
      <c r="C45" s="47" t="s">
        <v>440</v>
      </c>
      <c r="D45" s="48" t="s">
        <v>475</v>
      </c>
      <c r="E45" s="48">
        <v>2</v>
      </c>
      <c r="F45" s="48">
        <v>15</v>
      </c>
      <c r="G45" s="35">
        <f t="shared" si="6"/>
        <v>30</v>
      </c>
      <c r="H45" s="36"/>
    </row>
    <row r="46" s="19" customFormat="1" ht="18" customHeight="1" spans="1:8">
      <c r="A46" s="37"/>
      <c r="B46" s="38"/>
      <c r="C46" s="49" t="s">
        <v>476</v>
      </c>
      <c r="D46" s="49" t="s">
        <v>477</v>
      </c>
      <c r="E46" s="49">
        <v>1</v>
      </c>
      <c r="F46" s="49">
        <v>53</v>
      </c>
      <c r="G46" s="35">
        <f t="shared" si="6"/>
        <v>53</v>
      </c>
      <c r="H46" s="36"/>
    </row>
    <row r="47" s="19" customFormat="1" ht="18" customHeight="1" spans="1:8">
      <c r="A47" s="37"/>
      <c r="B47" s="38"/>
      <c r="C47" s="50"/>
      <c r="D47" s="51"/>
      <c r="E47" s="51"/>
      <c r="F47" s="52"/>
      <c r="G47" s="46">
        <f>SUM(G41:G46)</f>
        <v>131.6</v>
      </c>
      <c r="H47" s="36"/>
    </row>
    <row r="48" s="19" customFormat="1" ht="18" customHeight="1" spans="1:8">
      <c r="A48" s="31">
        <v>8</v>
      </c>
      <c r="B48" s="36" t="s">
        <v>478</v>
      </c>
      <c r="C48" s="53" t="s">
        <v>428</v>
      </c>
      <c r="D48" s="54" t="s">
        <v>479</v>
      </c>
      <c r="E48" s="54">
        <v>1</v>
      </c>
      <c r="F48" s="55">
        <v>14.8</v>
      </c>
      <c r="G48" s="35">
        <f t="shared" ref="G48:G54" si="7">E48*F48</f>
        <v>14.8</v>
      </c>
      <c r="H48" s="36"/>
    </row>
    <row r="49" s="19" customFormat="1" ht="18" customHeight="1" spans="1:8">
      <c r="A49" s="31"/>
      <c r="B49" s="36"/>
      <c r="C49" s="53" t="s">
        <v>439</v>
      </c>
      <c r="D49" s="54" t="s">
        <v>474</v>
      </c>
      <c r="E49" s="54">
        <v>2</v>
      </c>
      <c r="F49" s="55">
        <v>1.44</v>
      </c>
      <c r="G49" s="35">
        <f t="shared" si="7"/>
        <v>2.88</v>
      </c>
      <c r="H49" s="36"/>
    </row>
    <row r="50" s="19" customFormat="1" ht="18" customHeight="1" spans="1:8">
      <c r="A50" s="31"/>
      <c r="B50" s="36"/>
      <c r="C50" s="53" t="s">
        <v>480</v>
      </c>
      <c r="D50" s="54" t="s">
        <v>481</v>
      </c>
      <c r="E50" s="54">
        <v>1</v>
      </c>
      <c r="F50" s="55">
        <v>17.6</v>
      </c>
      <c r="G50" s="35">
        <f t="shared" si="7"/>
        <v>17.6</v>
      </c>
      <c r="H50" s="36"/>
    </row>
    <row r="51" s="19" customFormat="1" ht="18" customHeight="1" spans="1:8">
      <c r="A51" s="31"/>
      <c r="B51" s="36"/>
      <c r="C51" s="53" t="s">
        <v>472</v>
      </c>
      <c r="D51" s="54" t="s">
        <v>473</v>
      </c>
      <c r="E51" s="54">
        <v>1</v>
      </c>
      <c r="F51" s="55">
        <v>8.4</v>
      </c>
      <c r="G51" s="35">
        <f t="shared" si="7"/>
        <v>8.4</v>
      </c>
      <c r="H51" s="36"/>
    </row>
    <row r="52" s="19" customFormat="1" ht="18" customHeight="1" spans="1:8">
      <c r="A52" s="31"/>
      <c r="B52" s="36"/>
      <c r="C52" s="53" t="s">
        <v>482</v>
      </c>
      <c r="D52" s="54" t="s">
        <v>483</v>
      </c>
      <c r="E52" s="54">
        <v>2</v>
      </c>
      <c r="F52" s="55">
        <v>10.64</v>
      </c>
      <c r="G52" s="35">
        <f t="shared" si="7"/>
        <v>21.28</v>
      </c>
      <c r="H52" s="36"/>
    </row>
    <row r="53" s="19" customFormat="1" ht="18" customHeight="1" spans="1:8">
      <c r="A53" s="31"/>
      <c r="B53" s="36"/>
      <c r="C53" s="53" t="s">
        <v>484</v>
      </c>
      <c r="D53" s="54" t="s">
        <v>485</v>
      </c>
      <c r="E53" s="54">
        <v>1</v>
      </c>
      <c r="F53" s="55">
        <v>48</v>
      </c>
      <c r="G53" s="35">
        <f t="shared" si="7"/>
        <v>48</v>
      </c>
      <c r="H53" s="36"/>
    </row>
    <row r="54" s="19" customFormat="1" ht="18" customHeight="1" spans="1:8">
      <c r="A54" s="31"/>
      <c r="B54" s="36"/>
      <c r="C54" s="53" t="s">
        <v>486</v>
      </c>
      <c r="D54" s="54" t="s">
        <v>487</v>
      </c>
      <c r="E54" s="54">
        <v>2</v>
      </c>
      <c r="F54" s="55">
        <v>28.8</v>
      </c>
      <c r="G54" s="35">
        <f t="shared" si="7"/>
        <v>57.6</v>
      </c>
      <c r="H54" s="36"/>
    </row>
    <row r="55" s="19" customFormat="1" ht="18" customHeight="1" spans="1:8">
      <c r="A55" s="16"/>
      <c r="B55" s="16"/>
      <c r="C55" s="16"/>
      <c r="D55" s="16"/>
      <c r="E55" s="16"/>
      <c r="F55" s="16"/>
      <c r="G55" s="56">
        <f>SUM(G48:G54)</f>
        <v>170.56</v>
      </c>
      <c r="H55" s="16"/>
    </row>
  </sheetData>
  <mergeCells count="17">
    <mergeCell ref="A1:H1"/>
    <mergeCell ref="A3:A8"/>
    <mergeCell ref="A9:A14"/>
    <mergeCell ref="A15:A22"/>
    <mergeCell ref="A23:A26"/>
    <mergeCell ref="A27:A32"/>
    <mergeCell ref="A33:A39"/>
    <mergeCell ref="A41:A47"/>
    <mergeCell ref="A48:A54"/>
    <mergeCell ref="B3:B8"/>
    <mergeCell ref="B9:B14"/>
    <mergeCell ref="B15:B22"/>
    <mergeCell ref="B23:B26"/>
    <mergeCell ref="B27:B32"/>
    <mergeCell ref="B33:B39"/>
    <mergeCell ref="B41:B47"/>
    <mergeCell ref="B48:B54"/>
  </mergeCells>
  <printOptions horizontalCentered="1"/>
  <pageMargins left="0.554861111111111" right="0.554861111111111" top="0.60625" bottom="0.60625" header="0.5" footer="0.5"/>
  <pageSetup paperSize="9" scale="83"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130" zoomScaleNormal="100" workbookViewId="0">
      <selection activeCell="B7" sqref="B7"/>
    </sheetView>
  </sheetViews>
  <sheetFormatPr defaultColWidth="9" defaultRowHeight="24.95" customHeight="1" outlineLevelCol="6"/>
  <cols>
    <col min="1" max="1" width="8.25" style="19" customWidth="1"/>
    <col min="2" max="2" width="25.5" style="19" customWidth="1"/>
    <col min="3" max="3" width="7.5" style="19" customWidth="1"/>
    <col min="4" max="4" width="11.6296296296296" style="19" customWidth="1"/>
    <col min="5" max="5" width="11" style="19" customWidth="1"/>
    <col min="6" max="6" width="11.5" style="1" customWidth="1"/>
    <col min="7" max="7" width="9.12962962962963" style="19" customWidth="1"/>
    <col min="8" max="16384" width="9" style="19"/>
  </cols>
  <sheetData>
    <row r="1" s="19" customFormat="1" customHeight="1" spans="1:7">
      <c r="A1" s="20" t="s">
        <v>488</v>
      </c>
      <c r="B1" s="21"/>
      <c r="C1" s="21"/>
      <c r="D1" s="21"/>
      <c r="E1" s="21"/>
      <c r="F1" s="20"/>
      <c r="G1" s="20"/>
    </row>
    <row r="2" s="19" customFormat="1" customHeight="1" spans="1:7">
      <c r="A2" s="22" t="s">
        <v>371</v>
      </c>
      <c r="B2" s="22"/>
      <c r="C2" s="22"/>
      <c r="D2" s="22"/>
      <c r="E2" s="22"/>
      <c r="F2" s="23"/>
      <c r="G2" s="22"/>
    </row>
    <row r="3" s="19" customFormat="1" ht="31" customHeight="1" spans="1:7">
      <c r="A3" s="24" t="s">
        <v>23</v>
      </c>
      <c r="B3" s="24" t="s">
        <v>489</v>
      </c>
      <c r="C3" s="24" t="s">
        <v>184</v>
      </c>
      <c r="D3" s="24" t="s">
        <v>490</v>
      </c>
      <c r="E3" s="24" t="s">
        <v>491</v>
      </c>
      <c r="F3" s="24" t="s">
        <v>492</v>
      </c>
      <c r="G3" s="24" t="s">
        <v>29</v>
      </c>
    </row>
    <row r="4" s="19" customFormat="1" customHeight="1" spans="1:7">
      <c r="A4" s="24">
        <v>1</v>
      </c>
      <c r="B4" s="25" t="s">
        <v>389</v>
      </c>
      <c r="C4" s="25" t="s">
        <v>77</v>
      </c>
      <c r="D4" s="25">
        <v>33.7118523775727</v>
      </c>
      <c r="E4" s="24">
        <v>8</v>
      </c>
      <c r="F4" s="24">
        <v>10</v>
      </c>
      <c r="G4" s="24"/>
    </row>
    <row r="5" s="19" customFormat="1" customHeight="1" spans="1:7">
      <c r="A5" s="24">
        <v>2</v>
      </c>
      <c r="B5" s="25" t="s">
        <v>391</v>
      </c>
      <c r="C5" s="25" t="s">
        <v>77</v>
      </c>
      <c r="D5" s="25">
        <v>95.8126330731015</v>
      </c>
      <c r="E5" s="24">
        <v>8</v>
      </c>
      <c r="F5" s="24">
        <v>10</v>
      </c>
      <c r="G5" s="24"/>
    </row>
    <row r="6" s="19" customFormat="1" ht="33" customHeight="1" spans="1:7">
      <c r="A6" s="24">
        <v>3</v>
      </c>
      <c r="B6" s="25" t="s">
        <v>392</v>
      </c>
      <c r="C6" s="25" t="s">
        <v>77</v>
      </c>
      <c r="D6" s="25">
        <v>165.656493967353</v>
      </c>
      <c r="E6" s="24" t="s">
        <v>382</v>
      </c>
      <c r="F6" s="24">
        <v>10</v>
      </c>
      <c r="G6" s="26" t="s">
        <v>493</v>
      </c>
    </row>
    <row r="7" s="19" customFormat="1" ht="35" customHeight="1" spans="1:7">
      <c r="A7" s="24">
        <v>4</v>
      </c>
      <c r="B7" s="25" t="s">
        <v>250</v>
      </c>
      <c r="C7" s="25" t="s">
        <v>77</v>
      </c>
      <c r="D7" s="25">
        <v>175.656493967353</v>
      </c>
      <c r="E7" s="24" t="s">
        <v>382</v>
      </c>
      <c r="F7" s="24">
        <v>10</v>
      </c>
      <c r="G7" s="27"/>
    </row>
    <row r="8" s="19" customFormat="1" customHeight="1" spans="1:7">
      <c r="A8" s="24">
        <v>5</v>
      </c>
      <c r="B8" s="25" t="s">
        <v>268</v>
      </c>
      <c r="C8" s="25" t="s">
        <v>77</v>
      </c>
      <c r="D8" s="25">
        <v>113.555713271824</v>
      </c>
      <c r="E8" s="24">
        <v>24</v>
      </c>
      <c r="F8" s="24">
        <v>10</v>
      </c>
      <c r="G8" s="24"/>
    </row>
    <row r="9" s="19" customFormat="1" customHeight="1" spans="1:7">
      <c r="A9" s="24">
        <v>6</v>
      </c>
      <c r="B9" s="25" t="s">
        <v>393</v>
      </c>
      <c r="C9" s="25" t="s">
        <v>77</v>
      </c>
      <c r="D9" s="25">
        <v>132.267565649397</v>
      </c>
      <c r="E9" s="24">
        <v>26</v>
      </c>
      <c r="F9" s="24">
        <v>10</v>
      </c>
      <c r="G9" s="24"/>
    </row>
    <row r="10" s="19" customFormat="1" customHeight="1" spans="1:7">
      <c r="A10" s="24">
        <v>7</v>
      </c>
      <c r="B10" s="25" t="s">
        <v>494</v>
      </c>
      <c r="C10" s="25" t="s">
        <v>77</v>
      </c>
      <c r="D10" s="28">
        <v>196.142654364798</v>
      </c>
      <c r="E10" s="29">
        <v>30</v>
      </c>
      <c r="F10" s="29">
        <v>15</v>
      </c>
      <c r="G10" s="29"/>
    </row>
    <row r="11" s="19" customFormat="1" customHeight="1" spans="1:7">
      <c r="A11" s="24">
        <v>8</v>
      </c>
      <c r="B11" s="25" t="s">
        <v>254</v>
      </c>
      <c r="C11" s="25" t="s">
        <v>77</v>
      </c>
      <c r="D11" s="28">
        <v>244.85450674237</v>
      </c>
      <c r="E11" s="24" t="s">
        <v>382</v>
      </c>
      <c r="F11" s="29">
        <v>15</v>
      </c>
      <c r="G11" s="29"/>
    </row>
    <row r="12" s="19" customFormat="1" customHeight="1" spans="1:7">
      <c r="A12" s="24">
        <v>9</v>
      </c>
      <c r="B12" s="25" t="s">
        <v>495</v>
      </c>
      <c r="C12" s="25" t="s">
        <v>77</v>
      </c>
      <c r="D12" s="28">
        <v>81.6181689141235</v>
      </c>
      <c r="E12" s="29">
        <v>10</v>
      </c>
      <c r="F12" s="29">
        <v>10</v>
      </c>
      <c r="G12" s="29"/>
    </row>
  </sheetData>
  <mergeCells count="3">
    <mergeCell ref="A1:G1"/>
    <mergeCell ref="A2:G2"/>
    <mergeCell ref="G6:G7"/>
  </mergeCells>
  <printOptions horizontalCentered="1"/>
  <pageMargins left="0.554861111111111" right="0.554861111111111" top="0.60625" bottom="0.60625"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9"/>
  <sheetViews>
    <sheetView workbookViewId="0">
      <selection activeCell="A1" sqref="$A1:$XFD1048576"/>
    </sheetView>
  </sheetViews>
  <sheetFormatPr defaultColWidth="9" defaultRowHeight="13.8"/>
  <cols>
    <col min="1" max="1" width="5.25" style="12" customWidth="1"/>
    <col min="2" max="2" width="37.1296296296296" style="12" customWidth="1"/>
    <col min="3" max="3" width="13" style="12" customWidth="1"/>
    <col min="4" max="6" width="9" style="12"/>
    <col min="7" max="7" width="3.87962962962963" style="13" customWidth="1"/>
    <col min="8" max="8" width="5.12962962962963" style="14" customWidth="1"/>
    <col min="9" max="9" width="4.5" style="14" customWidth="1"/>
    <col min="10" max="11" width="3.87962962962963" style="14" customWidth="1"/>
    <col min="12" max="12" width="9.5" style="14" customWidth="1"/>
    <col min="13" max="13" width="9.25" style="14" customWidth="1"/>
    <col min="14" max="14" width="3.87962962962963" style="14" customWidth="1"/>
    <col min="15" max="16" width="9" style="12"/>
    <col min="17" max="17" width="22.8888888888889" style="15" customWidth="1"/>
    <col min="18" max="16384" width="9" style="12"/>
  </cols>
  <sheetData>
    <row r="1" s="12" customFormat="1" spans="1:17">
      <c r="A1" s="16"/>
      <c r="B1" s="16" t="s">
        <v>496</v>
      </c>
      <c r="C1" s="16" t="s">
        <v>497</v>
      </c>
      <c r="D1" s="16" t="s">
        <v>498</v>
      </c>
      <c r="E1" s="16" t="s">
        <v>499</v>
      </c>
      <c r="F1" s="16" t="s">
        <v>412</v>
      </c>
      <c r="G1" s="17" t="s">
        <v>500</v>
      </c>
      <c r="H1" s="17"/>
      <c r="I1" s="17"/>
      <c r="J1" s="17"/>
      <c r="K1" s="17"/>
      <c r="L1" s="17"/>
      <c r="M1" s="5"/>
      <c r="N1" s="5"/>
      <c r="O1" s="16"/>
      <c r="P1" s="16"/>
      <c r="Q1" s="18"/>
    </row>
    <row r="2" s="12" customFormat="1" ht="21" customHeight="1" spans="1:17">
      <c r="A2" s="16"/>
      <c r="B2" s="16"/>
      <c r="C2" s="16"/>
      <c r="D2" s="16"/>
      <c r="E2" s="16"/>
      <c r="F2" s="16"/>
      <c r="G2" s="17" t="s">
        <v>222</v>
      </c>
      <c r="H2" s="5" t="s">
        <v>223</v>
      </c>
      <c r="I2" s="5" t="s">
        <v>224</v>
      </c>
      <c r="J2" s="5" t="s">
        <v>225</v>
      </c>
      <c r="K2" s="5" t="s">
        <v>226</v>
      </c>
      <c r="L2" s="5" t="s">
        <v>501</v>
      </c>
      <c r="M2" s="5" t="s">
        <v>502</v>
      </c>
      <c r="N2" s="5" t="s">
        <v>229</v>
      </c>
      <c r="O2" s="16"/>
      <c r="P2" s="16"/>
      <c r="Q2" s="18"/>
    </row>
    <row r="3" s="12" customFormat="1" ht="73" customHeight="1" spans="1:17">
      <c r="A3" s="16" t="s">
        <v>23</v>
      </c>
      <c r="B3" s="16"/>
      <c r="C3" s="16">
        <v>1800</v>
      </c>
      <c r="D3" s="16">
        <v>500</v>
      </c>
      <c r="E3" s="16">
        <f t="shared" ref="E3:E13" si="0">C3</f>
        <v>1800</v>
      </c>
      <c r="F3" s="16">
        <f t="shared" ref="F3:F38" si="1">G3+H3+I3+J3+K3+L3+M3+N3</f>
        <v>8</v>
      </c>
      <c r="G3" s="17">
        <v>4</v>
      </c>
      <c r="H3" s="5">
        <v>4</v>
      </c>
      <c r="I3" s="5"/>
      <c r="J3" s="5"/>
      <c r="K3" s="5"/>
      <c r="L3" s="5"/>
      <c r="M3" s="5"/>
      <c r="N3" s="5"/>
      <c r="O3" s="16">
        <f t="shared" ref="O3:O38" si="2">E3*F3/1000</f>
        <v>14.4</v>
      </c>
      <c r="P3" s="16" t="s">
        <v>503</v>
      </c>
      <c r="Q3" s="18" t="s">
        <v>504</v>
      </c>
    </row>
    <row r="4" s="12" customFormat="1" ht="69" customHeight="1" spans="1:17">
      <c r="A4" s="16">
        <v>1</v>
      </c>
      <c r="B4" s="16"/>
      <c r="C4" s="16">
        <v>2100</v>
      </c>
      <c r="D4" s="16">
        <v>500</v>
      </c>
      <c r="E4" s="16">
        <f t="shared" si="0"/>
        <v>2100</v>
      </c>
      <c r="F4" s="16">
        <f t="shared" si="1"/>
        <v>8</v>
      </c>
      <c r="G4" s="17">
        <v>4</v>
      </c>
      <c r="H4" s="5">
        <v>4</v>
      </c>
      <c r="I4" s="5"/>
      <c r="J4" s="5"/>
      <c r="K4" s="5"/>
      <c r="L4" s="5"/>
      <c r="M4" s="5"/>
      <c r="N4" s="5"/>
      <c r="O4" s="16">
        <f t="shared" si="2"/>
        <v>16.8</v>
      </c>
      <c r="P4" s="16" t="s">
        <v>503</v>
      </c>
      <c r="Q4" s="18" t="s">
        <v>504</v>
      </c>
    </row>
    <row r="5" s="12" customFormat="1" ht="69" customHeight="1" spans="1:17">
      <c r="A5" s="16">
        <v>2</v>
      </c>
      <c r="B5" s="16"/>
      <c r="C5" s="16">
        <v>2250</v>
      </c>
      <c r="D5" s="16">
        <v>500</v>
      </c>
      <c r="E5" s="16">
        <f t="shared" si="0"/>
        <v>2250</v>
      </c>
      <c r="F5" s="16">
        <f t="shared" si="1"/>
        <v>6</v>
      </c>
      <c r="G5" s="17">
        <v>2</v>
      </c>
      <c r="H5" s="5">
        <v>2</v>
      </c>
      <c r="I5" s="5">
        <v>2</v>
      </c>
      <c r="J5" s="5"/>
      <c r="K5" s="5"/>
      <c r="L5" s="5"/>
      <c r="M5" s="5"/>
      <c r="N5" s="5"/>
      <c r="O5" s="16">
        <f t="shared" si="2"/>
        <v>13.5</v>
      </c>
      <c r="P5" s="16" t="s">
        <v>503</v>
      </c>
      <c r="Q5" s="18"/>
    </row>
    <row r="6" s="12" customFormat="1" ht="77" customHeight="1" spans="1:17">
      <c r="A6" s="16">
        <v>3</v>
      </c>
      <c r="B6" s="16"/>
      <c r="C6" s="16" t="s">
        <v>505</v>
      </c>
      <c r="D6" s="16">
        <v>500</v>
      </c>
      <c r="E6" s="16">
        <v>3670</v>
      </c>
      <c r="F6" s="16">
        <f t="shared" si="1"/>
        <v>6</v>
      </c>
      <c r="G6" s="17">
        <v>2</v>
      </c>
      <c r="H6" s="5">
        <v>2</v>
      </c>
      <c r="I6" s="5">
        <v>2</v>
      </c>
      <c r="J6" s="5"/>
      <c r="K6" s="5"/>
      <c r="L6" s="5"/>
      <c r="M6" s="5"/>
      <c r="N6" s="5"/>
      <c r="O6" s="16">
        <f t="shared" si="2"/>
        <v>22.02</v>
      </c>
      <c r="P6" s="16" t="s">
        <v>503</v>
      </c>
      <c r="Q6" s="18"/>
    </row>
    <row r="7" s="12" customFormat="1" ht="58" customHeight="1" spans="1:17">
      <c r="A7" s="16">
        <v>4</v>
      </c>
      <c r="B7" s="16"/>
      <c r="C7" s="16">
        <v>2700</v>
      </c>
      <c r="D7" s="16">
        <v>500</v>
      </c>
      <c r="E7" s="16">
        <f t="shared" si="0"/>
        <v>2700</v>
      </c>
      <c r="F7" s="16">
        <f t="shared" si="1"/>
        <v>4</v>
      </c>
      <c r="G7" s="17">
        <v>2</v>
      </c>
      <c r="H7" s="5">
        <v>2</v>
      </c>
      <c r="I7" s="5"/>
      <c r="J7" s="5"/>
      <c r="K7" s="5"/>
      <c r="L7" s="5"/>
      <c r="M7" s="5"/>
      <c r="N7" s="5"/>
      <c r="O7" s="16">
        <f t="shared" si="2"/>
        <v>10.8</v>
      </c>
      <c r="P7" s="16" t="s">
        <v>503</v>
      </c>
      <c r="Q7" s="18"/>
    </row>
    <row r="8" s="12" customFormat="1" ht="76" customHeight="1" spans="1:17">
      <c r="A8" s="16">
        <v>5</v>
      </c>
      <c r="B8" s="16"/>
      <c r="C8" s="16">
        <v>2700</v>
      </c>
      <c r="D8" s="16">
        <v>500</v>
      </c>
      <c r="E8" s="16">
        <f t="shared" si="0"/>
        <v>2700</v>
      </c>
      <c r="F8" s="16">
        <f t="shared" si="1"/>
        <v>8</v>
      </c>
      <c r="G8" s="17">
        <v>8</v>
      </c>
      <c r="H8" s="5"/>
      <c r="I8" s="5"/>
      <c r="J8" s="5"/>
      <c r="K8" s="5"/>
      <c r="L8" s="5"/>
      <c r="M8" s="5"/>
      <c r="N8" s="5"/>
      <c r="O8" s="16">
        <f t="shared" si="2"/>
        <v>21.6</v>
      </c>
      <c r="P8" s="16" t="s">
        <v>503</v>
      </c>
      <c r="Q8" s="18"/>
    </row>
    <row r="9" s="12" customFormat="1" ht="76" customHeight="1" spans="1:17">
      <c r="A9" s="16"/>
      <c r="B9" s="16"/>
      <c r="C9" s="16">
        <v>2700</v>
      </c>
      <c r="D9" s="16">
        <v>1100</v>
      </c>
      <c r="E9" s="16">
        <f t="shared" si="0"/>
        <v>2700</v>
      </c>
      <c r="F9" s="16">
        <f t="shared" si="1"/>
        <v>8</v>
      </c>
      <c r="G9" s="17"/>
      <c r="H9" s="5">
        <v>8</v>
      </c>
      <c r="I9" s="5"/>
      <c r="J9" s="5"/>
      <c r="K9" s="5"/>
      <c r="L9" s="5"/>
      <c r="M9" s="5"/>
      <c r="N9" s="5"/>
      <c r="O9" s="16">
        <f t="shared" si="2"/>
        <v>21.6</v>
      </c>
      <c r="P9" s="16" t="s">
        <v>503</v>
      </c>
      <c r="Q9" s="18" t="s">
        <v>504</v>
      </c>
    </row>
    <row r="10" s="12" customFormat="1" ht="76" customHeight="1" spans="1:17">
      <c r="A10" s="16"/>
      <c r="B10" s="16"/>
      <c r="C10" s="16">
        <v>2700</v>
      </c>
      <c r="D10" s="16">
        <v>1000</v>
      </c>
      <c r="E10" s="16">
        <f t="shared" si="0"/>
        <v>2700</v>
      </c>
      <c r="F10" s="16">
        <f t="shared" si="1"/>
        <v>8</v>
      </c>
      <c r="G10" s="17"/>
      <c r="H10" s="5"/>
      <c r="I10" s="5">
        <v>8</v>
      </c>
      <c r="J10" s="5"/>
      <c r="K10" s="5"/>
      <c r="L10" s="5"/>
      <c r="M10" s="5"/>
      <c r="N10" s="5"/>
      <c r="O10" s="16">
        <f t="shared" si="2"/>
        <v>21.6</v>
      </c>
      <c r="P10" s="16" t="s">
        <v>503</v>
      </c>
      <c r="Q10" s="18" t="s">
        <v>504</v>
      </c>
    </row>
    <row r="11" s="12" customFormat="1" ht="65" customHeight="1" spans="1:17">
      <c r="A11" s="16">
        <v>6</v>
      </c>
      <c r="B11" s="16"/>
      <c r="C11" s="16">
        <v>1450</v>
      </c>
      <c r="D11" s="16">
        <v>300</v>
      </c>
      <c r="E11" s="16">
        <f t="shared" si="0"/>
        <v>1450</v>
      </c>
      <c r="F11" s="16">
        <f t="shared" si="1"/>
        <v>6</v>
      </c>
      <c r="G11" s="17">
        <v>2</v>
      </c>
      <c r="H11" s="5">
        <v>2</v>
      </c>
      <c r="I11" s="5">
        <v>2</v>
      </c>
      <c r="J11" s="5"/>
      <c r="K11" s="5"/>
      <c r="L11" s="5"/>
      <c r="M11" s="5"/>
      <c r="N11" s="5"/>
      <c r="O11" s="16">
        <f t="shared" si="2"/>
        <v>8.7</v>
      </c>
      <c r="P11" s="16" t="s">
        <v>506</v>
      </c>
      <c r="Q11" s="18"/>
    </row>
    <row r="12" s="12" customFormat="1" ht="68" customHeight="1" spans="1:17">
      <c r="A12" s="16">
        <v>7</v>
      </c>
      <c r="B12" s="16"/>
      <c r="C12" s="16">
        <v>1400</v>
      </c>
      <c r="D12" s="16">
        <v>300</v>
      </c>
      <c r="E12" s="16">
        <f t="shared" si="0"/>
        <v>1400</v>
      </c>
      <c r="F12" s="16">
        <f t="shared" si="1"/>
        <v>6</v>
      </c>
      <c r="G12" s="17">
        <v>2</v>
      </c>
      <c r="H12" s="5">
        <v>2</v>
      </c>
      <c r="I12" s="5">
        <v>2</v>
      </c>
      <c r="J12" s="5"/>
      <c r="K12" s="5"/>
      <c r="L12" s="5"/>
      <c r="M12" s="5"/>
      <c r="N12" s="5"/>
      <c r="O12" s="16">
        <f t="shared" si="2"/>
        <v>8.4</v>
      </c>
      <c r="P12" s="16" t="s">
        <v>506</v>
      </c>
      <c r="Q12" s="18"/>
    </row>
    <row r="13" s="12" customFormat="1" ht="72" customHeight="1" spans="1:17">
      <c r="A13" s="16">
        <v>8</v>
      </c>
      <c r="B13" s="16"/>
      <c r="C13" s="16">
        <v>2500</v>
      </c>
      <c r="D13" s="16">
        <v>300</v>
      </c>
      <c r="E13" s="16">
        <f t="shared" si="0"/>
        <v>2500</v>
      </c>
      <c r="F13" s="16">
        <f t="shared" si="1"/>
        <v>48</v>
      </c>
      <c r="G13" s="17">
        <v>16</v>
      </c>
      <c r="H13" s="5">
        <v>16</v>
      </c>
      <c r="I13" s="5">
        <v>16</v>
      </c>
      <c r="J13" s="5"/>
      <c r="K13" s="5"/>
      <c r="L13" s="5"/>
      <c r="M13" s="5"/>
      <c r="N13" s="5"/>
      <c r="O13" s="16">
        <f t="shared" si="2"/>
        <v>120</v>
      </c>
      <c r="P13" s="16" t="s">
        <v>506</v>
      </c>
      <c r="Q13" s="18"/>
    </row>
    <row r="14" s="12" customFormat="1" ht="65" customHeight="1" spans="1:17">
      <c r="A14" s="16">
        <v>9</v>
      </c>
      <c r="B14" s="16"/>
      <c r="C14" s="16" t="s">
        <v>507</v>
      </c>
      <c r="D14" s="16">
        <v>500</v>
      </c>
      <c r="E14" s="16">
        <v>5400</v>
      </c>
      <c r="F14" s="16">
        <f t="shared" si="1"/>
        <v>2</v>
      </c>
      <c r="G14" s="17"/>
      <c r="H14" s="17">
        <v>2</v>
      </c>
      <c r="I14" s="5"/>
      <c r="J14" s="5"/>
      <c r="K14" s="5"/>
      <c r="L14" s="5"/>
      <c r="M14" s="5"/>
      <c r="N14" s="5"/>
      <c r="O14" s="16">
        <f t="shared" si="2"/>
        <v>10.8</v>
      </c>
      <c r="P14" s="16" t="s">
        <v>508</v>
      </c>
      <c r="Q14" s="18"/>
    </row>
    <row r="15" s="12" customFormat="1" ht="65" customHeight="1" spans="1:17">
      <c r="A15" s="16"/>
      <c r="B15" s="16"/>
      <c r="C15" s="16" t="s">
        <v>509</v>
      </c>
      <c r="D15" s="16">
        <v>1000</v>
      </c>
      <c r="E15" s="16">
        <v>6850</v>
      </c>
      <c r="F15" s="16">
        <f t="shared" si="1"/>
        <v>76</v>
      </c>
      <c r="G15" s="17"/>
      <c r="H15" s="17"/>
      <c r="I15" s="5"/>
      <c r="J15" s="5">
        <v>4</v>
      </c>
      <c r="K15" s="5">
        <v>4</v>
      </c>
      <c r="L15" s="5">
        <v>36</v>
      </c>
      <c r="M15" s="5">
        <v>32</v>
      </c>
      <c r="N15" s="5"/>
      <c r="O15" s="16">
        <f t="shared" si="2"/>
        <v>520.6</v>
      </c>
      <c r="P15" s="16" t="s">
        <v>508</v>
      </c>
      <c r="Q15" s="18"/>
    </row>
    <row r="16" s="12" customFormat="1" ht="65" customHeight="1" spans="1:17">
      <c r="A16" s="16"/>
      <c r="B16" s="16"/>
      <c r="C16" s="16" t="s">
        <v>509</v>
      </c>
      <c r="D16" s="16">
        <v>1100</v>
      </c>
      <c r="E16" s="16">
        <v>6850</v>
      </c>
      <c r="F16" s="16">
        <f t="shared" si="1"/>
        <v>4</v>
      </c>
      <c r="G16" s="17"/>
      <c r="H16" s="17"/>
      <c r="I16" s="5"/>
      <c r="J16" s="5"/>
      <c r="K16" s="5"/>
      <c r="L16" s="5"/>
      <c r="M16" s="5"/>
      <c r="N16" s="5">
        <v>4</v>
      </c>
      <c r="O16" s="16">
        <f t="shared" si="2"/>
        <v>27.4</v>
      </c>
      <c r="P16" s="16" t="s">
        <v>508</v>
      </c>
      <c r="Q16" s="18"/>
    </row>
    <row r="17" s="12" customFormat="1" ht="84" customHeight="1" spans="1:17">
      <c r="A17" s="16"/>
      <c r="B17" s="16"/>
      <c r="C17" s="16">
        <v>1800</v>
      </c>
      <c r="D17" s="16">
        <v>1100</v>
      </c>
      <c r="E17" s="16">
        <f t="shared" ref="E17:E29" si="3">C17</f>
        <v>1800</v>
      </c>
      <c r="F17" s="16">
        <f t="shared" si="1"/>
        <v>4</v>
      </c>
      <c r="G17" s="17"/>
      <c r="H17" s="17"/>
      <c r="I17" s="5"/>
      <c r="J17" s="5"/>
      <c r="K17" s="5"/>
      <c r="L17" s="5"/>
      <c r="M17" s="5"/>
      <c r="N17" s="5">
        <v>4</v>
      </c>
      <c r="O17" s="16">
        <f t="shared" si="2"/>
        <v>7.2</v>
      </c>
      <c r="P17" s="16" t="s">
        <v>510</v>
      </c>
      <c r="Q17" s="18"/>
    </row>
    <row r="18" s="12" customFormat="1" ht="65" customHeight="1" spans="1:17">
      <c r="A18" s="16"/>
      <c r="B18" s="16"/>
      <c r="C18" s="16">
        <v>1340</v>
      </c>
      <c r="D18" s="16">
        <v>1000</v>
      </c>
      <c r="E18" s="16">
        <f t="shared" si="3"/>
        <v>1340</v>
      </c>
      <c r="F18" s="16">
        <f t="shared" si="1"/>
        <v>76</v>
      </c>
      <c r="G18" s="17"/>
      <c r="H18" s="17"/>
      <c r="I18" s="5"/>
      <c r="J18" s="5">
        <v>4</v>
      </c>
      <c r="K18" s="5">
        <v>4</v>
      </c>
      <c r="L18" s="5">
        <v>36</v>
      </c>
      <c r="M18" s="5">
        <v>32</v>
      </c>
      <c r="N18" s="5"/>
      <c r="O18" s="16">
        <f t="shared" si="2"/>
        <v>101.84</v>
      </c>
      <c r="P18" s="16" t="s">
        <v>511</v>
      </c>
      <c r="Q18" s="18"/>
    </row>
    <row r="19" s="12" customFormat="1" ht="76" customHeight="1" spans="1:17">
      <c r="A19" s="16"/>
      <c r="B19" s="16"/>
      <c r="C19" s="16">
        <v>1340</v>
      </c>
      <c r="D19" s="16">
        <v>1100</v>
      </c>
      <c r="E19" s="16">
        <f t="shared" si="3"/>
        <v>1340</v>
      </c>
      <c r="F19" s="16">
        <f t="shared" si="1"/>
        <v>4</v>
      </c>
      <c r="G19" s="17"/>
      <c r="H19" s="17"/>
      <c r="I19" s="5"/>
      <c r="J19" s="5"/>
      <c r="K19" s="5"/>
      <c r="L19" s="5"/>
      <c r="M19" s="5"/>
      <c r="N19" s="5">
        <v>4</v>
      </c>
      <c r="O19" s="16">
        <f t="shared" si="2"/>
        <v>5.36</v>
      </c>
      <c r="P19" s="16" t="s">
        <v>511</v>
      </c>
      <c r="Q19" s="18"/>
    </row>
    <row r="20" s="12" customFormat="1" ht="65" customHeight="1" spans="1:17">
      <c r="A20" s="16"/>
      <c r="B20" s="16"/>
      <c r="C20" s="16">
        <v>2000</v>
      </c>
      <c r="D20" s="16">
        <v>1000</v>
      </c>
      <c r="E20" s="16">
        <f t="shared" si="3"/>
        <v>2000</v>
      </c>
      <c r="F20" s="16">
        <f t="shared" si="1"/>
        <v>38</v>
      </c>
      <c r="G20" s="17"/>
      <c r="H20" s="17"/>
      <c r="I20" s="5"/>
      <c r="J20" s="5">
        <v>2</v>
      </c>
      <c r="K20" s="5">
        <v>2</v>
      </c>
      <c r="L20" s="5">
        <v>18</v>
      </c>
      <c r="M20" s="5">
        <v>16</v>
      </c>
      <c r="N20" s="5"/>
      <c r="O20" s="16">
        <f t="shared" si="2"/>
        <v>76</v>
      </c>
      <c r="P20" s="16" t="s">
        <v>508</v>
      </c>
      <c r="Q20" s="18"/>
    </row>
    <row r="21" s="12" customFormat="1" ht="84" customHeight="1" spans="1:17">
      <c r="A21" s="16"/>
      <c r="B21" s="16"/>
      <c r="C21" s="16">
        <v>2000</v>
      </c>
      <c r="D21" s="16">
        <v>1100</v>
      </c>
      <c r="E21" s="16">
        <f t="shared" si="3"/>
        <v>2000</v>
      </c>
      <c r="F21" s="16">
        <f t="shared" si="1"/>
        <v>2</v>
      </c>
      <c r="G21" s="17"/>
      <c r="H21" s="17"/>
      <c r="I21" s="5"/>
      <c r="J21" s="5"/>
      <c r="K21" s="5"/>
      <c r="L21" s="5"/>
      <c r="M21" s="5"/>
      <c r="N21" s="5">
        <v>2</v>
      </c>
      <c r="O21" s="16">
        <f t="shared" si="2"/>
        <v>4</v>
      </c>
      <c r="P21" s="16" t="s">
        <v>508</v>
      </c>
      <c r="Q21" s="18"/>
    </row>
    <row r="22" s="12" customFormat="1" ht="65" customHeight="1" spans="1:17">
      <c r="A22" s="16"/>
      <c r="B22" s="16"/>
      <c r="C22" s="16">
        <v>2500</v>
      </c>
      <c r="D22" s="16">
        <v>1000</v>
      </c>
      <c r="E22" s="16">
        <f t="shared" si="3"/>
        <v>2500</v>
      </c>
      <c r="F22" s="16">
        <f t="shared" si="1"/>
        <v>38</v>
      </c>
      <c r="G22" s="17"/>
      <c r="H22" s="17"/>
      <c r="I22" s="5"/>
      <c r="J22" s="5">
        <v>2</v>
      </c>
      <c r="K22" s="5">
        <v>2</v>
      </c>
      <c r="L22" s="5">
        <v>18</v>
      </c>
      <c r="M22" s="5">
        <v>16</v>
      </c>
      <c r="N22" s="5"/>
      <c r="O22" s="16">
        <f t="shared" si="2"/>
        <v>95</v>
      </c>
      <c r="P22" s="16" t="s">
        <v>508</v>
      </c>
      <c r="Q22" s="18"/>
    </row>
    <row r="23" s="12" customFormat="1" ht="65" customHeight="1" spans="1:17">
      <c r="A23" s="16"/>
      <c r="B23" s="16"/>
      <c r="C23" s="16">
        <v>2500</v>
      </c>
      <c r="D23" s="16">
        <v>1100</v>
      </c>
      <c r="E23" s="16">
        <f t="shared" si="3"/>
        <v>2500</v>
      </c>
      <c r="F23" s="16">
        <f t="shared" si="1"/>
        <v>2</v>
      </c>
      <c r="G23" s="17"/>
      <c r="H23" s="17"/>
      <c r="I23" s="5"/>
      <c r="J23" s="5"/>
      <c r="K23" s="5"/>
      <c r="L23" s="5"/>
      <c r="M23" s="5"/>
      <c r="N23" s="5">
        <v>2</v>
      </c>
      <c r="O23" s="16">
        <f t="shared" si="2"/>
        <v>5</v>
      </c>
      <c r="P23" s="16" t="s">
        <v>508</v>
      </c>
      <c r="Q23" s="18"/>
    </row>
    <row r="24" s="12" customFormat="1" ht="65" customHeight="1" spans="1:17">
      <c r="A24" s="16"/>
      <c r="B24" s="16"/>
      <c r="C24" s="16">
        <v>1500</v>
      </c>
      <c r="D24" s="16">
        <v>1000</v>
      </c>
      <c r="E24" s="16">
        <f t="shared" si="3"/>
        <v>1500</v>
      </c>
      <c r="F24" s="16">
        <f t="shared" si="1"/>
        <v>36</v>
      </c>
      <c r="G24" s="17"/>
      <c r="H24" s="17"/>
      <c r="I24" s="5"/>
      <c r="J24" s="5"/>
      <c r="K24" s="5">
        <v>2</v>
      </c>
      <c r="L24" s="5">
        <v>18</v>
      </c>
      <c r="M24" s="5">
        <v>16</v>
      </c>
      <c r="N24" s="5"/>
      <c r="O24" s="16">
        <f t="shared" si="2"/>
        <v>54</v>
      </c>
      <c r="P24" s="16" t="s">
        <v>508</v>
      </c>
      <c r="Q24" s="18"/>
    </row>
    <row r="25" s="12" customFormat="1" ht="65" customHeight="1" spans="1:17">
      <c r="A25" s="16"/>
      <c r="B25" s="16"/>
      <c r="C25" s="16">
        <v>1500</v>
      </c>
      <c r="D25" s="16">
        <v>1100</v>
      </c>
      <c r="E25" s="16">
        <f t="shared" si="3"/>
        <v>1500</v>
      </c>
      <c r="F25" s="16">
        <f t="shared" si="1"/>
        <v>2</v>
      </c>
      <c r="G25" s="17"/>
      <c r="H25" s="17"/>
      <c r="I25" s="5"/>
      <c r="J25" s="5"/>
      <c r="K25" s="5"/>
      <c r="L25" s="5"/>
      <c r="M25" s="5"/>
      <c r="N25" s="5">
        <v>2</v>
      </c>
      <c r="O25" s="16">
        <f t="shared" si="2"/>
        <v>3</v>
      </c>
      <c r="P25" s="16" t="s">
        <v>508</v>
      </c>
      <c r="Q25" s="18"/>
    </row>
    <row r="26" s="12" customFormat="1" ht="65" customHeight="1" spans="1:17">
      <c r="A26" s="16"/>
      <c r="B26" s="16"/>
      <c r="C26" s="16">
        <v>1600</v>
      </c>
      <c r="D26" s="16">
        <v>1000</v>
      </c>
      <c r="E26" s="16">
        <f t="shared" si="3"/>
        <v>1600</v>
      </c>
      <c r="F26" s="16">
        <f t="shared" si="1"/>
        <v>18</v>
      </c>
      <c r="G26" s="17"/>
      <c r="H26" s="17"/>
      <c r="I26" s="5"/>
      <c r="J26" s="5"/>
      <c r="K26" s="5">
        <v>2</v>
      </c>
      <c r="L26" s="5"/>
      <c r="M26" s="5">
        <v>16</v>
      </c>
      <c r="N26" s="5"/>
      <c r="O26" s="16">
        <f t="shared" si="2"/>
        <v>28.8</v>
      </c>
      <c r="P26" s="16" t="s">
        <v>512</v>
      </c>
      <c r="Q26" s="18"/>
    </row>
    <row r="27" s="12" customFormat="1" ht="65" customHeight="1" spans="1:17">
      <c r="A27" s="16"/>
      <c r="B27" s="16"/>
      <c r="C27" s="16">
        <v>1600</v>
      </c>
      <c r="D27" s="16">
        <v>1100</v>
      </c>
      <c r="E27" s="16">
        <f t="shared" si="3"/>
        <v>1600</v>
      </c>
      <c r="F27" s="16">
        <f t="shared" si="1"/>
        <v>2</v>
      </c>
      <c r="G27" s="17"/>
      <c r="H27" s="17"/>
      <c r="I27" s="5"/>
      <c r="J27" s="5"/>
      <c r="K27" s="5"/>
      <c r="L27" s="5"/>
      <c r="M27" s="5"/>
      <c r="N27" s="5">
        <v>2</v>
      </c>
      <c r="O27" s="16">
        <f t="shared" si="2"/>
        <v>3.2</v>
      </c>
      <c r="P27" s="16" t="s">
        <v>512</v>
      </c>
      <c r="Q27" s="18"/>
    </row>
    <row r="28" s="12" customFormat="1" ht="65" customHeight="1" spans="1:17">
      <c r="A28" s="16"/>
      <c r="B28" s="16"/>
      <c r="C28" s="16">
        <v>1000</v>
      </c>
      <c r="D28" s="16">
        <v>1000</v>
      </c>
      <c r="E28" s="16">
        <f t="shared" si="3"/>
        <v>1000</v>
      </c>
      <c r="F28" s="16">
        <f t="shared" si="1"/>
        <v>38</v>
      </c>
      <c r="G28" s="17"/>
      <c r="H28" s="17"/>
      <c r="I28" s="5"/>
      <c r="J28" s="5">
        <v>2</v>
      </c>
      <c r="K28" s="5">
        <v>2</v>
      </c>
      <c r="L28" s="5">
        <v>18</v>
      </c>
      <c r="M28" s="5">
        <v>16</v>
      </c>
      <c r="N28" s="5"/>
      <c r="O28" s="16">
        <f t="shared" si="2"/>
        <v>38</v>
      </c>
      <c r="P28" s="16" t="s">
        <v>508</v>
      </c>
      <c r="Q28" s="18"/>
    </row>
    <row r="29" s="12" customFormat="1" ht="74" customHeight="1" spans="1:17">
      <c r="A29" s="16"/>
      <c r="B29" s="16"/>
      <c r="C29" s="16">
        <v>1000</v>
      </c>
      <c r="D29" s="16">
        <v>1100</v>
      </c>
      <c r="E29" s="16">
        <f t="shared" si="3"/>
        <v>1000</v>
      </c>
      <c r="F29" s="16">
        <f t="shared" si="1"/>
        <v>2</v>
      </c>
      <c r="G29" s="17"/>
      <c r="H29" s="17"/>
      <c r="I29" s="5"/>
      <c r="J29" s="5"/>
      <c r="K29" s="5"/>
      <c r="L29" s="5"/>
      <c r="M29" s="5"/>
      <c r="N29" s="5">
        <v>2</v>
      </c>
      <c r="O29" s="16">
        <f t="shared" si="2"/>
        <v>2</v>
      </c>
      <c r="P29" s="16" t="s">
        <v>508</v>
      </c>
      <c r="Q29" s="18"/>
    </row>
    <row r="30" s="12" customFormat="1" ht="74" customHeight="1" spans="1:17">
      <c r="A30" s="16"/>
      <c r="B30" s="16"/>
      <c r="C30" s="16" t="s">
        <v>513</v>
      </c>
      <c r="D30" s="16">
        <v>600</v>
      </c>
      <c r="E30" s="16">
        <v>2850</v>
      </c>
      <c r="F30" s="16">
        <f t="shared" si="1"/>
        <v>40</v>
      </c>
      <c r="G30" s="17"/>
      <c r="H30" s="17"/>
      <c r="I30" s="5"/>
      <c r="J30" s="5">
        <v>2</v>
      </c>
      <c r="K30" s="5">
        <v>2</v>
      </c>
      <c r="L30" s="5">
        <v>18</v>
      </c>
      <c r="M30" s="5">
        <v>16</v>
      </c>
      <c r="N30" s="5">
        <v>2</v>
      </c>
      <c r="O30" s="16">
        <f t="shared" si="2"/>
        <v>114</v>
      </c>
      <c r="P30" s="16" t="s">
        <v>511</v>
      </c>
      <c r="Q30" s="18"/>
    </row>
    <row r="31" s="12" customFormat="1" ht="87" customHeight="1" spans="1:17">
      <c r="A31" s="16"/>
      <c r="B31" s="16"/>
      <c r="C31" s="16" t="s">
        <v>514</v>
      </c>
      <c r="D31" s="16">
        <v>900</v>
      </c>
      <c r="E31" s="16">
        <v>3200</v>
      </c>
      <c r="F31" s="16">
        <f t="shared" si="1"/>
        <v>40</v>
      </c>
      <c r="G31" s="17"/>
      <c r="H31" s="17"/>
      <c r="I31" s="5"/>
      <c r="J31" s="5">
        <v>2</v>
      </c>
      <c r="K31" s="5">
        <v>2</v>
      </c>
      <c r="L31" s="5">
        <v>18</v>
      </c>
      <c r="M31" s="5">
        <v>16</v>
      </c>
      <c r="N31" s="5">
        <v>2</v>
      </c>
      <c r="O31" s="16">
        <f t="shared" si="2"/>
        <v>128</v>
      </c>
      <c r="P31" s="16" t="s">
        <v>515</v>
      </c>
      <c r="Q31" s="18"/>
    </row>
    <row r="32" s="12" customFormat="1" ht="90" customHeight="1" spans="1:17">
      <c r="A32" s="16"/>
      <c r="B32" s="16"/>
      <c r="C32" s="16">
        <v>1450</v>
      </c>
      <c r="D32" s="16">
        <v>900</v>
      </c>
      <c r="E32" s="16">
        <f t="shared" ref="E32:E38" si="4">C32</f>
        <v>1450</v>
      </c>
      <c r="F32" s="16">
        <f t="shared" si="1"/>
        <v>40</v>
      </c>
      <c r="G32" s="17"/>
      <c r="H32" s="17"/>
      <c r="I32" s="5"/>
      <c r="J32" s="5">
        <v>2</v>
      </c>
      <c r="K32" s="5">
        <v>2</v>
      </c>
      <c r="L32" s="5">
        <v>18</v>
      </c>
      <c r="M32" s="5">
        <v>16</v>
      </c>
      <c r="N32" s="5">
        <v>2</v>
      </c>
      <c r="O32" s="16">
        <f t="shared" si="2"/>
        <v>58</v>
      </c>
      <c r="P32" s="16" t="s">
        <v>515</v>
      </c>
      <c r="Q32" s="18"/>
    </row>
    <row r="33" s="12" customFormat="1" ht="65" customHeight="1" spans="1:17">
      <c r="A33" s="16"/>
      <c r="B33" s="16"/>
      <c r="C33" s="16">
        <v>2900</v>
      </c>
      <c r="D33" s="16">
        <v>300</v>
      </c>
      <c r="E33" s="16">
        <f t="shared" si="4"/>
        <v>2900</v>
      </c>
      <c r="F33" s="16">
        <f t="shared" si="1"/>
        <v>2</v>
      </c>
      <c r="G33" s="17"/>
      <c r="H33" s="17"/>
      <c r="I33" s="5"/>
      <c r="J33" s="5">
        <v>2</v>
      </c>
      <c r="K33" s="5"/>
      <c r="L33" s="5"/>
      <c r="M33" s="5"/>
      <c r="N33" s="5"/>
      <c r="O33" s="16">
        <f t="shared" si="2"/>
        <v>5.8</v>
      </c>
      <c r="P33" s="16" t="s">
        <v>506</v>
      </c>
      <c r="Q33" s="18"/>
    </row>
    <row r="34" s="12" customFormat="1" ht="65" customHeight="1" spans="1:17">
      <c r="A34" s="16"/>
      <c r="B34" s="16"/>
      <c r="C34" s="16">
        <v>2700</v>
      </c>
      <c r="D34" s="16">
        <v>300</v>
      </c>
      <c r="E34" s="16">
        <f t="shared" si="4"/>
        <v>2700</v>
      </c>
      <c r="F34" s="16">
        <f t="shared" si="1"/>
        <v>2</v>
      </c>
      <c r="G34" s="17"/>
      <c r="H34" s="17"/>
      <c r="I34" s="5"/>
      <c r="J34" s="5">
        <v>2</v>
      </c>
      <c r="K34" s="5"/>
      <c r="L34" s="5"/>
      <c r="M34" s="5"/>
      <c r="N34" s="5"/>
      <c r="O34" s="16">
        <f t="shared" si="2"/>
        <v>5.4</v>
      </c>
      <c r="P34" s="16" t="s">
        <v>506</v>
      </c>
      <c r="Q34" s="18"/>
    </row>
    <row r="35" s="12" customFormat="1" ht="88" customHeight="1" spans="1:17">
      <c r="A35" s="16"/>
      <c r="B35" s="16"/>
      <c r="C35" s="16">
        <v>2900</v>
      </c>
      <c r="D35" s="16">
        <v>350</v>
      </c>
      <c r="E35" s="16">
        <f t="shared" si="4"/>
        <v>2900</v>
      </c>
      <c r="F35" s="16">
        <f t="shared" si="1"/>
        <v>36</v>
      </c>
      <c r="G35" s="17"/>
      <c r="H35" s="17"/>
      <c r="I35" s="17"/>
      <c r="J35" s="5"/>
      <c r="K35" s="5">
        <v>2</v>
      </c>
      <c r="L35" s="5">
        <v>18</v>
      </c>
      <c r="M35" s="5">
        <v>16</v>
      </c>
      <c r="N35" s="5"/>
      <c r="O35" s="16">
        <f t="shared" si="2"/>
        <v>104.4</v>
      </c>
      <c r="P35" s="16" t="s">
        <v>506</v>
      </c>
      <c r="Q35" s="18"/>
    </row>
    <row r="36" s="12" customFormat="1" ht="88" customHeight="1" spans="1:17">
      <c r="A36" s="16"/>
      <c r="B36" s="16"/>
      <c r="C36" s="16">
        <v>2700</v>
      </c>
      <c r="D36" s="16">
        <v>350</v>
      </c>
      <c r="E36" s="16">
        <f t="shared" si="4"/>
        <v>2700</v>
      </c>
      <c r="F36" s="16">
        <f t="shared" si="1"/>
        <v>36</v>
      </c>
      <c r="G36" s="17"/>
      <c r="H36" s="17"/>
      <c r="I36" s="17"/>
      <c r="J36" s="5"/>
      <c r="K36" s="5">
        <v>2</v>
      </c>
      <c r="L36" s="5">
        <v>18</v>
      </c>
      <c r="M36" s="5">
        <v>16</v>
      </c>
      <c r="N36" s="5"/>
      <c r="O36" s="16">
        <f t="shared" si="2"/>
        <v>97.2</v>
      </c>
      <c r="P36" s="16" t="s">
        <v>506</v>
      </c>
      <c r="Q36" s="18"/>
    </row>
    <row r="37" s="12" customFormat="1" ht="88" customHeight="1" spans="1:17">
      <c r="A37" s="16"/>
      <c r="B37" s="16"/>
      <c r="C37" s="16">
        <v>2900</v>
      </c>
      <c r="D37" s="16">
        <v>1100</v>
      </c>
      <c r="E37" s="16">
        <f t="shared" si="4"/>
        <v>2900</v>
      </c>
      <c r="F37" s="16">
        <f t="shared" si="1"/>
        <v>2</v>
      </c>
      <c r="G37" s="17"/>
      <c r="H37" s="17"/>
      <c r="I37" s="17"/>
      <c r="J37" s="5"/>
      <c r="K37" s="5"/>
      <c r="L37" s="5"/>
      <c r="M37" s="5"/>
      <c r="N37" s="5">
        <v>2</v>
      </c>
      <c r="O37" s="16">
        <f t="shared" si="2"/>
        <v>5.8</v>
      </c>
      <c r="P37" s="16" t="s">
        <v>510</v>
      </c>
      <c r="Q37" s="18"/>
    </row>
    <row r="38" s="12" customFormat="1" ht="88" customHeight="1" spans="1:17">
      <c r="A38" s="16"/>
      <c r="B38" s="16"/>
      <c r="C38" s="16">
        <v>2700</v>
      </c>
      <c r="D38" s="16">
        <v>1100</v>
      </c>
      <c r="E38" s="16">
        <f t="shared" si="4"/>
        <v>2700</v>
      </c>
      <c r="F38" s="16">
        <f t="shared" si="1"/>
        <v>2</v>
      </c>
      <c r="G38" s="17"/>
      <c r="H38" s="17"/>
      <c r="I38" s="17"/>
      <c r="J38" s="17"/>
      <c r="K38" s="5"/>
      <c r="L38" s="5"/>
      <c r="M38" s="5"/>
      <c r="N38" s="5">
        <v>2</v>
      </c>
      <c r="O38" s="16">
        <f t="shared" si="2"/>
        <v>5.4</v>
      </c>
      <c r="P38" s="16" t="s">
        <v>510</v>
      </c>
      <c r="Q38" s="18"/>
    </row>
    <row r="39" s="12" customFormat="1" ht="88" customHeight="1" spans="1:17">
      <c r="A39" s="16"/>
      <c r="B39" s="16"/>
      <c r="C39" s="16"/>
      <c r="D39" s="16"/>
      <c r="E39" s="16"/>
      <c r="F39" s="16">
        <f>SUM(F3:F38)</f>
        <v>660</v>
      </c>
      <c r="G39" s="17">
        <f t="shared" ref="G39:I39" si="5">SUM(G3:G14)</f>
        <v>42</v>
      </c>
      <c r="H39" s="17">
        <f t="shared" si="5"/>
        <v>44</v>
      </c>
      <c r="I39" s="17">
        <f t="shared" si="5"/>
        <v>32</v>
      </c>
      <c r="J39" s="17">
        <f>SUM(J3:J34)</f>
        <v>24</v>
      </c>
      <c r="K39" s="5">
        <f t="shared" ref="K39:M39" si="6">SUM(K3:K36)</f>
        <v>28</v>
      </c>
      <c r="L39" s="5">
        <f t="shared" si="6"/>
        <v>234</v>
      </c>
      <c r="M39" s="5">
        <f t="shared" si="6"/>
        <v>224</v>
      </c>
      <c r="N39" s="5">
        <f>SUM(N3:N38)</f>
        <v>32</v>
      </c>
      <c r="O39" s="16">
        <f>SUM(O3:O38)</f>
        <v>1785.62</v>
      </c>
      <c r="P39" s="16"/>
      <c r="Q39" s="18"/>
    </row>
  </sheetData>
  <mergeCells count="1">
    <mergeCell ref="G1:L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报价说明</vt:lpstr>
      <vt:lpstr>汇总表</vt:lpstr>
      <vt:lpstr>01门窗工程量清单清单</vt:lpstr>
      <vt:lpstr>栏杆工程量价格清单</vt:lpstr>
      <vt:lpstr>05工程量计算底稿你</vt:lpstr>
      <vt:lpstr>主要材料品牌单价</vt:lpstr>
      <vt:lpstr>五金配置表</vt:lpstr>
      <vt:lpstr>玻璃调整表</vt:lpstr>
      <vt:lpstr>栏杆工程量计算书</vt:lpstr>
      <vt:lpstr>百叶工程量计算书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心生便是罪生时</cp:lastModifiedBy>
  <dcterms:created xsi:type="dcterms:W3CDTF">2015-06-05T18:19:00Z</dcterms:created>
  <dcterms:modified xsi:type="dcterms:W3CDTF">2025-05-08T09:43:12Z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441A17233A75460C861E460FB8B45CBF_12</vt:lpwstr>
  </property>
  <property fmtid="{D5CDD505-2E9C-101B-9397-08002B2CF9AE}" pid="3" name="KSOProductBuildVer">
    <vt:lpwstr>2052-12.1.0.20784</vt:lpwstr>
  </property>
  <property fmtid="{D5CDD505-2E9C-101B-9397-08002B2CF9AE}" pid="4" name="KSOReadingLayout">
    <vt:bool>true</vt:bool>
  </property>
</Properties>
</file>