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结算目录" sheetId="7" r:id="rId1"/>
    <sheet name="结算汇总表" sheetId="8" r:id="rId2"/>
    <sheet name="结算明细表" sheetId="5" r:id="rId3"/>
    <sheet name="土建" sheetId="1" r:id="rId4"/>
    <sheet name="安装" sheetId="4" r:id="rId5"/>
    <sheet name="配管" sheetId="6" r:id="rId6"/>
  </sheets>
  <definedNames>
    <definedName name="_xlnm._FilterDatabase" localSheetId="3" hidden="1">土建!$A$2:$G$223</definedName>
    <definedName name="_xlnm.Print_Area" localSheetId="3">土建!$A$1:$G$223</definedName>
    <definedName name="_xlnm.Print_Area" localSheetId="4">安装!$A$1:$G$165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<sst xmlns="http://schemas.openxmlformats.org/spreadsheetml/2006/main" count="1308" uniqueCount="424">
  <si>
    <t>栾川山水文苑S1地块零星精装修工程结算资料存档目录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</si>
  <si>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</si>
  <si>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</si>
  <si>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</si>
  <si>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</si>
  <si>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</si>
  <si>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</si>
  <si>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栾川山水文苑S1地块零星精装修工程结算审批表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</si>
  <si>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</si>
  <si>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</si>
  <si>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</si>
  <si>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</si>
  <si>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</si>
  <si>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</si>
  <si>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</si>
  <si>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</si>
  <si>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</si>
  <si>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</si>
  <si>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1份17页</t>
  </si>
  <si>
    <t>第5-21页</t>
  </si>
  <si>
    <t>结算申请单</t>
  </si>
  <si>
    <t>第22页</t>
  </si>
  <si>
    <t>结算通知书</t>
  </si>
  <si>
    <t>第23页</t>
  </si>
  <si>
    <t>授权委托书</t>
  </si>
  <si>
    <t>第24页</t>
  </si>
  <si>
    <t>工程资料核对确认单</t>
  </si>
  <si>
    <t>第25页</t>
  </si>
  <si>
    <t>工程往来账目明细</t>
  </si>
  <si>
    <t>第26页</t>
  </si>
  <si>
    <t>验收单</t>
  </si>
  <si>
    <t>第27页</t>
  </si>
  <si>
    <t>工程结算工作交接单</t>
  </si>
  <si>
    <t>1份2页</t>
  </si>
  <si>
    <t>第28-29页</t>
  </si>
  <si>
    <t>水电费证明</t>
  </si>
  <si>
    <t>第30-31页</t>
  </si>
  <si>
    <t>签证</t>
  </si>
  <si>
    <t>1份7页</t>
  </si>
  <si>
    <t>第32-38页</t>
  </si>
  <si>
    <t>竣工图</t>
  </si>
  <si>
    <t>第39-76页</t>
  </si>
  <si>
    <t>栾川山水文苑S1地块零星精装修工程程审批表</t>
  </si>
  <si>
    <t>1份38页</t>
  </si>
  <si>
    <t>第52-43页</t>
  </si>
  <si>
    <t>施工单位报送资料</t>
  </si>
  <si>
    <t>若干</t>
  </si>
  <si>
    <t>造价师：</t>
  </si>
  <si>
    <t>日期：</t>
  </si>
  <si>
    <t>栾川山水文苑S1地块零星精装修工程结算汇总表</t>
  </si>
  <si>
    <t xml:space="preserve">合同编号：LCS1-JA-092                         合同金额：498509.79元 </t>
  </si>
  <si>
    <t>合同名称：栾川山水文苑S1地块零星精装修工程</t>
  </si>
  <si>
    <t>甲    方：栾川县浩德颐康文旅有限公司</t>
  </si>
  <si>
    <t>乙    方： 河南专晶建筑工程有限公司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</si>
  <si>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</si>
  <si>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</si>
  <si>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</si>
  <si>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</si>
  <si>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</si>
  <si>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</si>
  <si>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</si>
  <si>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</si>
  <si>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</si>
  <si>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</si>
  <si>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</si>
  <si>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</si>
  <si>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</si>
  <si>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</si>
  <si>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</si>
  <si>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</si>
  <si>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</si>
  <si>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</si>
  <si>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</si>
  <si>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</si>
  <si>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</si>
  <si>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</si>
  <si>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</si>
  <si>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</si>
  <si>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</si>
  <si>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</si>
  <si>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</si>
  <si>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</si>
  <si>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</si>
  <si>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</si>
  <si>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</si>
  <si>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</si>
  <si>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</si>
  <si>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零星装修合同清单汇总表</t>
  </si>
  <si>
    <t>单位</t>
  </si>
  <si>
    <t>单价（元）</t>
  </si>
  <si>
    <t>土建部分清单</t>
  </si>
  <si>
    <t>项</t>
  </si>
  <si>
    <t>安装部分清单</t>
  </si>
  <si>
    <t>发霉地下大堂门头处理</t>
  </si>
  <si>
    <t>此部分待维后，支付费用</t>
  </si>
  <si>
    <t>扣减16#楼瑕疵处理费用1250元，
16#楼浴霸替专晶安装3780元</t>
  </si>
  <si>
    <t>合计</t>
  </si>
  <si>
    <t>最终结算金额</t>
  </si>
  <si>
    <t>优惠取整含超5%报送金额审减费用</t>
  </si>
  <si>
    <t>甲方：</t>
  </si>
  <si>
    <t>乙方：</t>
  </si>
  <si>
    <t>栾川山水文苑s1地块（1-11#楼）零星精装修施工工程合同明细表</t>
  </si>
  <si>
    <t>工程量</t>
  </si>
  <si>
    <t>单价</t>
  </si>
  <si>
    <t>合价（元）</t>
  </si>
  <si>
    <t>一、</t>
  </si>
  <si>
    <t>1-11#楼地下车库入主楼大堂拆改及精装修</t>
  </si>
  <si>
    <t>1、</t>
  </si>
  <si>
    <t>3#楼西单元</t>
  </si>
  <si>
    <t>2、</t>
  </si>
  <si>
    <t>墙体拆除</t>
  </si>
  <si>
    <t>㎡</t>
  </si>
  <si>
    <t>顶板-5.85
底板-9.63
板厚250mm</t>
  </si>
  <si>
    <t>3、</t>
  </si>
  <si>
    <t>新建加气块墙体</t>
  </si>
  <si>
    <t>4、</t>
  </si>
  <si>
    <t>新建墙面抹灰</t>
  </si>
  <si>
    <t>5、</t>
  </si>
  <si>
    <t>新建轻钢龙骨墙体</t>
  </si>
  <si>
    <t>门上方轻钢龙骨 3.5-2.35</t>
  </si>
  <si>
    <t>6、</t>
  </si>
  <si>
    <t>石膏板吊顶</t>
  </si>
  <si>
    <t>7、</t>
  </si>
  <si>
    <t>顶面乳胶漆</t>
  </si>
  <si>
    <t>8、</t>
  </si>
  <si>
    <t>铝格栅吊顶40*60*0.7</t>
  </si>
  <si>
    <t>9、</t>
  </si>
  <si>
    <t>格栅边框含乳胶漆200*200(阻燃板基层、石膏板面层）</t>
  </si>
  <si>
    <t>m</t>
  </si>
  <si>
    <t>10、</t>
  </si>
  <si>
    <t>墙面瓷砖</t>
  </si>
  <si>
    <t>11、</t>
  </si>
  <si>
    <t>地面瓷砖</t>
  </si>
  <si>
    <t>12、</t>
  </si>
  <si>
    <t>防火玻璃门</t>
  </si>
  <si>
    <t>13、</t>
  </si>
  <si>
    <t>3#楼西单元不锈钢隐形井盖900*910</t>
  </si>
  <si>
    <t>套</t>
  </si>
  <si>
    <t>15、</t>
  </si>
  <si>
    <t>16、</t>
  </si>
  <si>
    <t>3#楼中单元</t>
  </si>
  <si>
    <t>17、</t>
  </si>
  <si>
    <t>18、</t>
  </si>
  <si>
    <t>19、</t>
  </si>
  <si>
    <t>墙面木工板找平</t>
  </si>
  <si>
    <t>20、</t>
  </si>
  <si>
    <t>21、</t>
  </si>
  <si>
    <t>22、</t>
  </si>
  <si>
    <t>23、</t>
  </si>
  <si>
    <t>3#楼中单元不锈钢隐形井盖900*900</t>
  </si>
  <si>
    <t>24、</t>
  </si>
  <si>
    <t>铝格栅吊顶40*60*0.4</t>
  </si>
  <si>
    <t>25、</t>
  </si>
  <si>
    <t>26、</t>
  </si>
  <si>
    <t>3#楼东单元</t>
  </si>
  <si>
    <t>27、</t>
  </si>
  <si>
    <t>28、</t>
  </si>
  <si>
    <t>29、</t>
  </si>
  <si>
    <t>30、</t>
  </si>
  <si>
    <t>31、</t>
  </si>
  <si>
    <t>32、</t>
  </si>
  <si>
    <t>3#楼东单元不锈钢隐形井盖900*910</t>
  </si>
  <si>
    <t>33、</t>
  </si>
  <si>
    <t>34、</t>
  </si>
  <si>
    <t>35、</t>
  </si>
  <si>
    <t>5#楼西单元</t>
  </si>
  <si>
    <t>36、</t>
  </si>
  <si>
    <t>37、</t>
  </si>
  <si>
    <t>38、</t>
  </si>
  <si>
    <t>39、</t>
  </si>
  <si>
    <t>40、</t>
  </si>
  <si>
    <t>41、</t>
  </si>
  <si>
    <t>42、</t>
  </si>
  <si>
    <t>43、</t>
  </si>
  <si>
    <t>44、</t>
  </si>
  <si>
    <t>45、</t>
  </si>
  <si>
    <t>地面楼梯踏步</t>
  </si>
  <si>
    <t>46、</t>
  </si>
  <si>
    <t>47、</t>
  </si>
  <si>
    <t>48、</t>
  </si>
  <si>
    <t>49、</t>
  </si>
  <si>
    <t>50、</t>
  </si>
  <si>
    <t>51、</t>
  </si>
  <si>
    <t>5#楼东单元</t>
  </si>
  <si>
    <t>52、</t>
  </si>
  <si>
    <t>53、</t>
  </si>
  <si>
    <t>54、</t>
  </si>
  <si>
    <t>55、</t>
  </si>
  <si>
    <t>56、</t>
  </si>
  <si>
    <t>57、</t>
  </si>
  <si>
    <t>58、</t>
  </si>
  <si>
    <t>59、</t>
  </si>
  <si>
    <t>60、</t>
  </si>
  <si>
    <t>61、</t>
  </si>
  <si>
    <t>62、</t>
  </si>
  <si>
    <t>63、</t>
  </si>
  <si>
    <t>5#楼东单元不锈钢隐形井盖1100*1070</t>
  </si>
  <si>
    <t>64、</t>
  </si>
  <si>
    <t>65、</t>
  </si>
  <si>
    <t>66、</t>
  </si>
  <si>
    <t>67、</t>
  </si>
  <si>
    <t>8#楼东单元</t>
  </si>
  <si>
    <t>68、</t>
  </si>
  <si>
    <t>69、</t>
  </si>
  <si>
    <t>70、</t>
  </si>
  <si>
    <t>71、</t>
  </si>
  <si>
    <t>72、</t>
  </si>
  <si>
    <t>73、</t>
  </si>
  <si>
    <t>不锈钢门套</t>
  </si>
  <si>
    <t>74、</t>
  </si>
  <si>
    <t>8#楼西单元</t>
  </si>
  <si>
    <t>75、</t>
  </si>
  <si>
    <t>76、</t>
  </si>
  <si>
    <t>77、</t>
  </si>
  <si>
    <t>78、</t>
  </si>
  <si>
    <t>79、</t>
  </si>
  <si>
    <t>80、</t>
  </si>
  <si>
    <t>81、</t>
  </si>
  <si>
    <t>9#楼东单元</t>
  </si>
  <si>
    <t>82、</t>
  </si>
  <si>
    <t>83、</t>
  </si>
  <si>
    <t>84、</t>
  </si>
  <si>
    <t>85、</t>
  </si>
  <si>
    <t>86、</t>
  </si>
  <si>
    <t>87、</t>
  </si>
  <si>
    <t>88、</t>
  </si>
  <si>
    <t>89、</t>
  </si>
  <si>
    <t>9#楼西单元</t>
  </si>
  <si>
    <t>90、</t>
  </si>
  <si>
    <t>91、</t>
  </si>
  <si>
    <t>92、</t>
  </si>
  <si>
    <t>93、</t>
  </si>
  <si>
    <t>94、</t>
  </si>
  <si>
    <t>95、</t>
  </si>
  <si>
    <t>96、</t>
  </si>
  <si>
    <t>97、</t>
  </si>
  <si>
    <t>10#楼东单元</t>
  </si>
  <si>
    <t>98、</t>
  </si>
  <si>
    <t>99、</t>
  </si>
  <si>
    <t>100、</t>
  </si>
  <si>
    <t>101、</t>
  </si>
  <si>
    <t>102、</t>
  </si>
  <si>
    <t>103、</t>
  </si>
  <si>
    <t>104、</t>
  </si>
  <si>
    <t>10#楼西单元</t>
  </si>
  <si>
    <t>105、</t>
  </si>
  <si>
    <t>106、</t>
  </si>
  <si>
    <t>107、</t>
  </si>
  <si>
    <t>108、</t>
  </si>
  <si>
    <t>109、</t>
  </si>
  <si>
    <t>110、</t>
  </si>
  <si>
    <t>111、</t>
  </si>
  <si>
    <t>11#楼东单元</t>
  </si>
  <si>
    <t>112、</t>
  </si>
  <si>
    <t>113、</t>
  </si>
  <si>
    <t>114、</t>
  </si>
  <si>
    <t>115、</t>
  </si>
  <si>
    <t>116、</t>
  </si>
  <si>
    <t>117、</t>
  </si>
  <si>
    <t>118、</t>
  </si>
  <si>
    <t>119、</t>
  </si>
  <si>
    <t>11#楼西单元</t>
  </si>
  <si>
    <t>120、</t>
  </si>
  <si>
    <t>121、</t>
  </si>
  <si>
    <t>122、</t>
  </si>
  <si>
    <t>123、</t>
  </si>
  <si>
    <t>124、</t>
  </si>
  <si>
    <t>125、</t>
  </si>
  <si>
    <t>126、</t>
  </si>
  <si>
    <t>127、</t>
  </si>
  <si>
    <t>1#楼东单元</t>
  </si>
  <si>
    <t>128、</t>
  </si>
  <si>
    <t>129、</t>
  </si>
  <si>
    <t>新建轻钢龙骨石膏板墙体</t>
  </si>
  <si>
    <t>130、</t>
  </si>
  <si>
    <t>131、</t>
  </si>
  <si>
    <t>132、</t>
  </si>
  <si>
    <t>133、</t>
  </si>
  <si>
    <t>134、</t>
  </si>
  <si>
    <t>135、</t>
  </si>
  <si>
    <t>136、</t>
  </si>
  <si>
    <t>137、</t>
  </si>
  <si>
    <t>1#楼西单元</t>
  </si>
  <si>
    <t>138、</t>
  </si>
  <si>
    <t>139、</t>
  </si>
  <si>
    <t>140、</t>
  </si>
  <si>
    <t>141、</t>
  </si>
  <si>
    <t>142、</t>
  </si>
  <si>
    <t>143、</t>
  </si>
  <si>
    <t>144、</t>
  </si>
  <si>
    <t>145、</t>
  </si>
  <si>
    <t>1#楼西单元不锈钢隐形井盖800*800</t>
  </si>
  <si>
    <t>146、</t>
  </si>
  <si>
    <t>147、</t>
  </si>
  <si>
    <t>2#楼东单元</t>
  </si>
  <si>
    <t>148、</t>
  </si>
  <si>
    <t>149、</t>
  </si>
  <si>
    <t>150、</t>
  </si>
  <si>
    <t>151、</t>
  </si>
  <si>
    <t>152、</t>
  </si>
  <si>
    <t>153、</t>
  </si>
  <si>
    <t>1#楼西单元不锈钢隐形井盖1000*1000</t>
  </si>
  <si>
    <t>154、</t>
  </si>
  <si>
    <t>155、</t>
  </si>
  <si>
    <t>2#楼中单元</t>
  </si>
  <si>
    <t>156、</t>
  </si>
  <si>
    <t>157、</t>
  </si>
  <si>
    <t>158、</t>
  </si>
  <si>
    <t>159、</t>
  </si>
  <si>
    <t>160、</t>
  </si>
  <si>
    <t>161、</t>
  </si>
  <si>
    <t>162、</t>
  </si>
  <si>
    <t>163、</t>
  </si>
  <si>
    <t>2#楼西单元</t>
  </si>
  <si>
    <t>164、</t>
  </si>
  <si>
    <t>165、</t>
  </si>
  <si>
    <t>166、</t>
  </si>
  <si>
    <t>167、</t>
  </si>
  <si>
    <t>168、</t>
  </si>
  <si>
    <t>169、</t>
  </si>
  <si>
    <t>170、</t>
  </si>
  <si>
    <t>171、</t>
  </si>
  <si>
    <t>6#楼东单元</t>
  </si>
  <si>
    <t>172、</t>
  </si>
  <si>
    <t>173、</t>
  </si>
  <si>
    <t>174、</t>
  </si>
  <si>
    <t>175、</t>
  </si>
  <si>
    <t>176、</t>
  </si>
  <si>
    <t>177、</t>
  </si>
  <si>
    <t>178、</t>
  </si>
  <si>
    <t>6#楼西单元</t>
  </si>
  <si>
    <t>179、</t>
  </si>
  <si>
    <t>180、</t>
  </si>
  <si>
    <t>181、</t>
  </si>
  <si>
    <t>182、</t>
  </si>
  <si>
    <t>183、</t>
  </si>
  <si>
    <t>184、</t>
  </si>
  <si>
    <t>185、</t>
  </si>
  <si>
    <t>7#楼东单元</t>
  </si>
  <si>
    <t>186、</t>
  </si>
  <si>
    <t>187、</t>
  </si>
  <si>
    <t>188、</t>
  </si>
  <si>
    <t>189、</t>
  </si>
  <si>
    <t>190、</t>
  </si>
  <si>
    <t>191、</t>
  </si>
  <si>
    <t>192、</t>
  </si>
  <si>
    <t>7#楼西单元</t>
  </si>
  <si>
    <t>193、</t>
  </si>
  <si>
    <t>194、</t>
  </si>
  <si>
    <t>195、</t>
  </si>
  <si>
    <t>196、</t>
  </si>
  <si>
    <t>197、</t>
  </si>
  <si>
    <t>198、</t>
  </si>
  <si>
    <t>二、</t>
  </si>
  <si>
    <t>地下室水泵房</t>
  </si>
  <si>
    <t>顶面铝方通 60*60*0.4mm</t>
  </si>
  <si>
    <t>墙地砖</t>
  </si>
  <si>
    <t>用大堂同品牌</t>
  </si>
  <si>
    <t>不锈钢篦子300宽</t>
  </si>
  <si>
    <t>三、</t>
  </si>
  <si>
    <t>物业用房</t>
  </si>
  <si>
    <t>墙面乳胶漆</t>
  </si>
  <si>
    <t>地面800*800瓷砖</t>
  </si>
  <si>
    <t>m2</t>
  </si>
  <si>
    <t>瓷砖踢脚线</t>
  </si>
  <si>
    <t>卫生间墙砖</t>
  </si>
  <si>
    <t>卫生间地砖</t>
  </si>
  <si>
    <t>门</t>
  </si>
  <si>
    <t>樘</t>
  </si>
  <si>
    <t>背景墙</t>
  </si>
  <si>
    <t>吧台</t>
  </si>
  <si>
    <t>不锈钢字</t>
  </si>
  <si>
    <t>东大门物业服务中心背景墙</t>
  </si>
  <si>
    <t>东大门物业服务中心吧台</t>
  </si>
  <si>
    <t>东大门物业服务中心字</t>
  </si>
  <si>
    <t>四、</t>
  </si>
  <si>
    <t>1-11#楼大堂内镜子</t>
  </si>
  <si>
    <t>大堂内镜子（2m*2.44m）</t>
  </si>
  <si>
    <t>五、</t>
  </si>
  <si>
    <t>1#5#6#7#9#11#楼一层地下室门增加门锁</t>
  </si>
  <si>
    <t>把</t>
  </si>
  <si>
    <t>增项明细表</t>
  </si>
  <si>
    <t>筒灯</t>
  </si>
  <si>
    <t>个</t>
  </si>
  <si>
    <t>灯带</t>
  </si>
  <si>
    <t>1.2m型材灯</t>
  </si>
  <si>
    <t>配管</t>
  </si>
  <si>
    <t>配线</t>
  </si>
  <si>
    <t>通长铝型材灯</t>
  </si>
  <si>
    <t>电源及感应模块</t>
  </si>
  <si>
    <t>10宽线性灯</t>
  </si>
  <si>
    <t>14、</t>
  </si>
  <si>
    <t>感应开关及变压器</t>
  </si>
  <si>
    <t>感应筒灯</t>
  </si>
  <si>
    <t>配线2.5平方</t>
  </si>
  <si>
    <t>配线4平方</t>
  </si>
  <si>
    <t>开关</t>
  </si>
  <si>
    <t>五孔插座</t>
  </si>
  <si>
    <t>蹲便器</t>
  </si>
  <si>
    <t>洗手池及龙头</t>
  </si>
  <si>
    <t>配管计算式</t>
  </si>
  <si>
    <t>计算式</t>
  </si>
  <si>
    <t>米数</t>
  </si>
  <si>
    <t>（16.7+1.1+0.8+3）+10*0.1</t>
  </si>
  <si>
    <t>（1+16.5+4+3）+15*0.1</t>
  </si>
  <si>
    <t>（0.49+8.56+4.79+7.98+3）+17*0.1</t>
  </si>
  <si>
    <t>（10.8+7.78+2.56+0.58+0.63+3）+6*0.1</t>
  </si>
  <si>
    <t>（1.83+16.88+2.71+4.97+2.56+3）+6*0.1</t>
  </si>
  <si>
    <t>（7.59+15.13+4.02+3）+6*0.1</t>
  </si>
  <si>
    <t>（7.1+7.18+3）+5*0.1</t>
  </si>
  <si>
    <t>（7.7+0.66+3）+3*0.1</t>
  </si>
  <si>
    <t>（7.53+0.72+3）+3*0.1</t>
  </si>
  <si>
    <t>（7.14+5.12+3）+3*0.1</t>
  </si>
  <si>
    <t>（7.28+5.11+3）+3*0.1</t>
  </si>
  <si>
    <t>（7.21+0.69+3）+3*0.1</t>
  </si>
  <si>
    <t>（4.85+13.36+7.13+3）+14*0.1</t>
  </si>
  <si>
    <t>（3.66+8.35+2.25+6.76+3）+11*0.1</t>
  </si>
  <si>
    <t>（14.1+0.87+1.06+3）+7*0.1</t>
  </si>
  <si>
    <t>（16.1+1.07+0.45+3）+9*0.1</t>
  </si>
  <si>
    <t>（14.06+0.44+0.45+3）+8*0.1</t>
  </si>
  <si>
    <t>（6.77+0.79+3）+3*0.1</t>
  </si>
  <si>
    <t>（6.68+0.79+3）+3*0.1</t>
  </si>
  <si>
    <t>（8+3.59+3）+5*0.1</t>
  </si>
  <si>
    <t>（6.2+0.95+6.38+3）+5*0.1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</si>
</sst>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[DBNum2][$RMB]General;[Red][DBNum2][$RMB]General"/>
    <numFmt numFmtId="179" formatCode="#,##0.00&quot;元&quot;"/>
    <numFmt numFmtId="180" formatCode="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SimSun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1" fillId="2" borderId="1" xfId="0" applyFont="1" applyFill="1" applyBorder="1">
      <alignment vertical="center"/>
    </xf>
    <xf numFmtId="176" fontId="1" fillId="2" borderId="1" xfId="0" applyNumberFormat="1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0" xfId="0" applyNumberFormat="1">
      <alignment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left" vertical="center" wrapText="1"/>
    </xf>
    <xf numFmtId="178" fontId="6" fillId="0" borderId="0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justify" vertical="top" wrapText="1"/>
    </xf>
    <xf numFmtId="176" fontId="9" fillId="0" borderId="1" xfId="0" applyNumberFormat="1" applyFont="1" applyFill="1" applyBorder="1" applyAlignment="1">
      <alignment horizontal="justify" vertical="top" wrapText="1"/>
    </xf>
    <xf numFmtId="176" fontId="9" fillId="0" borderId="1" xfId="0" applyNumberFormat="1" applyFont="1" applyFill="1" applyBorder="1" applyAlignment="1">
      <alignment horizontal="center" vertical="top" wrapText="1"/>
    </xf>
    <xf numFmtId="178" fontId="9" fillId="0" borderId="1" xfId="0" applyNumberFormat="1" applyFont="1" applyFill="1" applyBorder="1" applyAlignment="1">
      <alignment horizontal="justify" vertical="top" wrapText="1"/>
    </xf>
    <xf numFmtId="179" fontId="9" fillId="0" borderId="1" xfId="0" applyNumberFormat="1" applyFont="1" applyFill="1" applyBorder="1" applyAlignment="1">
      <alignment horizontal="justify" vertical="top" wrapText="1"/>
    </xf>
    <xf numFmtId="178" fontId="6" fillId="0" borderId="1" xfId="0" applyNumberFormat="1" applyFont="1" applyFill="1" applyBorder="1" applyAlignment="1">
      <alignment horizontal="left" vertical="top" wrapText="1"/>
    </xf>
    <xf numFmtId="178" fontId="10" fillId="0" borderId="0" xfId="0" applyNumberFormat="1" applyFont="1" applyFill="1" applyAlignment="1">
      <alignment vertical="center" wrapText="1"/>
    </xf>
    <xf numFmtId="178" fontId="11" fillId="0" borderId="0" xfId="0" applyNumberFormat="1" applyFont="1" applyFill="1" applyAlignment="1">
      <alignment horizontal="left" vertical="center"/>
    </xf>
    <xf numFmtId="178" fontId="8" fillId="0" borderId="0" xfId="0" applyNumberFormat="1" applyFont="1" applyFill="1" applyAlignment="1">
      <alignment horizontal="justify" vertical="center"/>
    </xf>
    <xf numFmtId="178" fontId="8" fillId="0" borderId="0" xfId="0" applyNumberFormat="1" applyFont="1" applyFill="1" applyAlignment="1">
      <alignment horizontal="left" vertical="center" wrapText="1"/>
    </xf>
    <xf numFmtId="178" fontId="12" fillId="0" borderId="0" xfId="0" applyNumberFormat="1" applyFont="1" applyFill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Alignment="1">
      <alignment vertical="center"/>
    </xf>
    <xf numFmtId="178" fontId="1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vertical="center" wrapText="1"/>
    </xf>
    <xf numFmtId="178" fontId="4" fillId="0" borderId="0" xfId="0" applyNumberFormat="1" applyFont="1" applyFill="1" applyAlignment="1">
      <alignment horizontal="left" vertical="center" wrapText="1"/>
    </xf>
    <xf numFmtId="178" fontId="15" fillId="0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78" fontId="0" fillId="0" borderId="1" xfId="22" applyNumberFormat="1" applyFont="1" applyFill="1" applyBorder="1" applyAlignment="1">
      <alignment vertical="center" wrapText="1"/>
    </xf>
    <xf numFmtId="178" fontId="0" fillId="0" borderId="1" xfId="22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Alignment="1">
      <alignment vertical="center" wrapText="1"/>
    </xf>
    <xf numFmtId="178" fontId="16" fillId="0" borderId="0" xfId="0" applyNumberFormat="1" applyFont="1" applyFill="1" applyAlignment="1">
      <alignment vertical="center" wrapText="1"/>
    </xf>
    <xf numFmtId="178" fontId="16" fillId="0" borderId="0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K13" sqref="K13"/>
    </sheetView>
  </sheetViews>
  <sheetFormatPr defaultColWidth="9" defaultRowHeight="14.25"/>
  <cols>
    <col min="1" max="1" width="4.875" style="55" customWidth="1"/>
    <col min="2" max="2" width="41.875" style="56" customWidth="1"/>
    <col min="3" max="3" width="8.875" style="55" customWidth="1"/>
    <col min="4" max="4" width="11.375" style="55" customWidth="1"/>
    <col min="5" max="5" width="12.375" style="56" customWidth="1"/>
    <col min="6" max="6" width="8" style="57" customWidth="1"/>
    <col min="7" max="7" width="8.5" style="56" customWidth="1"/>
    <col min="8" max="8" width="11.75" style="34"/>
    <col min="9" max="10" width="9" style="34"/>
    <col min="11" max="11" width="27.125" style="34"/>
    <col min="12" max="16384" width="9" style="34"/>
  </cols>
  <sheetData>
    <row r="1" s="34" customFormat="1" ht="45" customHeight="1" spans="1:7">
      <c r="A1" s="58" t="s">
        <v>0</v>
      </c>
      <c r="B1" s="58"/>
      <c r="C1" s="58"/>
      <c r="D1" s="58"/>
      <c r="E1" s="58"/>
      <c r="F1" s="58"/>
      <c r="G1" s="59"/>
    </row>
    <row r="2" s="34" customFormat="1" ht="23" customHeight="1" spans="1:7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56"/>
    </row>
    <row r="3" s="51" customFormat="1" ht="24" customHeight="1" spans="1:7">
      <c r="A3" s="61">
        <v>1</v>
      </c>
      <c r="B3" s="62" t="s">
        <v>7</v>
      </c>
      <c r="C3" s="63" t="s">
        <v>8</v>
      </c>
      <c r="D3" s="63" t="s">
        <v>9</v>
      </c>
      <c r="E3" s="62" t="s">
        <v>10</v>
      </c>
      <c r="F3" s="62"/>
      <c r="G3" s="64"/>
    </row>
    <row r="4" s="51" customFormat="1" ht="27" customHeight="1" spans="1:7">
      <c r="A4" s="61">
        <v>2</v>
      </c>
      <c r="B4" s="62" t="s">
        <v>11</v>
      </c>
      <c r="C4" s="63" t="s">
        <v>8</v>
      </c>
      <c r="D4" s="63" t="s">
        <v>12</v>
      </c>
      <c r="E4" s="62" t="s">
        <v>10</v>
      </c>
      <c r="F4" s="62"/>
      <c r="G4" s="64"/>
    </row>
    <row r="5" s="51" customFormat="1" ht="27" customHeight="1" spans="1:7">
      <c r="A5" s="61">
        <v>3</v>
      </c>
      <c r="B5" s="62" t="s">
        <v>13</v>
      </c>
      <c r="C5" s="63" t="s">
        <v>8</v>
      </c>
      <c r="D5" s="63" t="s">
        <v>14</v>
      </c>
      <c r="E5" s="62" t="s">
        <v>10</v>
      </c>
      <c r="F5" s="62"/>
      <c r="G5" s="64"/>
    </row>
    <row r="6" s="51" customFormat="1" ht="27" customHeight="1" spans="1:7">
      <c r="A6" s="61">
        <v>4</v>
      </c>
      <c r="B6" s="62" t="s">
        <v>15</v>
      </c>
      <c r="C6" s="63" t="s">
        <v>8</v>
      </c>
      <c r="D6" s="63" t="s">
        <v>16</v>
      </c>
      <c r="E6" s="62" t="s">
        <v>10</v>
      </c>
      <c r="F6" s="62"/>
      <c r="G6" s="64"/>
    </row>
    <row r="7" s="51" customFormat="1" ht="27" customHeight="1" spans="1:7">
      <c r="A7" s="61">
        <v>5</v>
      </c>
      <c r="B7" s="62" t="s">
        <v>17</v>
      </c>
      <c r="C7" s="63" t="s">
        <v>18</v>
      </c>
      <c r="D7" s="63" t="s">
        <v>19</v>
      </c>
      <c r="E7" s="62" t="s">
        <v>10</v>
      </c>
      <c r="F7" s="62"/>
      <c r="G7" s="64"/>
    </row>
    <row r="8" s="51" customFormat="1" ht="32.1" customHeight="1" spans="1:7">
      <c r="A8" s="61">
        <v>6</v>
      </c>
      <c r="B8" s="62" t="s">
        <v>20</v>
      </c>
      <c r="C8" s="63" t="s">
        <v>8</v>
      </c>
      <c r="D8" s="63" t="s">
        <v>21</v>
      </c>
      <c r="E8" s="62" t="s">
        <v>10</v>
      </c>
      <c r="F8" s="62"/>
      <c r="G8" s="65"/>
    </row>
    <row r="9" s="51" customFormat="1" ht="32.1" customHeight="1" spans="1:7">
      <c r="A9" s="61">
        <v>7</v>
      </c>
      <c r="B9" s="62" t="s">
        <v>22</v>
      </c>
      <c r="C9" s="63" t="s">
        <v>8</v>
      </c>
      <c r="D9" s="63" t="s">
        <v>23</v>
      </c>
      <c r="E9" s="62" t="s">
        <v>10</v>
      </c>
      <c r="F9" s="62"/>
      <c r="G9" s="65"/>
    </row>
    <row r="10" s="52" customFormat="1" ht="32.1" customHeight="1" spans="1:11">
      <c r="A10" s="61">
        <v>8</v>
      </c>
      <c r="B10" s="62" t="s">
        <v>24</v>
      </c>
      <c r="C10" s="63" t="s">
        <v>8</v>
      </c>
      <c r="D10" s="63" t="s">
        <v>25</v>
      </c>
      <c r="E10" s="62" t="s">
        <v>10</v>
      </c>
      <c r="F10" s="62"/>
      <c r="G10" s="66"/>
      <c r="K10" s="52">
        <f>513000*1.05</f>
        <v>538650</v>
      </c>
    </row>
    <row r="11" s="53" customFormat="1" ht="32.1" customHeight="1" spans="1:7">
      <c r="A11" s="61">
        <v>9</v>
      </c>
      <c r="B11" s="62" t="s">
        <v>26</v>
      </c>
      <c r="C11" s="63" t="s">
        <v>8</v>
      </c>
      <c r="D11" s="63" t="s">
        <v>27</v>
      </c>
      <c r="E11" s="62" t="s">
        <v>10</v>
      </c>
      <c r="F11" s="62"/>
      <c r="G11" s="65"/>
    </row>
    <row r="12" s="53" customFormat="1" ht="32.1" customHeight="1" spans="1:7">
      <c r="A12" s="61">
        <v>10</v>
      </c>
      <c r="B12" s="62" t="s">
        <v>28</v>
      </c>
      <c r="C12" s="63" t="s">
        <v>8</v>
      </c>
      <c r="D12" s="63" t="s">
        <v>29</v>
      </c>
      <c r="E12" s="62" t="s">
        <v>10</v>
      </c>
      <c r="F12" s="62"/>
      <c r="G12" s="65"/>
    </row>
    <row r="13" s="53" customFormat="1" ht="32.1" customHeight="1" spans="1:7">
      <c r="A13" s="61">
        <v>11</v>
      </c>
      <c r="B13" s="62" t="s">
        <v>30</v>
      </c>
      <c r="C13" s="63" t="s">
        <v>8</v>
      </c>
      <c r="D13" s="63" t="s">
        <v>31</v>
      </c>
      <c r="E13" s="62" t="s">
        <v>10</v>
      </c>
      <c r="F13" s="62"/>
      <c r="G13" s="65"/>
    </row>
    <row r="14" s="53" customFormat="1" ht="32.1" customHeight="1" spans="1:7">
      <c r="A14" s="61">
        <v>12</v>
      </c>
      <c r="B14" s="62" t="s">
        <v>32</v>
      </c>
      <c r="C14" s="63" t="s">
        <v>33</v>
      </c>
      <c r="D14" s="63" t="s">
        <v>34</v>
      </c>
      <c r="E14" s="62" t="s">
        <v>10</v>
      </c>
      <c r="F14" s="62"/>
      <c r="G14" s="65"/>
    </row>
    <row r="15" s="53" customFormat="1" ht="32.1" customHeight="1" spans="1:7">
      <c r="A15" s="61">
        <v>13</v>
      </c>
      <c r="B15" s="62" t="s">
        <v>35</v>
      </c>
      <c r="C15" s="63" t="s">
        <v>33</v>
      </c>
      <c r="D15" s="63" t="s">
        <v>36</v>
      </c>
      <c r="E15" s="62" t="s">
        <v>10</v>
      </c>
      <c r="F15" s="62"/>
      <c r="G15" s="65"/>
    </row>
    <row r="16" s="53" customFormat="1" ht="32.1" customHeight="1" spans="1:7">
      <c r="A16" s="61">
        <v>14</v>
      </c>
      <c r="B16" s="62" t="s">
        <v>37</v>
      </c>
      <c r="C16" s="63" t="s">
        <v>38</v>
      </c>
      <c r="D16" s="63" t="s">
        <v>39</v>
      </c>
      <c r="E16" s="62" t="s">
        <v>10</v>
      </c>
      <c r="F16" s="62"/>
      <c r="G16" s="65"/>
    </row>
    <row r="17" s="53" customFormat="1" ht="27" customHeight="1" spans="1:7">
      <c r="A17" s="61">
        <v>15</v>
      </c>
      <c r="B17" s="62" t="s">
        <v>40</v>
      </c>
      <c r="C17" s="63" t="s">
        <v>18</v>
      </c>
      <c r="D17" s="63" t="s">
        <v>41</v>
      </c>
      <c r="E17" s="62" t="s">
        <v>10</v>
      </c>
      <c r="F17" s="62"/>
      <c r="G17" s="65"/>
    </row>
    <row r="18" s="54" customFormat="1" ht="27" customHeight="1" spans="1:7">
      <c r="A18" s="61">
        <v>16</v>
      </c>
      <c r="B18" s="62" t="s">
        <v>42</v>
      </c>
      <c r="C18" s="63" t="s">
        <v>43</v>
      </c>
      <c r="D18" s="63" t="s">
        <v>44</v>
      </c>
      <c r="E18" s="62" t="s">
        <v>10</v>
      </c>
      <c r="F18" s="62"/>
      <c r="G18" s="65"/>
    </row>
    <row r="19" s="54" customFormat="1" ht="27" customHeight="1" spans="1:7">
      <c r="A19" s="61">
        <v>17</v>
      </c>
      <c r="B19" s="62" t="s">
        <v>45</v>
      </c>
      <c r="C19" s="63" t="s">
        <v>46</v>
      </c>
      <c r="D19" s="63"/>
      <c r="E19" s="62"/>
      <c r="F19" s="62"/>
      <c r="G19" s="65"/>
    </row>
    <row r="20" s="34" customFormat="1" ht="33.95" customHeight="1" spans="1:7">
      <c r="A20" s="67" t="s">
        <v>47</v>
      </c>
      <c r="B20" s="67"/>
      <c r="C20" s="67" t="s">
        <v>48</v>
      </c>
      <c r="D20" s="67"/>
      <c r="E20" s="67"/>
      <c r="F20" s="67"/>
      <c r="G20" s="56"/>
    </row>
    <row r="21" s="34" customFormat="1" ht="26.1" customHeight="1" spans="1:7">
      <c r="A21" s="67"/>
      <c r="B21" s="67"/>
      <c r="C21" s="67"/>
      <c r="D21" s="67"/>
      <c r="E21" s="67"/>
      <c r="F21" s="67"/>
      <c r="G21" s="56"/>
    </row>
    <row r="22" s="34" customFormat="1" spans="1:7">
      <c r="A22" s="55"/>
      <c r="B22" s="56"/>
      <c r="C22" s="55"/>
      <c r="D22" s="55"/>
      <c r="E22" s="56"/>
      <c r="F22" s="57"/>
      <c r="G22" s="56"/>
    </row>
    <row r="23" s="34" customFormat="1" spans="1:7">
      <c r="A23" s="55"/>
      <c r="B23" s="56"/>
      <c r="C23" s="55"/>
      <c r="D23" s="55"/>
      <c r="E23" s="56"/>
      <c r="F23" s="57"/>
      <c r="G23" s="56"/>
    </row>
    <row r="24" s="34" customFormat="1" spans="1:7">
      <c r="A24" s="55"/>
      <c r="B24" s="56"/>
      <c r="C24" s="55"/>
      <c r="D24" s="55"/>
      <c r="E24" s="56"/>
      <c r="F24" s="57"/>
      <c r="G24" s="56"/>
    </row>
    <row r="25" s="34" customFormat="1" spans="1:7">
      <c r="A25" s="55"/>
      <c r="B25" s="56"/>
      <c r="C25" s="55"/>
      <c r="D25" s="55"/>
      <c r="E25" s="56"/>
      <c r="F25" s="57"/>
      <c r="G25" s="56"/>
    </row>
    <row r="26" s="34" customFormat="1" spans="1:7">
      <c r="A26" s="55"/>
      <c r="B26" s="56"/>
      <c r="C26" s="55"/>
      <c r="D26" s="55"/>
      <c r="E26" s="56"/>
      <c r="F26" s="57"/>
      <c r="G26" s="56"/>
    </row>
    <row r="27" s="34" customFormat="1" spans="1:7">
      <c r="A27" s="55"/>
      <c r="B27" s="56"/>
      <c r="C27" s="55"/>
      <c r="D27" s="55"/>
      <c r="E27" s="56"/>
      <c r="F27" s="57"/>
      <c r="G27" s="56"/>
    </row>
    <row r="28" s="34" customFormat="1" spans="1:7">
      <c r="A28" s="55"/>
      <c r="B28" s="56"/>
      <c r="C28" s="55"/>
      <c r="D28" s="55"/>
      <c r="E28" s="56"/>
      <c r="F28" s="57"/>
      <c r="G28" s="56"/>
    </row>
    <row r="29" s="34" customFormat="1" spans="1:7">
      <c r="A29" s="55"/>
      <c r="B29" s="56"/>
      <c r="C29" s="55"/>
      <c r="D29" s="55"/>
      <c r="E29" s="56"/>
      <c r="F29" s="57"/>
      <c r="G29" s="56"/>
    </row>
    <row r="30" s="34" customFormat="1" spans="1:7">
      <c r="A30" s="55"/>
      <c r="B30" s="56"/>
      <c r="C30" s="55"/>
      <c r="D30" s="55"/>
      <c r="E30" s="56"/>
      <c r="F30" s="57"/>
      <c r="G30" s="56"/>
    </row>
    <row r="31" s="34" customFormat="1" spans="1:7">
      <c r="A31" s="55"/>
      <c r="B31" s="56"/>
      <c r="C31" s="55"/>
      <c r="D31" s="55"/>
      <c r="E31" s="56"/>
      <c r="F31" s="57"/>
      <c r="G31" s="56"/>
    </row>
    <row r="32" s="34" customFormat="1" spans="1:7">
      <c r="A32" s="55"/>
      <c r="B32" s="56"/>
      <c r="C32" s="55"/>
      <c r="D32" s="55"/>
      <c r="E32" s="56"/>
      <c r="F32" s="57"/>
      <c r="G32" s="56"/>
    </row>
    <row r="33" s="34" customFormat="1" spans="1:7">
      <c r="A33" s="55"/>
      <c r="B33" s="56"/>
      <c r="C33" s="55"/>
      <c r="D33" s="55"/>
      <c r="E33" s="56"/>
      <c r="F33" s="57"/>
      <c r="G33" s="56"/>
    </row>
    <row r="34" s="34" customFormat="1" spans="1:7">
      <c r="A34" s="55"/>
      <c r="B34" s="56"/>
      <c r="C34" s="55"/>
      <c r="D34" s="55"/>
      <c r="E34" s="56"/>
      <c r="F34" s="57"/>
      <c r="G34" s="56"/>
    </row>
    <row r="35" s="34" customFormat="1" spans="1:7">
      <c r="A35" s="55"/>
      <c r="B35" s="56"/>
      <c r="C35" s="55"/>
      <c r="D35" s="55"/>
      <c r="E35" s="56"/>
      <c r="F35" s="57"/>
      <c r="G35" s="56"/>
    </row>
    <row r="36" s="34" customFormat="1" ht="43.5" customHeight="1" spans="1:7">
      <c r="A36" s="55"/>
      <c r="B36" s="56"/>
      <c r="C36" s="55"/>
      <c r="D36" s="55"/>
      <c r="E36" s="56"/>
      <c r="F36" s="57"/>
      <c r="G36" s="56"/>
    </row>
  </sheetData>
  <mergeCells count="3">
    <mergeCell ref="A1:F1"/>
    <mergeCell ref="A20:B21"/>
    <mergeCell ref="C20:F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E26" sqref="E26:H26"/>
    </sheetView>
  </sheetViews>
  <sheetFormatPr defaultColWidth="9" defaultRowHeight="14.25" outlineLevelCol="7"/>
  <cols>
    <col min="1" max="1" width="10.125" style="34" customWidth="1"/>
    <col min="2" max="2" width="10.5" style="34" customWidth="1"/>
    <col min="3" max="3" width="4.5" style="34" customWidth="1"/>
    <col min="4" max="4" width="9.25" style="34" customWidth="1"/>
    <col min="5" max="5" width="10.625" style="34" customWidth="1"/>
    <col min="6" max="6" width="12" style="34" customWidth="1"/>
    <col min="7" max="7" width="12.75" style="34" customWidth="1"/>
    <col min="8" max="8" width="12.25" style="34" customWidth="1"/>
    <col min="9" max="16384" width="9" style="34"/>
  </cols>
  <sheetData>
    <row r="1" s="34" customFormat="1" ht="54" customHeight="1" spans="1:8">
      <c r="A1" s="36" t="s">
        <v>49</v>
      </c>
      <c r="B1" s="36"/>
      <c r="C1" s="36"/>
      <c r="D1" s="36"/>
      <c r="E1" s="36"/>
      <c r="F1" s="36"/>
      <c r="G1" s="36"/>
      <c r="H1" s="36"/>
    </row>
    <row r="2" s="34" customFormat="1" ht="22" customHeight="1" spans="1:8">
      <c r="A2" s="37" t="s">
        <v>50</v>
      </c>
      <c r="B2" s="37"/>
      <c r="C2" s="37"/>
      <c r="D2" s="37"/>
      <c r="E2" s="37"/>
      <c r="F2" s="37"/>
      <c r="G2" s="37"/>
      <c r="H2" s="37"/>
    </row>
    <row r="3" s="34" customFormat="1" ht="22" customHeight="1" spans="1:8">
      <c r="A3" s="37" t="s">
        <v>51</v>
      </c>
      <c r="B3" s="37"/>
      <c r="C3" s="37"/>
      <c r="D3" s="37"/>
      <c r="E3" s="37"/>
      <c r="F3" s="37"/>
      <c r="G3" s="37"/>
      <c r="H3" s="37"/>
    </row>
    <row r="4" s="34" customFormat="1" ht="22" customHeight="1" spans="1:8">
      <c r="A4" s="37" t="s">
        <v>52</v>
      </c>
      <c r="B4" s="37"/>
      <c r="C4" s="37"/>
      <c r="D4" s="37"/>
      <c r="E4" s="37"/>
      <c r="F4" s="37"/>
      <c r="G4" s="37"/>
      <c r="H4" s="37"/>
    </row>
    <row r="5" s="34" customFormat="1" ht="22" customHeight="1" spans="1:8">
      <c r="A5" s="38" t="s">
        <v>53</v>
      </c>
      <c r="B5" s="38"/>
      <c r="C5" s="38"/>
      <c r="D5" s="38"/>
      <c r="E5" s="38"/>
      <c r="F5" s="38"/>
      <c r="G5" s="38"/>
      <c r="H5" s="38"/>
    </row>
    <row r="6" s="35" customFormat="1" ht="24" customHeight="1" spans="1:8">
      <c r="A6" s="39" t="s">
        <v>1</v>
      </c>
      <c r="B6" s="39" t="s">
        <v>54</v>
      </c>
      <c r="C6" s="39"/>
      <c r="D6" s="39"/>
      <c r="E6" s="39" t="s">
        <v>55</v>
      </c>
      <c r="F6" s="39" t="s">
        <v>56</v>
      </c>
      <c r="G6" s="39" t="s">
        <v>57</v>
      </c>
      <c r="H6" s="39" t="s">
        <v>58</v>
      </c>
    </row>
    <row r="7" s="34" customFormat="1" ht="20.25" customHeight="1" spans="1:8">
      <c r="A7" s="40" t="s">
        <v>59</v>
      </c>
      <c r="B7" s="41" t="s">
        <v>60</v>
      </c>
      <c r="C7" s="41"/>
      <c r="D7" s="41"/>
      <c r="E7" s="42">
        <f>E8+E9+E10+E11</f>
        <v>0</v>
      </c>
      <c r="F7" s="42">
        <v>0</v>
      </c>
      <c r="G7" s="42">
        <f>G8+G9+G10+G11</f>
        <v>0</v>
      </c>
      <c r="H7" s="42">
        <f>H8+H102+H10+H9+H11+H12</f>
        <v>513000</v>
      </c>
    </row>
    <row r="8" s="34" customFormat="1" ht="20.25" customHeight="1" spans="1:8">
      <c r="A8" s="43">
        <v>1.1</v>
      </c>
      <c r="B8" s="44" t="s">
        <v>61</v>
      </c>
      <c r="C8" s="44"/>
      <c r="D8" s="44"/>
      <c r="E8" s="42">
        <v>0</v>
      </c>
      <c r="F8" s="42">
        <v>0</v>
      </c>
      <c r="G8" s="42">
        <v>0</v>
      </c>
      <c r="H8" s="42">
        <f>结算明细表!D3+结算明细表!D4</f>
        <v>497422.677312</v>
      </c>
    </row>
    <row r="9" s="34" customFormat="1" ht="20.25" customHeight="1" spans="1:8">
      <c r="A9" s="43">
        <v>1.2</v>
      </c>
      <c r="B9" s="44" t="s">
        <v>62</v>
      </c>
      <c r="C9" s="44"/>
      <c r="D9" s="44"/>
      <c r="E9" s="42">
        <v>0</v>
      </c>
      <c r="F9" s="42">
        <v>0</v>
      </c>
      <c r="G9" s="42">
        <v>0</v>
      </c>
      <c r="H9" s="42">
        <f>结算明细表!D6</f>
        <v>13000</v>
      </c>
    </row>
    <row r="10" s="34" customFormat="1" ht="20.25" customHeight="1" spans="1:8">
      <c r="A10" s="43">
        <v>1.3</v>
      </c>
      <c r="B10" s="44" t="s">
        <v>37</v>
      </c>
      <c r="C10" s="44"/>
      <c r="D10" s="44"/>
      <c r="E10" s="42">
        <v>0</v>
      </c>
      <c r="F10" s="42">
        <v>0</v>
      </c>
      <c r="G10" s="42">
        <v>0</v>
      </c>
      <c r="H10" s="42">
        <f>结算明细表!D5</f>
        <v>8000</v>
      </c>
    </row>
    <row r="11" s="34" customFormat="1" ht="20.25" customHeight="1" spans="1:8">
      <c r="A11" s="43">
        <v>1.4</v>
      </c>
      <c r="B11" s="44" t="s">
        <v>63</v>
      </c>
      <c r="C11" s="44"/>
      <c r="D11" s="44"/>
      <c r="E11" s="42">
        <v>0</v>
      </c>
      <c r="F11" s="42">
        <v>0</v>
      </c>
      <c r="G11" s="42">
        <v>0</v>
      </c>
      <c r="H11" s="42">
        <f>结算明细表!D7</f>
        <v>-5030</v>
      </c>
    </row>
    <row r="12" s="34" customFormat="1" ht="20.25" customHeight="1" spans="1:8">
      <c r="A12" s="43">
        <v>1.5</v>
      </c>
      <c r="B12" s="44" t="s">
        <v>64</v>
      </c>
      <c r="C12" s="44"/>
      <c r="D12" s="44"/>
      <c r="E12" s="44"/>
      <c r="F12" s="44"/>
      <c r="G12" s="44"/>
      <c r="H12" s="42">
        <f>结算明细表!D9-结算明细表!D8</f>
        <v>-392.677312000014</v>
      </c>
    </row>
    <row r="13" s="34" customFormat="1" ht="20.25" customHeight="1" spans="1:8">
      <c r="A13" s="40" t="s">
        <v>65</v>
      </c>
      <c r="B13" s="41" t="s">
        <v>66</v>
      </c>
      <c r="C13" s="41"/>
      <c r="D13" s="41"/>
      <c r="E13" s="42">
        <v>0</v>
      </c>
      <c r="F13" s="42"/>
      <c r="G13" s="42">
        <v>0</v>
      </c>
      <c r="H13" s="42">
        <v>0</v>
      </c>
    </row>
    <row r="14" s="34" customFormat="1" ht="20.25" customHeight="1" spans="1:8">
      <c r="A14" s="43">
        <v>2.1</v>
      </c>
      <c r="B14" s="44" t="s">
        <v>67</v>
      </c>
      <c r="C14" s="44"/>
      <c r="D14" s="44"/>
      <c r="E14" s="42">
        <v>0</v>
      </c>
      <c r="F14" s="42"/>
      <c r="G14" s="42">
        <v>0</v>
      </c>
      <c r="H14" s="42">
        <v>0</v>
      </c>
    </row>
    <row r="15" s="34" customFormat="1" ht="20.25" customHeight="1" spans="1:8">
      <c r="A15" s="43">
        <v>2.2</v>
      </c>
      <c r="B15" s="44" t="s">
        <v>67</v>
      </c>
      <c r="C15" s="44"/>
      <c r="D15" s="44"/>
      <c r="E15" s="42">
        <v>0</v>
      </c>
      <c r="F15" s="42"/>
      <c r="G15" s="42">
        <v>0</v>
      </c>
      <c r="H15" s="42">
        <v>0</v>
      </c>
    </row>
    <row r="16" s="34" customFormat="1" ht="20.25" customHeight="1" spans="1:8">
      <c r="A16" s="40" t="s">
        <v>68</v>
      </c>
      <c r="B16" s="41" t="s">
        <v>69</v>
      </c>
      <c r="C16" s="41"/>
      <c r="D16" s="44" t="s">
        <v>70</v>
      </c>
      <c r="E16" s="45">
        <f>H7</f>
        <v>513000</v>
      </c>
      <c r="F16" s="45"/>
      <c r="G16" s="45"/>
      <c r="H16" s="45"/>
    </row>
    <row r="17" s="34" customFormat="1" ht="20.25" customHeight="1" spans="1:8">
      <c r="A17" s="40"/>
      <c r="B17" s="41"/>
      <c r="C17" s="41"/>
      <c r="D17" s="44" t="s">
        <v>71</v>
      </c>
      <c r="E17" s="46">
        <f>E16</f>
        <v>513000</v>
      </c>
      <c r="F17" s="46"/>
      <c r="G17" s="46"/>
      <c r="H17" s="46"/>
    </row>
    <row r="18" s="34" customFormat="1" ht="20.25" customHeight="1" spans="1:8">
      <c r="A18" s="40" t="s">
        <v>72</v>
      </c>
      <c r="B18" s="41" t="s">
        <v>73</v>
      </c>
      <c r="C18" s="41"/>
      <c r="D18" s="41"/>
      <c r="E18" s="42">
        <v>0</v>
      </c>
      <c r="F18" s="42"/>
      <c r="G18" s="42"/>
      <c r="H18" s="42"/>
    </row>
    <row r="19" s="34" customFormat="1" ht="20.25" customHeight="1" spans="1:8">
      <c r="A19" s="43">
        <v>4.1</v>
      </c>
      <c r="B19" s="44" t="s">
        <v>74</v>
      </c>
      <c r="C19" s="44"/>
      <c r="D19" s="44"/>
      <c r="E19" s="42">
        <v>0</v>
      </c>
      <c r="F19" s="42"/>
      <c r="G19" s="42"/>
      <c r="H19" s="42"/>
    </row>
    <row r="20" s="34" customFormat="1" ht="20.25" customHeight="1" spans="1:8">
      <c r="A20" s="43">
        <v>4.2</v>
      </c>
      <c r="B20" s="44" t="s">
        <v>75</v>
      </c>
      <c r="C20" s="44"/>
      <c r="D20" s="44"/>
      <c r="E20" s="42">
        <v>0</v>
      </c>
      <c r="F20" s="42"/>
      <c r="G20" s="42"/>
      <c r="H20" s="42"/>
    </row>
    <row r="21" s="34" customFormat="1" ht="20.25" customHeight="1" spans="1:8">
      <c r="A21" s="40" t="s">
        <v>76</v>
      </c>
      <c r="B21" s="41" t="s">
        <v>77</v>
      </c>
      <c r="C21" s="41"/>
      <c r="D21" s="41"/>
      <c r="E21" s="42">
        <v>0</v>
      </c>
      <c r="F21" s="42"/>
      <c r="G21" s="42"/>
      <c r="H21" s="42"/>
    </row>
    <row r="22" s="34" customFormat="1" ht="20.25" customHeight="1" spans="1:8">
      <c r="A22" s="43">
        <v>5.1</v>
      </c>
      <c r="B22" s="44" t="s">
        <v>78</v>
      </c>
      <c r="C22" s="44"/>
      <c r="D22" s="44"/>
      <c r="E22" s="44" t="s">
        <v>79</v>
      </c>
      <c r="F22" s="44"/>
      <c r="G22" s="44"/>
      <c r="H22" s="44"/>
    </row>
    <row r="23" s="34" customFormat="1" ht="20.25" customHeight="1" spans="1:8">
      <c r="A23" s="43">
        <v>5.2</v>
      </c>
      <c r="B23" s="44" t="s">
        <v>80</v>
      </c>
      <c r="C23" s="44"/>
      <c r="D23" s="44"/>
      <c r="E23" s="44" t="s">
        <v>79</v>
      </c>
      <c r="F23" s="44"/>
      <c r="G23" s="44"/>
      <c r="H23" s="44"/>
    </row>
    <row r="24" s="34" customFormat="1" ht="20.25" customHeight="1" spans="1:8">
      <c r="A24" s="40" t="s">
        <v>81</v>
      </c>
      <c r="B24" s="41" t="s">
        <v>82</v>
      </c>
      <c r="C24" s="44" t="s">
        <v>70</v>
      </c>
      <c r="D24" s="44"/>
      <c r="E24" s="45">
        <f>E16</f>
        <v>513000</v>
      </c>
      <c r="F24" s="45"/>
      <c r="G24" s="45"/>
      <c r="H24" s="45"/>
    </row>
    <row r="25" s="34" customFormat="1" ht="20.25" customHeight="1" spans="1:8">
      <c r="A25" s="40"/>
      <c r="B25" s="41"/>
      <c r="C25" s="44" t="s">
        <v>71</v>
      </c>
      <c r="D25" s="44"/>
      <c r="E25" s="46">
        <f>E17</f>
        <v>513000</v>
      </c>
      <c r="F25" s="46"/>
      <c r="G25" s="46"/>
      <c r="H25" s="46"/>
    </row>
    <row r="26" s="34" customFormat="1" ht="20.25" customHeight="1" spans="1:8">
      <c r="A26" s="40" t="s">
        <v>83</v>
      </c>
      <c r="B26" s="41" t="s">
        <v>84</v>
      </c>
      <c r="C26" s="44" t="s">
        <v>70</v>
      </c>
      <c r="D26" s="44"/>
      <c r="E26" s="45">
        <f>E24</f>
        <v>513000</v>
      </c>
      <c r="F26" s="45"/>
      <c r="G26" s="45"/>
      <c r="H26" s="45"/>
    </row>
    <row r="27" s="34" customFormat="1" ht="20.25" customHeight="1" spans="1:8">
      <c r="A27" s="40"/>
      <c r="B27" s="41"/>
      <c r="C27" s="44" t="s">
        <v>71</v>
      </c>
      <c r="D27" s="44"/>
      <c r="E27" s="46">
        <f>E17</f>
        <v>513000</v>
      </c>
      <c r="F27" s="46"/>
      <c r="G27" s="46"/>
      <c r="H27" s="46"/>
    </row>
    <row r="28" s="34" customFormat="1" spans="1:8">
      <c r="A28" s="47"/>
      <c r="B28" s="47"/>
      <c r="C28" s="47"/>
      <c r="D28" s="47"/>
      <c r="E28" s="47"/>
      <c r="F28" s="47"/>
      <c r="G28" s="47"/>
      <c r="H28" s="47"/>
    </row>
    <row r="29" s="34" customFormat="1" spans="1:8">
      <c r="A29" s="48" t="s">
        <v>85</v>
      </c>
      <c r="B29" s="48"/>
      <c r="C29" s="48"/>
      <c r="D29" s="48"/>
      <c r="E29" s="48"/>
      <c r="F29" s="48"/>
      <c r="G29" s="48"/>
      <c r="H29" s="48"/>
    </row>
    <row r="30" s="34" customFormat="1" spans="1:1">
      <c r="A30" s="49"/>
    </row>
    <row r="31" s="34" customFormat="1" spans="1:1">
      <c r="A31" s="49"/>
    </row>
    <row r="32" s="34" customFormat="1" spans="1:8">
      <c r="A32" s="48" t="s">
        <v>86</v>
      </c>
      <c r="B32" s="48"/>
      <c r="C32" s="48"/>
      <c r="D32" s="48"/>
      <c r="E32" s="48"/>
      <c r="F32" s="48"/>
      <c r="G32" s="48"/>
      <c r="H32" s="48"/>
    </row>
    <row r="33" s="34" customFormat="1" spans="1:1">
      <c r="A33" s="49"/>
    </row>
    <row r="34" s="34" customFormat="1" ht="27" customHeight="1" spans="1:8">
      <c r="A34" s="50"/>
      <c r="B34" s="50"/>
      <c r="C34" s="50"/>
      <c r="D34" s="50"/>
      <c r="E34" s="50"/>
      <c r="F34" s="50"/>
      <c r="G34" s="50"/>
      <c r="H34" s="50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9" sqref="H9"/>
    </sheetView>
  </sheetViews>
  <sheetFormatPr defaultColWidth="9" defaultRowHeight="13.5" outlineLevelCol="4"/>
  <cols>
    <col min="1" max="1" width="7.875" style="1" customWidth="1"/>
    <col min="2" max="2" width="20.625" customWidth="1"/>
    <col min="3" max="3" width="7.38333333333333" customWidth="1"/>
    <col min="4" max="4" width="20.1333333333333" customWidth="1"/>
    <col min="5" max="5" width="25" customWidth="1"/>
  </cols>
  <sheetData>
    <row r="1" ht="39" customHeight="1" spans="1:5">
      <c r="A1" s="1" t="s">
        <v>87</v>
      </c>
      <c r="B1" s="1"/>
      <c r="C1" s="1"/>
      <c r="D1" s="1"/>
      <c r="E1" s="1"/>
    </row>
    <row r="2" s="1" customFormat="1" ht="39" customHeight="1" spans="1:5">
      <c r="A2" s="3" t="s">
        <v>1</v>
      </c>
      <c r="B2" s="3" t="s">
        <v>2</v>
      </c>
      <c r="C2" s="3" t="s">
        <v>88</v>
      </c>
      <c r="D2" s="3" t="s">
        <v>89</v>
      </c>
      <c r="E2" s="3" t="s">
        <v>6</v>
      </c>
    </row>
    <row r="3" ht="39" customHeight="1" spans="1:5">
      <c r="A3" s="3">
        <v>1</v>
      </c>
      <c r="B3" s="2" t="s">
        <v>90</v>
      </c>
      <c r="C3" s="3" t="s">
        <v>91</v>
      </c>
      <c r="D3" s="5">
        <f>土建!F223</f>
        <v>429834.186112</v>
      </c>
      <c r="E3" s="2"/>
    </row>
    <row r="4" ht="39" customHeight="1" spans="1:5">
      <c r="A4" s="3">
        <v>2</v>
      </c>
      <c r="B4" s="2" t="s">
        <v>92</v>
      </c>
      <c r="C4" s="3" t="s">
        <v>91</v>
      </c>
      <c r="D4" s="5">
        <f>安装!F165</f>
        <v>67588.4912</v>
      </c>
      <c r="E4" s="2"/>
    </row>
    <row r="5" ht="39" customHeight="1" spans="1:5">
      <c r="A5" s="3">
        <v>3</v>
      </c>
      <c r="B5" s="2" t="s">
        <v>37</v>
      </c>
      <c r="C5" s="3" t="s">
        <v>91</v>
      </c>
      <c r="D5" s="5">
        <v>8000</v>
      </c>
      <c r="E5" s="2"/>
    </row>
    <row r="6" ht="39" customHeight="1" spans="1:5">
      <c r="A6" s="3">
        <v>4</v>
      </c>
      <c r="B6" s="2" t="s">
        <v>93</v>
      </c>
      <c r="C6" s="3" t="s">
        <v>91</v>
      </c>
      <c r="D6" s="5">
        <v>13000</v>
      </c>
      <c r="E6" s="29" t="s">
        <v>94</v>
      </c>
    </row>
    <row r="7" ht="67" customHeight="1" spans="1:5">
      <c r="A7" s="3">
        <v>5</v>
      </c>
      <c r="B7" s="2" t="s">
        <v>63</v>
      </c>
      <c r="C7" s="3" t="s">
        <v>91</v>
      </c>
      <c r="D7" s="5">
        <v>-5030</v>
      </c>
      <c r="E7" s="29" t="s">
        <v>95</v>
      </c>
    </row>
    <row r="8" ht="39" customHeight="1" spans="1:5">
      <c r="A8" s="3">
        <v>6</v>
      </c>
      <c r="B8" s="30" t="s">
        <v>96</v>
      </c>
      <c r="C8" s="30"/>
      <c r="D8" s="5">
        <f>D3+D4+D5+D6+D7</f>
        <v>513392.677312</v>
      </c>
      <c r="E8" s="2"/>
    </row>
    <row r="9" ht="39" customHeight="1" spans="1:5">
      <c r="A9" s="3">
        <v>7</v>
      </c>
      <c r="B9" s="2" t="s">
        <v>97</v>
      </c>
      <c r="C9" s="2"/>
      <c r="D9" s="31">
        <v>513000</v>
      </c>
      <c r="E9" s="32" t="s">
        <v>98</v>
      </c>
    </row>
    <row r="10" spans="4:4">
      <c r="D10" s="33"/>
    </row>
    <row r="11" ht="37" customHeight="1" spans="2:4">
      <c r="B11" t="s">
        <v>99</v>
      </c>
      <c r="D11" t="s">
        <v>100</v>
      </c>
    </row>
    <row r="13" spans="2:4">
      <c r="B13" t="s">
        <v>48</v>
      </c>
      <c r="D13" t="s">
        <v>48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3"/>
  <sheetViews>
    <sheetView topLeftCell="A73" workbookViewId="0">
      <selection activeCell="F84" sqref="F84"/>
    </sheetView>
  </sheetViews>
  <sheetFormatPr defaultColWidth="9" defaultRowHeight="13.5" outlineLevelCol="6"/>
  <cols>
    <col min="1" max="1" width="6.5" style="7" customWidth="1"/>
    <col min="2" max="2" width="36.625" style="7" customWidth="1"/>
    <col min="3" max="3" width="9.88333333333333" style="7" customWidth="1"/>
    <col min="4" max="4" width="11.8833333333333" style="23" customWidth="1"/>
    <col min="5" max="5" width="14.125" style="23" customWidth="1"/>
    <col min="6" max="6" width="14.875" style="8" customWidth="1"/>
    <col min="7" max="7" width="12.625" style="7" customWidth="1"/>
    <col min="8" max="8" width="8.25" style="7" customWidth="1"/>
    <col min="9" max="9" width="7.125" style="7" customWidth="1"/>
    <col min="10" max="10" width="7.875" style="7" customWidth="1"/>
    <col min="11" max="16384" width="9" style="7"/>
  </cols>
  <sheetData>
    <row r="1" ht="32" customHeight="1" spans="1:7">
      <c r="A1" s="9" t="s">
        <v>101</v>
      </c>
      <c r="B1" s="9"/>
      <c r="C1" s="9"/>
      <c r="D1" s="9"/>
      <c r="E1" s="9"/>
      <c r="F1" s="10"/>
      <c r="G1" s="9"/>
    </row>
    <row r="2" ht="24" customHeight="1" spans="1:7">
      <c r="A2" s="11" t="s">
        <v>1</v>
      </c>
      <c r="B2" s="11" t="s">
        <v>2</v>
      </c>
      <c r="C2" s="11" t="s">
        <v>88</v>
      </c>
      <c r="D2" s="11" t="s">
        <v>102</v>
      </c>
      <c r="E2" s="11" t="s">
        <v>103</v>
      </c>
      <c r="F2" s="12" t="s">
        <v>104</v>
      </c>
      <c r="G2" s="11" t="s">
        <v>6</v>
      </c>
    </row>
    <row r="3" ht="37" customHeight="1" spans="1:7">
      <c r="A3" s="11" t="s">
        <v>105</v>
      </c>
      <c r="B3" s="18" t="s">
        <v>106</v>
      </c>
      <c r="C3" s="11"/>
      <c r="D3" s="11"/>
      <c r="E3" s="11"/>
      <c r="F3" s="16"/>
      <c r="G3" s="17"/>
    </row>
    <row r="4" ht="25" customHeight="1" spans="1:7">
      <c r="A4" s="11" t="s">
        <v>107</v>
      </c>
      <c r="B4" s="18" t="s">
        <v>108</v>
      </c>
      <c r="C4" s="11"/>
      <c r="D4" s="11"/>
      <c r="E4" s="11"/>
      <c r="F4" s="16"/>
      <c r="G4" s="17"/>
    </row>
    <row r="5" ht="46" customHeight="1" spans="1:7">
      <c r="A5" s="11" t="s">
        <v>109</v>
      </c>
      <c r="B5" s="18" t="s">
        <v>110</v>
      </c>
      <c r="C5" s="24" t="s">
        <v>111</v>
      </c>
      <c r="D5" s="25">
        <f>(1.4+1.45)*3.5-1.3*2.25</f>
        <v>7.05</v>
      </c>
      <c r="E5" s="11">
        <v>90</v>
      </c>
      <c r="F5" s="16">
        <f t="shared" ref="F5:F17" si="0">E5*D5</f>
        <v>634.5</v>
      </c>
      <c r="G5" s="18" t="s">
        <v>112</v>
      </c>
    </row>
    <row r="6" ht="25" customHeight="1" spans="1:7">
      <c r="A6" s="11" t="s">
        <v>113</v>
      </c>
      <c r="B6" s="18" t="s">
        <v>114</v>
      </c>
      <c r="C6" s="24" t="s">
        <v>111</v>
      </c>
      <c r="D6" s="26">
        <f>1.45*3.5</f>
        <v>5.075</v>
      </c>
      <c r="E6" s="11">
        <v>220</v>
      </c>
      <c r="F6" s="16">
        <f t="shared" si="0"/>
        <v>1116.5</v>
      </c>
      <c r="G6" s="17"/>
    </row>
    <row r="7" ht="25" customHeight="1" spans="1:7">
      <c r="A7" s="11" t="s">
        <v>115</v>
      </c>
      <c r="B7" s="18" t="s">
        <v>116</v>
      </c>
      <c r="C7" s="24" t="s">
        <v>111</v>
      </c>
      <c r="D7" s="26">
        <f>D6*2</f>
        <v>10.15</v>
      </c>
      <c r="E7" s="11">
        <v>22</v>
      </c>
      <c r="F7" s="16">
        <f t="shared" si="0"/>
        <v>223.3</v>
      </c>
      <c r="G7" s="17"/>
    </row>
    <row r="8" ht="42" customHeight="1" spans="1:7">
      <c r="A8" s="11" t="s">
        <v>117</v>
      </c>
      <c r="B8" s="18" t="s">
        <v>118</v>
      </c>
      <c r="C8" s="24" t="s">
        <v>111</v>
      </c>
      <c r="D8" s="26">
        <f>2.73*1.15</f>
        <v>3.1395</v>
      </c>
      <c r="E8" s="11">
        <v>190</v>
      </c>
      <c r="F8" s="16">
        <f t="shared" si="0"/>
        <v>596.505</v>
      </c>
      <c r="G8" s="18" t="s">
        <v>119</v>
      </c>
    </row>
    <row r="9" ht="25" customHeight="1" spans="1:7">
      <c r="A9" s="11" t="s">
        <v>120</v>
      </c>
      <c r="B9" s="18" t="s">
        <v>121</v>
      </c>
      <c r="C9" s="24" t="s">
        <v>111</v>
      </c>
      <c r="D9" s="26">
        <f>16.77+1.18</f>
        <v>17.95</v>
      </c>
      <c r="E9" s="11">
        <v>190</v>
      </c>
      <c r="F9" s="16">
        <f t="shared" si="0"/>
        <v>3410.5</v>
      </c>
      <c r="G9" s="17"/>
    </row>
    <row r="10" ht="25" customHeight="1" spans="1:7">
      <c r="A10" s="11" t="s">
        <v>122</v>
      </c>
      <c r="B10" s="18" t="s">
        <v>123</v>
      </c>
      <c r="C10" s="24" t="s">
        <v>111</v>
      </c>
      <c r="D10" s="27">
        <f>D9</f>
        <v>17.95</v>
      </c>
      <c r="E10" s="11"/>
      <c r="F10" s="16">
        <f t="shared" si="0"/>
        <v>0</v>
      </c>
      <c r="G10" s="17"/>
    </row>
    <row r="11" ht="31" customHeight="1" spans="1:7">
      <c r="A11" s="11" t="s">
        <v>124</v>
      </c>
      <c r="B11" s="18" t="s">
        <v>125</v>
      </c>
      <c r="C11" s="24" t="s">
        <v>111</v>
      </c>
      <c r="D11" s="26">
        <f>9.8+1.18</f>
        <v>10.98</v>
      </c>
      <c r="E11" s="11">
        <v>190</v>
      </c>
      <c r="F11" s="16">
        <f t="shared" si="0"/>
        <v>2086.2</v>
      </c>
      <c r="G11" s="17"/>
    </row>
    <row r="12" ht="36" customHeight="1" spans="1:7">
      <c r="A12" s="11" t="s">
        <v>126</v>
      </c>
      <c r="B12" s="18" t="s">
        <v>127</v>
      </c>
      <c r="C12" s="24" t="s">
        <v>128</v>
      </c>
      <c r="D12" s="26">
        <f>(14.32+12.72)/2</f>
        <v>13.52</v>
      </c>
      <c r="E12" s="11">
        <v>130</v>
      </c>
      <c r="F12" s="16">
        <f t="shared" si="0"/>
        <v>1757.6</v>
      </c>
      <c r="G12" s="17"/>
    </row>
    <row r="13" ht="35" customHeight="1" spans="1:7">
      <c r="A13" s="11" t="s">
        <v>129</v>
      </c>
      <c r="B13" s="18" t="s">
        <v>130</v>
      </c>
      <c r="C13" s="24" t="s">
        <v>111</v>
      </c>
      <c r="D13" s="25">
        <f>1.29*2.7</f>
        <v>3.483</v>
      </c>
      <c r="E13" s="11">
        <v>169.04</v>
      </c>
      <c r="F13" s="16">
        <f t="shared" si="0"/>
        <v>588.76632</v>
      </c>
      <c r="G13" s="17"/>
    </row>
    <row r="14" ht="39" customHeight="1" spans="1:7">
      <c r="A14" s="11" t="s">
        <v>131</v>
      </c>
      <c r="B14" s="18" t="s">
        <v>132</v>
      </c>
      <c r="C14" s="24" t="s">
        <v>111</v>
      </c>
      <c r="D14" s="25">
        <v>1.6</v>
      </c>
      <c r="E14" s="11">
        <v>165.5</v>
      </c>
      <c r="F14" s="16">
        <f t="shared" si="0"/>
        <v>264.8</v>
      </c>
      <c r="G14" s="17"/>
    </row>
    <row r="15" ht="38" customHeight="1" spans="1:7">
      <c r="A15" s="11" t="s">
        <v>133</v>
      </c>
      <c r="B15" s="18" t="s">
        <v>134</v>
      </c>
      <c r="C15" s="24" t="s">
        <v>111</v>
      </c>
      <c r="D15" s="26">
        <f>2.36*2.73</f>
        <v>6.4428</v>
      </c>
      <c r="E15" s="11">
        <v>800</v>
      </c>
      <c r="F15" s="16">
        <f t="shared" si="0"/>
        <v>5154.24</v>
      </c>
      <c r="G15" s="17"/>
    </row>
    <row r="16" ht="36" customHeight="1" spans="1:7">
      <c r="A16" s="11" t="s">
        <v>135</v>
      </c>
      <c r="B16" s="18" t="s">
        <v>136</v>
      </c>
      <c r="C16" s="24" t="s">
        <v>137</v>
      </c>
      <c r="D16" s="26">
        <v>1</v>
      </c>
      <c r="E16" s="11">
        <f>0.9*0.91*1000</f>
        <v>819</v>
      </c>
      <c r="F16" s="16">
        <f t="shared" si="0"/>
        <v>819</v>
      </c>
      <c r="G16" s="17"/>
    </row>
    <row r="17" ht="46" customHeight="1" spans="1:7">
      <c r="A17" s="11" t="s">
        <v>138</v>
      </c>
      <c r="B17" s="18" t="s">
        <v>127</v>
      </c>
      <c r="C17" s="24" t="s">
        <v>128</v>
      </c>
      <c r="D17" s="26">
        <f>(8.08+6.88)/2</f>
        <v>7.48</v>
      </c>
      <c r="E17" s="11">
        <v>130</v>
      </c>
      <c r="F17" s="16">
        <f t="shared" si="0"/>
        <v>972.4</v>
      </c>
      <c r="G17" s="17"/>
    </row>
    <row r="18" ht="34" customHeight="1" spans="1:7">
      <c r="A18" s="11" t="s">
        <v>139</v>
      </c>
      <c r="B18" s="18" t="s">
        <v>140</v>
      </c>
      <c r="C18" s="17"/>
      <c r="D18" s="11"/>
      <c r="E18" s="11"/>
      <c r="F18" s="19"/>
      <c r="G18" s="17"/>
    </row>
    <row r="19" ht="25" customHeight="1" spans="1:7">
      <c r="A19" s="11" t="s">
        <v>141</v>
      </c>
      <c r="B19" s="18" t="s">
        <v>110</v>
      </c>
      <c r="C19" s="24" t="s">
        <v>111</v>
      </c>
      <c r="D19" s="25">
        <f>2.35*3.5-1.3*2.25</f>
        <v>5.3</v>
      </c>
      <c r="E19" s="11">
        <v>90</v>
      </c>
      <c r="F19" s="16">
        <f>E19*D19</f>
        <v>477</v>
      </c>
      <c r="G19" s="17"/>
    </row>
    <row r="20" ht="25" customHeight="1" spans="1:7">
      <c r="A20" s="11" t="s">
        <v>142</v>
      </c>
      <c r="B20" s="18" t="s">
        <v>118</v>
      </c>
      <c r="C20" s="24" t="s">
        <v>111</v>
      </c>
      <c r="D20" s="26">
        <f>2.75*(3.5-2.69)</f>
        <v>2.2275</v>
      </c>
      <c r="E20" s="11">
        <v>190</v>
      </c>
      <c r="F20" s="16">
        <f>E20*D20</f>
        <v>423.225</v>
      </c>
      <c r="G20" s="17"/>
    </row>
    <row r="21" ht="25" customHeight="1" spans="1:7">
      <c r="A21" s="11" t="s">
        <v>143</v>
      </c>
      <c r="B21" s="17" t="s">
        <v>144</v>
      </c>
      <c r="C21" s="24" t="s">
        <v>111</v>
      </c>
      <c r="D21" s="26">
        <f>3.6*2.4</f>
        <v>8.64</v>
      </c>
      <c r="E21" s="11">
        <v>50</v>
      </c>
      <c r="F21" s="16">
        <f t="shared" ref="F21:F27" si="1">E21*D21</f>
        <v>432</v>
      </c>
      <c r="G21" s="17"/>
    </row>
    <row r="22" ht="25" customHeight="1" spans="1:7">
      <c r="A22" s="11" t="s">
        <v>145</v>
      </c>
      <c r="B22" s="18" t="s">
        <v>121</v>
      </c>
      <c r="C22" s="24" t="s">
        <v>111</v>
      </c>
      <c r="D22" s="26">
        <f>23.6+4.47</f>
        <v>28.07</v>
      </c>
      <c r="E22" s="11">
        <v>190</v>
      </c>
      <c r="F22" s="16">
        <f t="shared" si="1"/>
        <v>5333.3</v>
      </c>
      <c r="G22" s="17"/>
    </row>
    <row r="23" ht="25" customHeight="1" spans="1:7">
      <c r="A23" s="11" t="s">
        <v>146</v>
      </c>
      <c r="B23" s="18" t="s">
        <v>123</v>
      </c>
      <c r="C23" s="24" t="s">
        <v>111</v>
      </c>
      <c r="D23" s="26">
        <f>D22</f>
        <v>28.07</v>
      </c>
      <c r="E23" s="11"/>
      <c r="F23" s="16">
        <f t="shared" si="1"/>
        <v>0</v>
      </c>
      <c r="G23" s="17"/>
    </row>
    <row r="24" ht="25" customHeight="1" spans="1:7">
      <c r="A24" s="11" t="s">
        <v>147</v>
      </c>
      <c r="B24" s="18" t="s">
        <v>134</v>
      </c>
      <c r="C24" s="24" t="s">
        <v>111</v>
      </c>
      <c r="D24" s="26">
        <f>2.36*2.69</f>
        <v>6.3484</v>
      </c>
      <c r="E24" s="11">
        <v>800</v>
      </c>
      <c r="F24" s="16">
        <f t="shared" si="1"/>
        <v>5078.72</v>
      </c>
      <c r="G24" s="17"/>
    </row>
    <row r="25" ht="30" customHeight="1" spans="1:7">
      <c r="A25" s="11" t="s">
        <v>148</v>
      </c>
      <c r="B25" s="18" t="s">
        <v>149</v>
      </c>
      <c r="C25" s="24" t="s">
        <v>137</v>
      </c>
      <c r="D25" s="26">
        <v>1</v>
      </c>
      <c r="E25" s="11">
        <f>0.9*0.9*1000</f>
        <v>810</v>
      </c>
      <c r="F25" s="16">
        <f t="shared" si="1"/>
        <v>810</v>
      </c>
      <c r="G25" s="17"/>
    </row>
    <row r="26" ht="30" customHeight="1" spans="1:7">
      <c r="A26" s="11" t="s">
        <v>150</v>
      </c>
      <c r="B26" s="18" t="s">
        <v>151</v>
      </c>
      <c r="C26" s="24" t="s">
        <v>111</v>
      </c>
      <c r="D26" s="26">
        <v>7.58</v>
      </c>
      <c r="E26" s="11">
        <v>190</v>
      </c>
      <c r="F26" s="16">
        <f t="shared" si="1"/>
        <v>1440.2</v>
      </c>
      <c r="G26" s="17"/>
    </row>
    <row r="27" ht="45" customHeight="1" spans="1:7">
      <c r="A27" s="11" t="s">
        <v>152</v>
      </c>
      <c r="B27" s="18" t="s">
        <v>127</v>
      </c>
      <c r="C27" s="24" t="s">
        <v>128</v>
      </c>
      <c r="D27" s="26">
        <f>(11.1+12.7)/2</f>
        <v>11.9</v>
      </c>
      <c r="E27" s="11">
        <v>130</v>
      </c>
      <c r="F27" s="16">
        <f t="shared" si="1"/>
        <v>1547</v>
      </c>
      <c r="G27" s="17"/>
    </row>
    <row r="28" ht="25" customHeight="1" spans="1:7">
      <c r="A28" s="11" t="s">
        <v>153</v>
      </c>
      <c r="B28" s="18" t="s">
        <v>154</v>
      </c>
      <c r="C28" s="24"/>
      <c r="D28" s="11"/>
      <c r="E28" s="11"/>
      <c r="F28" s="16"/>
      <c r="G28" s="17"/>
    </row>
    <row r="29" ht="25" customHeight="1" spans="1:7">
      <c r="A29" s="11" t="s">
        <v>155</v>
      </c>
      <c r="B29" s="18" t="s">
        <v>110</v>
      </c>
      <c r="C29" s="24" t="s">
        <v>111</v>
      </c>
      <c r="D29" s="25">
        <f>2.35*3.5-1.3*2.25</f>
        <v>5.3</v>
      </c>
      <c r="E29" s="11">
        <v>90</v>
      </c>
      <c r="F29" s="16">
        <f>E29*D29</f>
        <v>477</v>
      </c>
      <c r="G29" s="17"/>
    </row>
    <row r="30" ht="25" customHeight="1" spans="1:7">
      <c r="A30" s="11" t="s">
        <v>156</v>
      </c>
      <c r="B30" s="18" t="s">
        <v>118</v>
      </c>
      <c r="C30" s="24" t="s">
        <v>111</v>
      </c>
      <c r="D30" s="26">
        <f>2.35*(3.5-2.69)</f>
        <v>1.9035</v>
      </c>
      <c r="E30" s="11">
        <v>190</v>
      </c>
      <c r="F30" s="16">
        <f t="shared" ref="F30:F36" si="2">E30*D30</f>
        <v>361.665</v>
      </c>
      <c r="G30" s="17"/>
    </row>
    <row r="31" ht="25" customHeight="1" spans="1:7">
      <c r="A31" s="11" t="s">
        <v>157</v>
      </c>
      <c r="B31" s="18" t="s">
        <v>121</v>
      </c>
      <c r="C31" s="24" t="s">
        <v>111</v>
      </c>
      <c r="D31" s="26">
        <v>25</v>
      </c>
      <c r="E31" s="11">
        <v>190</v>
      </c>
      <c r="F31" s="16">
        <f t="shared" si="2"/>
        <v>4750</v>
      </c>
      <c r="G31" s="17"/>
    </row>
    <row r="32" ht="25" customHeight="1" spans="1:7">
      <c r="A32" s="11" t="s">
        <v>158</v>
      </c>
      <c r="B32" s="18" t="s">
        <v>123</v>
      </c>
      <c r="C32" s="24" t="s">
        <v>111</v>
      </c>
      <c r="D32" s="26">
        <f>D31</f>
        <v>25</v>
      </c>
      <c r="E32" s="11"/>
      <c r="F32" s="16">
        <f t="shared" si="2"/>
        <v>0</v>
      </c>
      <c r="G32" s="17"/>
    </row>
    <row r="33" ht="25" customHeight="1" spans="1:7">
      <c r="A33" s="11" t="s">
        <v>159</v>
      </c>
      <c r="B33" s="18" t="s">
        <v>134</v>
      </c>
      <c r="C33" s="24" t="s">
        <v>111</v>
      </c>
      <c r="D33" s="26">
        <f>2.35*2.69</f>
        <v>6.3215</v>
      </c>
      <c r="E33" s="11">
        <v>800</v>
      </c>
      <c r="F33" s="16">
        <f t="shared" si="2"/>
        <v>5057.2</v>
      </c>
      <c r="G33" s="17"/>
    </row>
    <row r="34" ht="33" customHeight="1" spans="1:7">
      <c r="A34" s="11" t="s">
        <v>160</v>
      </c>
      <c r="B34" s="18" t="s">
        <v>161</v>
      </c>
      <c r="C34" s="24" t="s">
        <v>137</v>
      </c>
      <c r="D34" s="26">
        <v>1</v>
      </c>
      <c r="E34" s="11">
        <f>0.9*0.91*1000</f>
        <v>819</v>
      </c>
      <c r="F34" s="16">
        <f t="shared" si="2"/>
        <v>819</v>
      </c>
      <c r="G34" s="17"/>
    </row>
    <row r="35" ht="33" customHeight="1" spans="1:7">
      <c r="A35" s="11" t="s">
        <v>162</v>
      </c>
      <c r="B35" s="18" t="s">
        <v>151</v>
      </c>
      <c r="C35" s="24" t="s">
        <v>111</v>
      </c>
      <c r="D35" s="26">
        <v>12.71</v>
      </c>
      <c r="E35" s="11">
        <v>190</v>
      </c>
      <c r="F35" s="16">
        <f t="shared" si="2"/>
        <v>2414.9</v>
      </c>
      <c r="G35" s="17"/>
    </row>
    <row r="36" ht="33" customHeight="1" spans="1:7">
      <c r="A36" s="11" t="s">
        <v>163</v>
      </c>
      <c r="B36" s="18" t="s">
        <v>127</v>
      </c>
      <c r="C36" s="24" t="s">
        <v>128</v>
      </c>
      <c r="D36" s="26">
        <f>(14.4+16)/2</f>
        <v>15.2</v>
      </c>
      <c r="E36" s="11">
        <v>130</v>
      </c>
      <c r="F36" s="16">
        <f t="shared" si="2"/>
        <v>1976</v>
      </c>
      <c r="G36" s="17"/>
    </row>
    <row r="37" ht="25" customHeight="1" spans="1:7">
      <c r="A37" s="11" t="s">
        <v>164</v>
      </c>
      <c r="B37" s="18" t="s">
        <v>165</v>
      </c>
      <c r="C37" s="24"/>
      <c r="D37" s="11"/>
      <c r="E37" s="11"/>
      <c r="F37" s="16"/>
      <c r="G37" s="17"/>
    </row>
    <row r="38" ht="25" customHeight="1" spans="1:7">
      <c r="A38" s="11" t="s">
        <v>166</v>
      </c>
      <c r="B38" s="18" t="s">
        <v>110</v>
      </c>
      <c r="C38" s="24" t="s">
        <v>111</v>
      </c>
      <c r="D38" s="25">
        <f>1.5*2.6-1.1*2.2</f>
        <v>1.48</v>
      </c>
      <c r="E38" s="11">
        <v>90</v>
      </c>
      <c r="F38" s="16">
        <f t="shared" ref="F37:F45" si="3">E38*D38</f>
        <v>133.2</v>
      </c>
      <c r="G38" s="17"/>
    </row>
    <row r="39" ht="25" customHeight="1" spans="1:7">
      <c r="A39" s="11" t="s">
        <v>167</v>
      </c>
      <c r="B39" s="18" t="s">
        <v>114</v>
      </c>
      <c r="C39" s="24" t="s">
        <v>111</v>
      </c>
      <c r="D39" s="25">
        <f>(2.3+2.3+0.45)*3.5</f>
        <v>17.675</v>
      </c>
      <c r="E39" s="11">
        <v>220</v>
      </c>
      <c r="F39" s="16">
        <f t="shared" si="3"/>
        <v>3888.5</v>
      </c>
      <c r="G39" s="17"/>
    </row>
    <row r="40" ht="25" customHeight="1" spans="1:7">
      <c r="A40" s="11" t="s">
        <v>168</v>
      </c>
      <c r="B40" s="18" t="s">
        <v>116</v>
      </c>
      <c r="C40" s="24" t="s">
        <v>111</v>
      </c>
      <c r="D40" s="26">
        <f>D39*2</f>
        <v>35.35</v>
      </c>
      <c r="E40" s="11">
        <v>22</v>
      </c>
      <c r="F40" s="16">
        <f t="shared" si="3"/>
        <v>777.7</v>
      </c>
      <c r="G40" s="17"/>
    </row>
    <row r="41" ht="25" customHeight="1" spans="1:7">
      <c r="A41" s="11" t="s">
        <v>169</v>
      </c>
      <c r="B41" s="18" t="s">
        <v>118</v>
      </c>
      <c r="C41" s="24" t="s">
        <v>111</v>
      </c>
      <c r="D41" s="26">
        <f>3.4*(3.5-2.43)</f>
        <v>3.638</v>
      </c>
      <c r="E41" s="11">
        <v>190</v>
      </c>
      <c r="F41" s="16">
        <f t="shared" si="3"/>
        <v>691.22</v>
      </c>
      <c r="G41" s="17"/>
    </row>
    <row r="42" ht="25" customHeight="1" spans="1:7">
      <c r="A42" s="11" t="s">
        <v>170</v>
      </c>
      <c r="B42" s="18" t="s">
        <v>121</v>
      </c>
      <c r="C42" s="24" t="s">
        <v>111</v>
      </c>
      <c r="D42" s="26">
        <f>3.53+6.46+0.924</f>
        <v>10.914</v>
      </c>
      <c r="E42" s="11">
        <v>190</v>
      </c>
      <c r="F42" s="16">
        <f t="shared" si="3"/>
        <v>2073.66</v>
      </c>
      <c r="G42" s="17"/>
    </row>
    <row r="43" ht="25" customHeight="1" spans="1:7">
      <c r="A43" s="11" t="s">
        <v>171</v>
      </c>
      <c r="B43" s="18" t="s">
        <v>123</v>
      </c>
      <c r="C43" s="24" t="s">
        <v>111</v>
      </c>
      <c r="D43" s="26">
        <f>D42</f>
        <v>10.914</v>
      </c>
      <c r="E43" s="11"/>
      <c r="F43" s="16">
        <f t="shared" si="3"/>
        <v>0</v>
      </c>
      <c r="G43" s="17"/>
    </row>
    <row r="44" ht="32" customHeight="1" spans="1:7">
      <c r="A44" s="11" t="s">
        <v>172</v>
      </c>
      <c r="B44" s="18" t="s">
        <v>125</v>
      </c>
      <c r="C44" s="24" t="s">
        <v>111</v>
      </c>
      <c r="D44" s="26">
        <v>5.56</v>
      </c>
      <c r="E44" s="11">
        <v>190</v>
      </c>
      <c r="F44" s="16">
        <f t="shared" si="3"/>
        <v>1056.4</v>
      </c>
      <c r="G44" s="17"/>
    </row>
    <row r="45" ht="59" customHeight="1" spans="1:7">
      <c r="A45" s="11" t="s">
        <v>173</v>
      </c>
      <c r="B45" s="18" t="s">
        <v>127</v>
      </c>
      <c r="C45" s="24" t="s">
        <v>128</v>
      </c>
      <c r="D45" s="26">
        <f>(11.65+10)/2</f>
        <v>10.825</v>
      </c>
      <c r="E45" s="11">
        <v>130</v>
      </c>
      <c r="F45" s="16">
        <f t="shared" si="3"/>
        <v>1407.25</v>
      </c>
      <c r="G45" s="17"/>
    </row>
    <row r="46" ht="30" customHeight="1" spans="1:7">
      <c r="A46" s="11" t="s">
        <v>174</v>
      </c>
      <c r="B46" s="18" t="s">
        <v>134</v>
      </c>
      <c r="C46" s="24" t="s">
        <v>111</v>
      </c>
      <c r="D46" s="26">
        <f>3.54*2.43</f>
        <v>8.6022</v>
      </c>
      <c r="E46" s="11">
        <v>800</v>
      </c>
      <c r="F46" s="16">
        <f t="shared" ref="F46:F52" si="4">E46*D46</f>
        <v>6881.76</v>
      </c>
      <c r="G46" s="17"/>
    </row>
    <row r="47" ht="30" customHeight="1" spans="1:7">
      <c r="A47" s="11" t="s">
        <v>175</v>
      </c>
      <c r="B47" s="18" t="s">
        <v>176</v>
      </c>
      <c r="C47" s="24" t="s">
        <v>111</v>
      </c>
      <c r="D47" s="26">
        <v>6.46</v>
      </c>
      <c r="E47" s="11">
        <v>204.16</v>
      </c>
      <c r="F47" s="16">
        <f t="shared" si="4"/>
        <v>1318.8736</v>
      </c>
      <c r="G47" s="17"/>
    </row>
    <row r="48" ht="30" customHeight="1" spans="1:7">
      <c r="A48" s="11" t="s">
        <v>177</v>
      </c>
      <c r="B48" s="18" t="s">
        <v>132</v>
      </c>
      <c r="C48" s="24" t="s">
        <v>111</v>
      </c>
      <c r="D48" s="26">
        <f>8.26+0.92</f>
        <v>9.18</v>
      </c>
      <c r="E48" s="11">
        <f>165.5</f>
        <v>165.5</v>
      </c>
      <c r="F48" s="16">
        <f t="shared" si="4"/>
        <v>1519.29</v>
      </c>
      <c r="G48" s="17"/>
    </row>
    <row r="49" ht="30" customHeight="1" spans="1:7">
      <c r="A49" s="11" t="s">
        <v>178</v>
      </c>
      <c r="B49" s="18" t="s">
        <v>130</v>
      </c>
      <c r="C49" s="24" t="s">
        <v>111</v>
      </c>
      <c r="D49" s="26">
        <f>2.75*(2.46+2.638)/2*2+0.9*2.46+(4.54+3.298)*2.4</f>
        <v>35.0447</v>
      </c>
      <c r="E49" s="11">
        <v>169.04</v>
      </c>
      <c r="F49" s="16">
        <f t="shared" si="4"/>
        <v>5923.956088</v>
      </c>
      <c r="G49" s="17"/>
    </row>
    <row r="50" ht="30" customHeight="1" spans="1:7">
      <c r="A50" s="11" t="s">
        <v>179</v>
      </c>
      <c r="B50" s="17" t="s">
        <v>144</v>
      </c>
      <c r="C50" s="24" t="s">
        <v>111</v>
      </c>
      <c r="D50" s="26">
        <f>0.7*2.8*2</f>
        <v>3.92</v>
      </c>
      <c r="E50" s="11">
        <v>50</v>
      </c>
      <c r="F50" s="16">
        <f t="shared" si="4"/>
        <v>196</v>
      </c>
      <c r="G50" s="17"/>
    </row>
    <row r="51" ht="30" customHeight="1" spans="1:7">
      <c r="A51" s="11" t="s">
        <v>180</v>
      </c>
      <c r="B51" s="18" t="s">
        <v>151</v>
      </c>
      <c r="C51" s="24" t="s">
        <v>111</v>
      </c>
      <c r="D51" s="26">
        <v>6.07</v>
      </c>
      <c r="E51" s="11">
        <v>190</v>
      </c>
      <c r="F51" s="16">
        <f t="shared" si="4"/>
        <v>1153.3</v>
      </c>
      <c r="G51" s="17"/>
    </row>
    <row r="52" ht="50" customHeight="1" spans="1:7">
      <c r="A52" s="11" t="s">
        <v>181</v>
      </c>
      <c r="B52" s="18" t="s">
        <v>127</v>
      </c>
      <c r="C52" s="24" t="s">
        <v>128</v>
      </c>
      <c r="D52" s="26">
        <f>(11.79+10.18)/2</f>
        <v>10.985</v>
      </c>
      <c r="E52" s="11">
        <v>130</v>
      </c>
      <c r="F52" s="16">
        <f t="shared" si="4"/>
        <v>1428.05</v>
      </c>
      <c r="G52" s="17"/>
    </row>
    <row r="53" ht="30" customHeight="1" spans="1:7">
      <c r="A53" s="11" t="s">
        <v>182</v>
      </c>
      <c r="B53" s="18" t="s">
        <v>183</v>
      </c>
      <c r="C53" s="24"/>
      <c r="D53" s="11"/>
      <c r="E53" s="11"/>
      <c r="F53" s="16"/>
      <c r="G53" s="17"/>
    </row>
    <row r="54" ht="30" customHeight="1" spans="1:7">
      <c r="A54" s="11" t="s">
        <v>184</v>
      </c>
      <c r="B54" s="18" t="s">
        <v>110</v>
      </c>
      <c r="C54" s="24" t="s">
        <v>111</v>
      </c>
      <c r="D54" s="25">
        <f>1.5*2.6-1.1*2.2+2.2*3.5-1.5*2.1</f>
        <v>6.03</v>
      </c>
      <c r="E54" s="11">
        <v>90</v>
      </c>
      <c r="F54" s="16">
        <f t="shared" ref="F53:F68" si="5">E54*D54</f>
        <v>542.7</v>
      </c>
      <c r="G54" s="17"/>
    </row>
    <row r="55" ht="30" customHeight="1" spans="1:7">
      <c r="A55" s="11" t="s">
        <v>185</v>
      </c>
      <c r="B55" s="18" t="s">
        <v>114</v>
      </c>
      <c r="C55" s="24" t="s">
        <v>111</v>
      </c>
      <c r="D55" s="25">
        <f>(0.45)*3.5</f>
        <v>1.575</v>
      </c>
      <c r="E55" s="11">
        <v>220</v>
      </c>
      <c r="F55" s="16">
        <f t="shared" si="5"/>
        <v>346.5</v>
      </c>
      <c r="G55" s="17"/>
    </row>
    <row r="56" ht="30" customHeight="1" spans="1:7">
      <c r="A56" s="11" t="s">
        <v>186</v>
      </c>
      <c r="B56" s="18" t="s">
        <v>116</v>
      </c>
      <c r="C56" s="24" t="s">
        <v>111</v>
      </c>
      <c r="D56" s="26">
        <f>D55*2</f>
        <v>3.15</v>
      </c>
      <c r="E56" s="11">
        <v>22</v>
      </c>
      <c r="F56" s="16">
        <f t="shared" si="5"/>
        <v>69.3</v>
      </c>
      <c r="G56" s="17"/>
    </row>
    <row r="57" ht="30" customHeight="1" spans="1:7">
      <c r="A57" s="11" t="s">
        <v>187</v>
      </c>
      <c r="B57" s="18" t="s">
        <v>121</v>
      </c>
      <c r="C57" s="24" t="s">
        <v>111</v>
      </c>
      <c r="D57" s="26">
        <f>6.46+0.924+5.43</f>
        <v>12.814</v>
      </c>
      <c r="E57" s="11">
        <v>190</v>
      </c>
      <c r="F57" s="16">
        <f t="shared" si="5"/>
        <v>2434.66</v>
      </c>
      <c r="G57" s="17"/>
    </row>
    <row r="58" ht="30" customHeight="1" spans="1:7">
      <c r="A58" s="11" t="s">
        <v>188</v>
      </c>
      <c r="B58" s="18" t="s">
        <v>123</v>
      </c>
      <c r="C58" s="24" t="s">
        <v>111</v>
      </c>
      <c r="D58" s="26">
        <f>D57</f>
        <v>12.814</v>
      </c>
      <c r="E58" s="11"/>
      <c r="F58" s="16">
        <f t="shared" si="5"/>
        <v>0</v>
      </c>
      <c r="G58" s="17"/>
    </row>
    <row r="59" ht="30" customHeight="1" spans="1:7">
      <c r="A59" s="11" t="s">
        <v>189</v>
      </c>
      <c r="B59" s="18" t="s">
        <v>125</v>
      </c>
      <c r="C59" s="24" t="s">
        <v>111</v>
      </c>
      <c r="D59" s="26">
        <f>20.8</f>
        <v>20.8</v>
      </c>
      <c r="E59" s="11">
        <v>190</v>
      </c>
      <c r="F59" s="16">
        <f t="shared" si="5"/>
        <v>3952</v>
      </c>
      <c r="G59" s="17"/>
    </row>
    <row r="60" ht="30" customHeight="1" spans="1:7">
      <c r="A60" s="11" t="s">
        <v>190</v>
      </c>
      <c r="B60" s="18" t="s">
        <v>127</v>
      </c>
      <c r="C60" s="24" t="s">
        <v>128</v>
      </c>
      <c r="D60" s="26">
        <v>19.5</v>
      </c>
      <c r="E60" s="11">
        <v>130</v>
      </c>
      <c r="F60" s="16">
        <f t="shared" si="5"/>
        <v>2535</v>
      </c>
      <c r="G60" s="17"/>
    </row>
    <row r="61" ht="25" customHeight="1" spans="1:7">
      <c r="A61" s="11" t="s">
        <v>191</v>
      </c>
      <c r="B61" s="18" t="s">
        <v>134</v>
      </c>
      <c r="C61" s="24" t="s">
        <v>111</v>
      </c>
      <c r="D61" s="25">
        <f>2.85*2.38</f>
        <v>6.783</v>
      </c>
      <c r="E61" s="11">
        <v>800</v>
      </c>
      <c r="F61" s="16">
        <f t="shared" si="5"/>
        <v>5426.4</v>
      </c>
      <c r="G61" s="17"/>
    </row>
    <row r="62" ht="25" customHeight="1" spans="1:7">
      <c r="A62" s="11" t="s">
        <v>192</v>
      </c>
      <c r="B62" s="18" t="s">
        <v>176</v>
      </c>
      <c r="C62" s="24" t="s">
        <v>111</v>
      </c>
      <c r="D62" s="26">
        <v>6.46</v>
      </c>
      <c r="E62" s="11">
        <v>204.16</v>
      </c>
      <c r="F62" s="16">
        <f t="shared" si="5"/>
        <v>1318.8736</v>
      </c>
      <c r="G62" s="17"/>
    </row>
    <row r="63" ht="25" customHeight="1" spans="1:7">
      <c r="A63" s="11" t="s">
        <v>193</v>
      </c>
      <c r="B63" s="18" t="s">
        <v>132</v>
      </c>
      <c r="C63" s="24" t="s">
        <v>111</v>
      </c>
      <c r="D63" s="26">
        <f>24.78+0.924</f>
        <v>25.704</v>
      </c>
      <c r="E63" s="11">
        <f>165.5</f>
        <v>165.5</v>
      </c>
      <c r="F63" s="16">
        <f t="shared" si="5"/>
        <v>4254.012</v>
      </c>
      <c r="G63" s="17"/>
    </row>
    <row r="64" ht="25" customHeight="1" spans="1:7">
      <c r="A64" s="11" t="s">
        <v>194</v>
      </c>
      <c r="B64" s="18" t="s">
        <v>130</v>
      </c>
      <c r="C64" s="24" t="s">
        <v>111</v>
      </c>
      <c r="D64" s="26">
        <f>2.75*(2.37+2.58)/2*2+0.9*2.37+17.315*2.388</f>
        <v>57.09372</v>
      </c>
      <c r="E64" s="11">
        <v>169.04</v>
      </c>
      <c r="F64" s="16">
        <f t="shared" si="5"/>
        <v>9651.1224288</v>
      </c>
      <c r="G64" s="17"/>
    </row>
    <row r="65" ht="38" customHeight="1" spans="1:7">
      <c r="A65" s="11" t="s">
        <v>195</v>
      </c>
      <c r="B65" s="18" t="s">
        <v>196</v>
      </c>
      <c r="C65" s="24" t="s">
        <v>137</v>
      </c>
      <c r="D65" s="26">
        <v>1</v>
      </c>
      <c r="E65" s="11">
        <f>1.1*1.07*1000</f>
        <v>1177</v>
      </c>
      <c r="F65" s="16">
        <f t="shared" si="5"/>
        <v>1177</v>
      </c>
      <c r="G65" s="17"/>
    </row>
    <row r="66" ht="29" customHeight="1" spans="1:7">
      <c r="A66" s="11" t="s">
        <v>197</v>
      </c>
      <c r="B66" s="17" t="s">
        <v>144</v>
      </c>
      <c r="C66" s="24" t="s">
        <v>111</v>
      </c>
      <c r="D66" s="26">
        <f>0.7*2.8*2</f>
        <v>3.92</v>
      </c>
      <c r="E66" s="11">
        <v>50</v>
      </c>
      <c r="F66" s="16">
        <f t="shared" si="5"/>
        <v>196</v>
      </c>
      <c r="G66" s="17"/>
    </row>
    <row r="67" ht="29" customHeight="1" spans="1:7">
      <c r="A67" s="11" t="s">
        <v>198</v>
      </c>
      <c r="B67" s="18" t="s">
        <v>151</v>
      </c>
      <c r="C67" s="24" t="s">
        <v>111</v>
      </c>
      <c r="D67" s="26">
        <v>11.57</v>
      </c>
      <c r="E67" s="11">
        <v>190</v>
      </c>
      <c r="F67" s="16">
        <f t="shared" si="5"/>
        <v>2198.3</v>
      </c>
      <c r="G67" s="17"/>
    </row>
    <row r="68" ht="29" customHeight="1" spans="1:7">
      <c r="A68" s="11" t="s">
        <v>199</v>
      </c>
      <c r="B68" s="18" t="s">
        <v>127</v>
      </c>
      <c r="C68" s="24" t="s">
        <v>128</v>
      </c>
      <c r="D68" s="26">
        <f>(15.4+13.8)/2</f>
        <v>14.6</v>
      </c>
      <c r="E68" s="11">
        <v>130</v>
      </c>
      <c r="F68" s="16">
        <f t="shared" si="5"/>
        <v>1898</v>
      </c>
      <c r="G68" s="17"/>
    </row>
    <row r="69" ht="21" customHeight="1" spans="1:7">
      <c r="A69" s="11" t="s">
        <v>200</v>
      </c>
      <c r="B69" s="18" t="s">
        <v>201</v>
      </c>
      <c r="C69" s="11"/>
      <c r="D69" s="11"/>
      <c r="E69" s="11"/>
      <c r="F69" s="16"/>
      <c r="G69" s="17"/>
    </row>
    <row r="70" ht="21" customHeight="1" spans="1:7">
      <c r="A70" s="11" t="s">
        <v>202</v>
      </c>
      <c r="B70" s="18" t="s">
        <v>121</v>
      </c>
      <c r="C70" s="24" t="s">
        <v>111</v>
      </c>
      <c r="D70" s="26">
        <f>1.56+3.95+2.88+0.94</f>
        <v>9.33</v>
      </c>
      <c r="E70" s="11">
        <v>190</v>
      </c>
      <c r="F70" s="16">
        <f t="shared" ref="F70:F75" si="6">E70*D70</f>
        <v>1772.7</v>
      </c>
      <c r="G70" s="17"/>
    </row>
    <row r="71" ht="21" customHeight="1" spans="1:7">
      <c r="A71" s="11" t="s">
        <v>203</v>
      </c>
      <c r="B71" s="18" t="s">
        <v>123</v>
      </c>
      <c r="C71" s="24" t="s">
        <v>111</v>
      </c>
      <c r="D71" s="26">
        <f>D70</f>
        <v>9.33</v>
      </c>
      <c r="E71" s="11"/>
      <c r="F71" s="16">
        <f t="shared" si="6"/>
        <v>0</v>
      </c>
      <c r="G71" s="17"/>
    </row>
    <row r="72" ht="27" customHeight="1" spans="1:7">
      <c r="A72" s="11" t="s">
        <v>204</v>
      </c>
      <c r="B72" s="18" t="s">
        <v>151</v>
      </c>
      <c r="C72" s="24" t="s">
        <v>111</v>
      </c>
      <c r="D72" s="26">
        <v>12.1</v>
      </c>
      <c r="E72" s="11">
        <v>190</v>
      </c>
      <c r="F72" s="16">
        <f t="shared" si="6"/>
        <v>2299</v>
      </c>
      <c r="G72" s="17"/>
    </row>
    <row r="73" ht="42" customHeight="1" spans="1:7">
      <c r="A73" s="11" t="s">
        <v>205</v>
      </c>
      <c r="B73" s="18" t="s">
        <v>127</v>
      </c>
      <c r="C73" s="24" t="s">
        <v>128</v>
      </c>
      <c r="D73" s="26">
        <f>(14.4+7.3+12.8+5.7)/2</f>
        <v>20.1</v>
      </c>
      <c r="E73" s="11">
        <v>130</v>
      </c>
      <c r="F73" s="16">
        <f t="shared" si="6"/>
        <v>2613</v>
      </c>
      <c r="G73" s="17"/>
    </row>
    <row r="74" ht="21" customHeight="1" spans="1:7">
      <c r="A74" s="11" t="s">
        <v>206</v>
      </c>
      <c r="B74" s="18" t="s">
        <v>134</v>
      </c>
      <c r="C74" s="24" t="s">
        <v>111</v>
      </c>
      <c r="D74" s="25">
        <f>1.07*2.08</f>
        <v>2.2256</v>
      </c>
      <c r="E74" s="11">
        <v>800</v>
      </c>
      <c r="F74" s="16">
        <f t="shared" si="6"/>
        <v>1780.48</v>
      </c>
      <c r="G74" s="17"/>
    </row>
    <row r="75" ht="21" customHeight="1" spans="1:7">
      <c r="A75" s="11" t="s">
        <v>207</v>
      </c>
      <c r="B75" s="18" t="s">
        <v>208</v>
      </c>
      <c r="C75" s="24" t="s">
        <v>128</v>
      </c>
      <c r="D75" s="25">
        <f>2.08*2+1.07</f>
        <v>5.23</v>
      </c>
      <c r="E75" s="11">
        <v>100</v>
      </c>
      <c r="F75" s="16">
        <f t="shared" si="6"/>
        <v>523</v>
      </c>
      <c r="G75" s="17"/>
    </row>
    <row r="76" ht="21" customHeight="1" spans="1:7">
      <c r="A76" s="11" t="s">
        <v>209</v>
      </c>
      <c r="B76" s="18" t="s">
        <v>210</v>
      </c>
      <c r="C76" s="11"/>
      <c r="D76" s="11"/>
      <c r="E76" s="11"/>
      <c r="F76" s="16"/>
      <c r="G76" s="17"/>
    </row>
    <row r="77" ht="21" customHeight="1" spans="1:7">
      <c r="A77" s="11" t="s">
        <v>211</v>
      </c>
      <c r="B77" s="18" t="s">
        <v>121</v>
      </c>
      <c r="C77" s="24" t="s">
        <v>111</v>
      </c>
      <c r="D77" s="26">
        <f>1.56+3.95+5.29+0.71</f>
        <v>11.51</v>
      </c>
      <c r="E77" s="11">
        <v>190</v>
      </c>
      <c r="F77" s="16">
        <f t="shared" ref="F76:F82" si="7">E77*D77</f>
        <v>2186.9</v>
      </c>
      <c r="G77" s="17"/>
    </row>
    <row r="78" ht="21" customHeight="1" spans="1:7">
      <c r="A78" s="11" t="s">
        <v>212</v>
      </c>
      <c r="B78" s="18" t="s">
        <v>123</v>
      </c>
      <c r="C78" s="24" t="s">
        <v>111</v>
      </c>
      <c r="D78" s="26">
        <f>D77</f>
        <v>11.51</v>
      </c>
      <c r="E78" s="11"/>
      <c r="F78" s="16">
        <f t="shared" si="7"/>
        <v>0</v>
      </c>
      <c r="G78" s="17"/>
    </row>
    <row r="79" ht="21" customHeight="1" spans="1:7">
      <c r="A79" s="11" t="s">
        <v>213</v>
      </c>
      <c r="B79" s="18" t="s">
        <v>151</v>
      </c>
      <c r="C79" s="24" t="s">
        <v>111</v>
      </c>
      <c r="D79" s="26">
        <v>15.44</v>
      </c>
      <c r="E79" s="11">
        <v>190</v>
      </c>
      <c r="F79" s="16">
        <f t="shared" si="7"/>
        <v>2933.6</v>
      </c>
      <c r="G79" s="17"/>
    </row>
    <row r="80" ht="32" customHeight="1" spans="1:7">
      <c r="A80" s="11" t="s">
        <v>214</v>
      </c>
      <c r="B80" s="18" t="s">
        <v>127</v>
      </c>
      <c r="C80" s="24" t="s">
        <v>128</v>
      </c>
      <c r="D80" s="26">
        <f>(18.5+16.95)/2</f>
        <v>17.725</v>
      </c>
      <c r="E80" s="11">
        <v>130</v>
      </c>
      <c r="F80" s="16">
        <f t="shared" si="7"/>
        <v>2304.25</v>
      </c>
      <c r="G80" s="17"/>
    </row>
    <row r="81" ht="21" customHeight="1" spans="1:7">
      <c r="A81" s="11" t="s">
        <v>215</v>
      </c>
      <c r="B81" s="18" t="s">
        <v>134</v>
      </c>
      <c r="C81" s="24" t="s">
        <v>111</v>
      </c>
      <c r="D81" s="25">
        <f>1.05*2.08</f>
        <v>2.184</v>
      </c>
      <c r="E81" s="11">
        <v>800</v>
      </c>
      <c r="F81" s="16">
        <f t="shared" si="7"/>
        <v>1747.2</v>
      </c>
      <c r="G81" s="17"/>
    </row>
    <row r="82" ht="21" customHeight="1" spans="1:7">
      <c r="A82" s="11" t="s">
        <v>216</v>
      </c>
      <c r="B82" s="18" t="s">
        <v>208</v>
      </c>
      <c r="C82" s="24" t="s">
        <v>128</v>
      </c>
      <c r="D82" s="25">
        <f>2.08*2+1.07</f>
        <v>5.23</v>
      </c>
      <c r="E82" s="11">
        <v>100</v>
      </c>
      <c r="F82" s="16">
        <f t="shared" si="7"/>
        <v>523</v>
      </c>
      <c r="G82" s="17"/>
    </row>
    <row r="83" ht="21" customHeight="1" spans="1:7">
      <c r="A83" s="11" t="s">
        <v>217</v>
      </c>
      <c r="B83" s="18" t="s">
        <v>218</v>
      </c>
      <c r="C83" s="11"/>
      <c r="D83" s="11"/>
      <c r="E83" s="11"/>
      <c r="F83" s="16"/>
      <c r="G83" s="17"/>
    </row>
    <row r="84" ht="21" customHeight="1" spans="1:7">
      <c r="A84" s="11" t="s">
        <v>219</v>
      </c>
      <c r="B84" s="18" t="s">
        <v>121</v>
      </c>
      <c r="C84" s="24" t="s">
        <v>111</v>
      </c>
      <c r="D84" s="26">
        <v>5.46</v>
      </c>
      <c r="E84" s="11">
        <v>190</v>
      </c>
      <c r="F84" s="16">
        <f t="shared" ref="F84:F90" si="8">E84*D84</f>
        <v>1037.4</v>
      </c>
      <c r="G84" s="17"/>
    </row>
    <row r="85" ht="21" customHeight="1" spans="1:7">
      <c r="A85" s="11" t="s">
        <v>220</v>
      </c>
      <c r="B85" s="18" t="s">
        <v>123</v>
      </c>
      <c r="C85" s="24" t="s">
        <v>111</v>
      </c>
      <c r="D85" s="26">
        <f>D84</f>
        <v>5.46</v>
      </c>
      <c r="E85" s="11">
        <v>40</v>
      </c>
      <c r="F85" s="16">
        <f t="shared" si="8"/>
        <v>218.4</v>
      </c>
      <c r="G85" s="17"/>
    </row>
    <row r="86" ht="21" customHeight="1" spans="1:7">
      <c r="A86" s="11" t="s">
        <v>221</v>
      </c>
      <c r="B86" s="18" t="s">
        <v>151</v>
      </c>
      <c r="C86" s="24" t="s">
        <v>111</v>
      </c>
      <c r="D86" s="26">
        <v>13.2</v>
      </c>
      <c r="E86" s="11">
        <v>190</v>
      </c>
      <c r="F86" s="16">
        <f t="shared" si="8"/>
        <v>2508</v>
      </c>
      <c r="G86" s="17"/>
    </row>
    <row r="87" ht="43" customHeight="1" spans="1:7">
      <c r="A87" s="11" t="s">
        <v>222</v>
      </c>
      <c r="B87" s="18" t="s">
        <v>127</v>
      </c>
      <c r="C87" s="24" t="s">
        <v>128</v>
      </c>
      <c r="D87" s="26">
        <f>(16.2+14.5)/2</f>
        <v>15.35</v>
      </c>
      <c r="E87" s="11">
        <v>130</v>
      </c>
      <c r="F87" s="16">
        <f t="shared" si="8"/>
        <v>1995.5</v>
      </c>
      <c r="G87" s="17"/>
    </row>
    <row r="88" ht="21" customHeight="1" spans="1:7">
      <c r="A88" s="11" t="s">
        <v>223</v>
      </c>
      <c r="B88" s="18" t="s">
        <v>134</v>
      </c>
      <c r="C88" s="24" t="s">
        <v>111</v>
      </c>
      <c r="D88" s="25">
        <f>1.14*2.06</f>
        <v>2.3484</v>
      </c>
      <c r="E88" s="11">
        <v>800</v>
      </c>
      <c r="F88" s="16">
        <f t="shared" si="8"/>
        <v>1878.72</v>
      </c>
      <c r="G88" s="17"/>
    </row>
    <row r="89" ht="21" customHeight="1" spans="1:7">
      <c r="A89" s="11" t="s">
        <v>224</v>
      </c>
      <c r="B89" s="18" t="s">
        <v>208</v>
      </c>
      <c r="C89" s="24" t="s">
        <v>128</v>
      </c>
      <c r="D89" s="25">
        <f>2.06*2+1.14</f>
        <v>5.26</v>
      </c>
      <c r="E89" s="11">
        <v>100</v>
      </c>
      <c r="F89" s="16">
        <f t="shared" si="8"/>
        <v>526</v>
      </c>
      <c r="G89" s="17"/>
    </row>
    <row r="90" ht="21" customHeight="1" spans="1:7">
      <c r="A90" s="11" t="s">
        <v>225</v>
      </c>
      <c r="B90" s="17" t="s">
        <v>144</v>
      </c>
      <c r="C90" s="24" t="s">
        <v>111</v>
      </c>
      <c r="D90" s="26">
        <f>0.7*2.8</f>
        <v>1.96</v>
      </c>
      <c r="E90" s="11">
        <v>50</v>
      </c>
      <c r="F90" s="16">
        <f t="shared" si="8"/>
        <v>98</v>
      </c>
      <c r="G90" s="17"/>
    </row>
    <row r="91" ht="21" customHeight="1" spans="1:7">
      <c r="A91" s="11" t="s">
        <v>226</v>
      </c>
      <c r="B91" s="18" t="s">
        <v>227</v>
      </c>
      <c r="C91" s="11"/>
      <c r="D91" s="11"/>
      <c r="E91" s="11"/>
      <c r="F91" s="16"/>
      <c r="G91" s="17"/>
    </row>
    <row r="92" ht="21" customHeight="1" spans="1:7">
      <c r="A92" s="11" t="s">
        <v>228</v>
      </c>
      <c r="B92" s="18" t="s">
        <v>121</v>
      </c>
      <c r="C92" s="24" t="s">
        <v>111</v>
      </c>
      <c r="D92" s="26">
        <v>5.46</v>
      </c>
      <c r="E92" s="11">
        <v>190</v>
      </c>
      <c r="F92" s="16">
        <f t="shared" ref="F92:F98" si="9">E92*D92</f>
        <v>1037.4</v>
      </c>
      <c r="G92" s="17"/>
    </row>
    <row r="93" ht="21" customHeight="1" spans="1:7">
      <c r="A93" s="11" t="s">
        <v>229</v>
      </c>
      <c r="B93" s="18" t="s">
        <v>123</v>
      </c>
      <c r="C93" s="24" t="s">
        <v>111</v>
      </c>
      <c r="D93" s="26">
        <f>D92</f>
        <v>5.46</v>
      </c>
      <c r="E93" s="11">
        <v>40</v>
      </c>
      <c r="F93" s="16">
        <f t="shared" si="9"/>
        <v>218.4</v>
      </c>
      <c r="G93" s="17"/>
    </row>
    <row r="94" ht="21" customHeight="1" spans="1:7">
      <c r="A94" s="11" t="s">
        <v>230</v>
      </c>
      <c r="B94" s="18" t="s">
        <v>151</v>
      </c>
      <c r="C94" s="24" t="s">
        <v>111</v>
      </c>
      <c r="D94" s="26">
        <v>13.2</v>
      </c>
      <c r="E94" s="11">
        <v>190</v>
      </c>
      <c r="F94" s="16">
        <f t="shared" si="9"/>
        <v>2508</v>
      </c>
      <c r="G94" s="17"/>
    </row>
    <row r="95" ht="21" customHeight="1" spans="1:7">
      <c r="A95" s="11" t="s">
        <v>231</v>
      </c>
      <c r="B95" s="18" t="s">
        <v>127</v>
      </c>
      <c r="C95" s="24" t="s">
        <v>128</v>
      </c>
      <c r="D95" s="26">
        <f>(16.2+14.5)/2</f>
        <v>15.35</v>
      </c>
      <c r="E95" s="11">
        <v>130</v>
      </c>
      <c r="F95" s="16">
        <f t="shared" si="9"/>
        <v>1995.5</v>
      </c>
      <c r="G95" s="17"/>
    </row>
    <row r="96" ht="21" customHeight="1" spans="1:7">
      <c r="A96" s="11" t="s">
        <v>232</v>
      </c>
      <c r="B96" s="18" t="s">
        <v>134</v>
      </c>
      <c r="C96" s="24" t="s">
        <v>111</v>
      </c>
      <c r="D96" s="25">
        <f>1.14*2.06</f>
        <v>2.3484</v>
      </c>
      <c r="E96" s="11">
        <v>800</v>
      </c>
      <c r="F96" s="16">
        <f t="shared" si="9"/>
        <v>1878.72</v>
      </c>
      <c r="G96" s="17"/>
    </row>
    <row r="97" ht="21" customHeight="1" spans="1:7">
      <c r="A97" s="11" t="s">
        <v>233</v>
      </c>
      <c r="B97" s="18" t="s">
        <v>208</v>
      </c>
      <c r="C97" s="24" t="s">
        <v>128</v>
      </c>
      <c r="D97" s="25">
        <f>2.06*2+1.14</f>
        <v>5.26</v>
      </c>
      <c r="E97" s="11">
        <v>100</v>
      </c>
      <c r="F97" s="16">
        <f t="shared" si="9"/>
        <v>526</v>
      </c>
      <c r="G97" s="17"/>
    </row>
    <row r="98" ht="21" customHeight="1" spans="1:7">
      <c r="A98" s="11" t="s">
        <v>234</v>
      </c>
      <c r="B98" s="17" t="s">
        <v>144</v>
      </c>
      <c r="C98" s="24" t="s">
        <v>111</v>
      </c>
      <c r="D98" s="26">
        <f>0.7*2.8</f>
        <v>1.96</v>
      </c>
      <c r="E98" s="11">
        <v>50</v>
      </c>
      <c r="F98" s="16">
        <f t="shared" si="9"/>
        <v>98</v>
      </c>
      <c r="G98" s="17"/>
    </row>
    <row r="99" ht="21" customHeight="1" spans="1:7">
      <c r="A99" s="11" t="s">
        <v>235</v>
      </c>
      <c r="B99" s="18" t="s">
        <v>236</v>
      </c>
      <c r="C99" s="11"/>
      <c r="D99" s="11"/>
      <c r="E99" s="11"/>
      <c r="F99" s="16"/>
      <c r="G99" s="17"/>
    </row>
    <row r="100" ht="27" customHeight="1" spans="1:7">
      <c r="A100" s="11" t="s">
        <v>237</v>
      </c>
      <c r="B100" s="18" t="s">
        <v>121</v>
      </c>
      <c r="C100" s="24" t="s">
        <v>111</v>
      </c>
      <c r="D100" s="26">
        <f>1.63+3.88+3.12+0.74</f>
        <v>9.37</v>
      </c>
      <c r="E100" s="11">
        <v>190</v>
      </c>
      <c r="F100" s="16">
        <f t="shared" ref="F100:F105" si="10">E100*D100</f>
        <v>1780.3</v>
      </c>
      <c r="G100" s="17"/>
    </row>
    <row r="101" ht="26" customHeight="1" spans="1:7">
      <c r="A101" s="11" t="s">
        <v>238</v>
      </c>
      <c r="B101" s="18" t="s">
        <v>123</v>
      </c>
      <c r="C101" s="24" t="s">
        <v>111</v>
      </c>
      <c r="D101" s="26">
        <f>D100</f>
        <v>9.37</v>
      </c>
      <c r="E101" s="11"/>
      <c r="F101" s="16">
        <f t="shared" si="10"/>
        <v>0</v>
      </c>
      <c r="G101" s="17"/>
    </row>
    <row r="102" ht="30" customHeight="1" spans="1:7">
      <c r="A102" s="11" t="s">
        <v>239</v>
      </c>
      <c r="B102" s="18" t="s">
        <v>151</v>
      </c>
      <c r="C102" s="24" t="s">
        <v>111</v>
      </c>
      <c r="D102" s="26">
        <v>14.73</v>
      </c>
      <c r="E102" s="11">
        <v>190</v>
      </c>
      <c r="F102" s="16">
        <f t="shared" si="10"/>
        <v>2798.7</v>
      </c>
      <c r="G102" s="17"/>
    </row>
    <row r="103" ht="46" customHeight="1" spans="1:7">
      <c r="A103" s="11" t="s">
        <v>240</v>
      </c>
      <c r="B103" s="18" t="s">
        <v>127</v>
      </c>
      <c r="C103" s="24" t="s">
        <v>128</v>
      </c>
      <c r="D103" s="26">
        <f>(18.2+16.64)/2</f>
        <v>17.42</v>
      </c>
      <c r="E103" s="11">
        <v>130</v>
      </c>
      <c r="F103" s="16">
        <f t="shared" si="10"/>
        <v>2264.6</v>
      </c>
      <c r="G103" s="17"/>
    </row>
    <row r="104" ht="21" customHeight="1" spans="1:7">
      <c r="A104" s="11" t="s">
        <v>241</v>
      </c>
      <c r="B104" s="18" t="s">
        <v>134</v>
      </c>
      <c r="C104" s="24" t="s">
        <v>111</v>
      </c>
      <c r="D104" s="25">
        <f>1.07*2.08</f>
        <v>2.2256</v>
      </c>
      <c r="E104" s="11">
        <v>800</v>
      </c>
      <c r="F104" s="16">
        <f t="shared" si="10"/>
        <v>1780.48</v>
      </c>
      <c r="G104" s="17"/>
    </row>
    <row r="105" ht="21" customHeight="1" spans="1:7">
      <c r="A105" s="11" t="s">
        <v>242</v>
      </c>
      <c r="B105" s="18" t="s">
        <v>208</v>
      </c>
      <c r="C105" s="24" t="s">
        <v>128</v>
      </c>
      <c r="D105" s="25">
        <f>1.07+2.08*2</f>
        <v>5.23</v>
      </c>
      <c r="E105" s="11">
        <v>100</v>
      </c>
      <c r="F105" s="16">
        <f t="shared" si="10"/>
        <v>523</v>
      </c>
      <c r="G105" s="17"/>
    </row>
    <row r="106" ht="21" customHeight="1" spans="1:7">
      <c r="A106" s="11" t="s">
        <v>243</v>
      </c>
      <c r="B106" s="18" t="s">
        <v>244</v>
      </c>
      <c r="C106" s="11"/>
      <c r="D106" s="11"/>
      <c r="E106" s="11"/>
      <c r="F106" s="16"/>
      <c r="G106" s="17"/>
    </row>
    <row r="107" ht="21" customHeight="1" spans="1:7">
      <c r="A107" s="11" t="s">
        <v>245</v>
      </c>
      <c r="B107" s="18" t="s">
        <v>121</v>
      </c>
      <c r="C107" s="24" t="s">
        <v>111</v>
      </c>
      <c r="D107" s="26">
        <f>1.63+3.88+3.12+0.74</f>
        <v>9.37</v>
      </c>
      <c r="E107" s="11">
        <v>190</v>
      </c>
      <c r="F107" s="16">
        <f t="shared" ref="F107:F112" si="11">E107*D107</f>
        <v>1780.3</v>
      </c>
      <c r="G107" s="17"/>
    </row>
    <row r="108" ht="21" customHeight="1" spans="1:7">
      <c r="A108" s="11" t="s">
        <v>246</v>
      </c>
      <c r="B108" s="18" t="s">
        <v>123</v>
      </c>
      <c r="C108" s="24" t="s">
        <v>111</v>
      </c>
      <c r="D108" s="26">
        <f>D107</f>
        <v>9.37</v>
      </c>
      <c r="E108" s="11"/>
      <c r="F108" s="16">
        <f t="shared" si="11"/>
        <v>0</v>
      </c>
      <c r="G108" s="17"/>
    </row>
    <row r="109" ht="21" customHeight="1" spans="1:7">
      <c r="A109" s="11" t="s">
        <v>247</v>
      </c>
      <c r="B109" s="18" t="s">
        <v>151</v>
      </c>
      <c r="C109" s="24" t="s">
        <v>111</v>
      </c>
      <c r="D109" s="26">
        <v>14.73</v>
      </c>
      <c r="E109" s="11">
        <v>190</v>
      </c>
      <c r="F109" s="16">
        <f t="shared" si="11"/>
        <v>2798.7</v>
      </c>
      <c r="G109" s="17"/>
    </row>
    <row r="110" ht="42" customHeight="1" spans="1:7">
      <c r="A110" s="11" t="s">
        <v>248</v>
      </c>
      <c r="B110" s="18" t="s">
        <v>127</v>
      </c>
      <c r="C110" s="24" t="s">
        <v>128</v>
      </c>
      <c r="D110" s="26">
        <f>(18.2+16.64)/2</f>
        <v>17.42</v>
      </c>
      <c r="E110" s="11">
        <v>130</v>
      </c>
      <c r="F110" s="16">
        <f t="shared" si="11"/>
        <v>2264.6</v>
      </c>
      <c r="G110" s="17"/>
    </row>
    <row r="111" ht="28" customHeight="1" spans="1:7">
      <c r="A111" s="11" t="s">
        <v>249</v>
      </c>
      <c r="B111" s="18" t="s">
        <v>134</v>
      </c>
      <c r="C111" s="24" t="s">
        <v>111</v>
      </c>
      <c r="D111" s="25">
        <f>1.07*2.07</f>
        <v>2.2149</v>
      </c>
      <c r="E111" s="11">
        <v>800</v>
      </c>
      <c r="F111" s="16">
        <f t="shared" si="11"/>
        <v>1771.92</v>
      </c>
      <c r="G111" s="17"/>
    </row>
    <row r="112" ht="28" customHeight="1" spans="1:7">
      <c r="A112" s="11" t="s">
        <v>250</v>
      </c>
      <c r="B112" s="18" t="s">
        <v>208</v>
      </c>
      <c r="C112" s="24" t="s">
        <v>128</v>
      </c>
      <c r="D112" s="25">
        <f>1.07+2.07*2</f>
        <v>5.21</v>
      </c>
      <c r="E112" s="11">
        <v>100</v>
      </c>
      <c r="F112" s="16">
        <f t="shared" si="11"/>
        <v>521</v>
      </c>
      <c r="G112" s="17"/>
    </row>
    <row r="113" ht="21" customHeight="1" spans="1:7">
      <c r="A113" s="11" t="s">
        <v>251</v>
      </c>
      <c r="B113" s="18" t="s">
        <v>252</v>
      </c>
      <c r="C113" s="11"/>
      <c r="D113" s="11"/>
      <c r="E113" s="11"/>
      <c r="F113" s="16"/>
      <c r="G113" s="17"/>
    </row>
    <row r="114" ht="21" customHeight="1" spans="1:7">
      <c r="A114" s="11" t="s">
        <v>253</v>
      </c>
      <c r="B114" s="18" t="s">
        <v>121</v>
      </c>
      <c r="C114" s="24" t="s">
        <v>111</v>
      </c>
      <c r="D114" s="26">
        <v>5.34</v>
      </c>
      <c r="E114" s="11">
        <v>190</v>
      </c>
      <c r="F114" s="16">
        <f t="shared" ref="F114:F120" si="12">E114*D114</f>
        <v>1014.6</v>
      </c>
      <c r="G114" s="17"/>
    </row>
    <row r="115" ht="21" customHeight="1" spans="1:7">
      <c r="A115" s="11" t="s">
        <v>254</v>
      </c>
      <c r="B115" s="18" t="s">
        <v>123</v>
      </c>
      <c r="C115" s="24" t="s">
        <v>111</v>
      </c>
      <c r="D115" s="26">
        <f>D114</f>
        <v>5.34</v>
      </c>
      <c r="E115" s="11"/>
      <c r="F115" s="16">
        <f t="shared" si="12"/>
        <v>0</v>
      </c>
      <c r="G115" s="17"/>
    </row>
    <row r="116" ht="21" customHeight="1" spans="1:7">
      <c r="A116" s="11" t="s">
        <v>255</v>
      </c>
      <c r="B116" s="18" t="s">
        <v>151</v>
      </c>
      <c r="C116" s="24" t="s">
        <v>111</v>
      </c>
      <c r="D116" s="26">
        <v>11.06</v>
      </c>
      <c r="E116" s="11">
        <v>190</v>
      </c>
      <c r="F116" s="16">
        <f t="shared" si="12"/>
        <v>2101.4</v>
      </c>
      <c r="G116" s="17"/>
    </row>
    <row r="117" ht="21" customHeight="1" spans="1:7">
      <c r="A117" s="11" t="s">
        <v>256</v>
      </c>
      <c r="B117" s="18" t="s">
        <v>127</v>
      </c>
      <c r="C117" s="24" t="s">
        <v>128</v>
      </c>
      <c r="D117" s="26">
        <f>(15+13.39)/2</f>
        <v>14.195</v>
      </c>
      <c r="E117" s="11">
        <v>130</v>
      </c>
      <c r="F117" s="16">
        <f t="shared" si="12"/>
        <v>1845.35</v>
      </c>
      <c r="G117" s="17"/>
    </row>
    <row r="118" ht="21" customHeight="1" spans="1:7">
      <c r="A118" s="11" t="s">
        <v>257</v>
      </c>
      <c r="B118" s="18" t="s">
        <v>134</v>
      </c>
      <c r="C118" s="24" t="s">
        <v>111</v>
      </c>
      <c r="D118" s="25">
        <f>1.1*2.1</f>
        <v>2.31</v>
      </c>
      <c r="E118" s="11">
        <v>800</v>
      </c>
      <c r="F118" s="16">
        <f t="shared" si="12"/>
        <v>1848</v>
      </c>
      <c r="G118" s="17"/>
    </row>
    <row r="119" ht="21" customHeight="1" spans="1:7">
      <c r="A119" s="11" t="s">
        <v>258</v>
      </c>
      <c r="B119" s="17" t="s">
        <v>144</v>
      </c>
      <c r="C119" s="24" t="s">
        <v>111</v>
      </c>
      <c r="D119" s="26">
        <f>0.7*2.8</f>
        <v>1.96</v>
      </c>
      <c r="E119" s="11">
        <v>50</v>
      </c>
      <c r="F119" s="16">
        <f t="shared" si="12"/>
        <v>98</v>
      </c>
      <c r="G119" s="17"/>
    </row>
    <row r="120" ht="21" customHeight="1" spans="1:7">
      <c r="A120" s="11" t="s">
        <v>259</v>
      </c>
      <c r="B120" s="18" t="s">
        <v>208</v>
      </c>
      <c r="C120" s="24" t="s">
        <v>128</v>
      </c>
      <c r="D120" s="25">
        <f>1.1+2.1*2</f>
        <v>5.3</v>
      </c>
      <c r="E120" s="11">
        <v>100</v>
      </c>
      <c r="F120" s="16">
        <f t="shared" si="12"/>
        <v>530</v>
      </c>
      <c r="G120" s="17"/>
    </row>
    <row r="121" ht="21" customHeight="1" spans="1:7">
      <c r="A121" s="11" t="s">
        <v>260</v>
      </c>
      <c r="B121" s="18" t="s">
        <v>261</v>
      </c>
      <c r="C121" s="11"/>
      <c r="D121" s="11"/>
      <c r="E121" s="11"/>
      <c r="F121" s="16"/>
      <c r="G121" s="17"/>
    </row>
    <row r="122" ht="21" customHeight="1" spans="1:7">
      <c r="A122" s="11" t="s">
        <v>262</v>
      </c>
      <c r="B122" s="18" t="s">
        <v>121</v>
      </c>
      <c r="C122" s="24" t="s">
        <v>111</v>
      </c>
      <c r="D122" s="26">
        <v>5.34</v>
      </c>
      <c r="E122" s="11">
        <v>190</v>
      </c>
      <c r="F122" s="16">
        <f t="shared" ref="F122:F128" si="13">E122*D122</f>
        <v>1014.6</v>
      </c>
      <c r="G122" s="17"/>
    </row>
    <row r="123" ht="21" customHeight="1" spans="1:7">
      <c r="A123" s="11" t="s">
        <v>263</v>
      </c>
      <c r="B123" s="18" t="s">
        <v>123</v>
      </c>
      <c r="C123" s="24" t="s">
        <v>111</v>
      </c>
      <c r="D123" s="26">
        <f>D122</f>
        <v>5.34</v>
      </c>
      <c r="E123" s="11"/>
      <c r="F123" s="16">
        <f t="shared" si="13"/>
        <v>0</v>
      </c>
      <c r="G123" s="17"/>
    </row>
    <row r="124" ht="21" customHeight="1" spans="1:7">
      <c r="A124" s="11" t="s">
        <v>264</v>
      </c>
      <c r="B124" s="18" t="s">
        <v>151</v>
      </c>
      <c r="C124" s="24" t="s">
        <v>111</v>
      </c>
      <c r="D124" s="26">
        <v>11.06</v>
      </c>
      <c r="E124" s="11">
        <v>190</v>
      </c>
      <c r="F124" s="16">
        <f t="shared" si="13"/>
        <v>2101.4</v>
      </c>
      <c r="G124" s="17"/>
    </row>
    <row r="125" ht="21" customHeight="1" spans="1:7">
      <c r="A125" s="11" t="s">
        <v>265</v>
      </c>
      <c r="B125" s="18" t="s">
        <v>127</v>
      </c>
      <c r="C125" s="24" t="s">
        <v>128</v>
      </c>
      <c r="D125" s="26">
        <f>(15+13.39)/2</f>
        <v>14.195</v>
      </c>
      <c r="E125" s="11">
        <v>130</v>
      </c>
      <c r="F125" s="16">
        <f t="shared" si="13"/>
        <v>1845.35</v>
      </c>
      <c r="G125" s="17"/>
    </row>
    <row r="126" ht="21" customHeight="1" spans="1:7">
      <c r="A126" s="11" t="s">
        <v>266</v>
      </c>
      <c r="B126" s="18" t="s">
        <v>134</v>
      </c>
      <c r="C126" s="24" t="s">
        <v>111</v>
      </c>
      <c r="D126" s="25">
        <f>1.1*2.1</f>
        <v>2.31</v>
      </c>
      <c r="E126" s="11">
        <v>800</v>
      </c>
      <c r="F126" s="16">
        <f t="shared" si="13"/>
        <v>1848</v>
      </c>
      <c r="G126" s="17"/>
    </row>
    <row r="127" ht="21" customHeight="1" spans="1:7">
      <c r="A127" s="11" t="s">
        <v>267</v>
      </c>
      <c r="B127" s="17" t="s">
        <v>144</v>
      </c>
      <c r="C127" s="24" t="s">
        <v>111</v>
      </c>
      <c r="D127" s="26">
        <f>0.7*2.8</f>
        <v>1.96</v>
      </c>
      <c r="E127" s="11">
        <v>50</v>
      </c>
      <c r="F127" s="16">
        <f t="shared" si="13"/>
        <v>98</v>
      </c>
      <c r="G127" s="17"/>
    </row>
    <row r="128" ht="21" customHeight="1" spans="1:7">
      <c r="A128" s="11" t="s">
        <v>268</v>
      </c>
      <c r="B128" s="18" t="s">
        <v>208</v>
      </c>
      <c r="C128" s="24" t="s">
        <v>128</v>
      </c>
      <c r="D128" s="25">
        <f>1.1+2.1*2</f>
        <v>5.3</v>
      </c>
      <c r="E128" s="11">
        <v>100</v>
      </c>
      <c r="F128" s="16">
        <f t="shared" si="13"/>
        <v>530</v>
      </c>
      <c r="G128" s="17"/>
    </row>
    <row r="129" ht="21" customHeight="1" spans="1:7">
      <c r="A129" s="11" t="s">
        <v>269</v>
      </c>
      <c r="B129" s="18" t="s">
        <v>270</v>
      </c>
      <c r="C129" s="11"/>
      <c r="D129" s="11"/>
      <c r="E129" s="11"/>
      <c r="F129" s="16"/>
      <c r="G129" s="17"/>
    </row>
    <row r="130" ht="21" customHeight="1" spans="1:7">
      <c r="A130" s="11" t="s">
        <v>271</v>
      </c>
      <c r="B130" s="18" t="s">
        <v>110</v>
      </c>
      <c r="C130" s="24" t="s">
        <v>111</v>
      </c>
      <c r="D130" s="26">
        <f>1.5*3.5-1.1*2.1</f>
        <v>2.94</v>
      </c>
      <c r="E130" s="11">
        <v>90</v>
      </c>
      <c r="F130" s="16">
        <f t="shared" ref="F130:F138" si="14">E130*D130</f>
        <v>264.6</v>
      </c>
      <c r="G130" s="17"/>
    </row>
    <row r="131" ht="21" customHeight="1" spans="1:7">
      <c r="A131" s="11" t="s">
        <v>272</v>
      </c>
      <c r="B131" s="18" t="s">
        <v>273</v>
      </c>
      <c r="C131" s="24" t="s">
        <v>111</v>
      </c>
      <c r="D131" s="26">
        <f>0.45*3.5</f>
        <v>1.575</v>
      </c>
      <c r="E131" s="11"/>
      <c r="F131" s="16">
        <f t="shared" si="14"/>
        <v>0</v>
      </c>
      <c r="G131" s="17"/>
    </row>
    <row r="132" ht="21" customHeight="1" spans="1:7">
      <c r="A132" s="11" t="s">
        <v>274</v>
      </c>
      <c r="B132" s="18" t="s">
        <v>121</v>
      </c>
      <c r="C132" s="24" t="s">
        <v>111</v>
      </c>
      <c r="D132" s="26">
        <f>13.84+5.34</f>
        <v>19.18</v>
      </c>
      <c r="E132" s="11">
        <v>190</v>
      </c>
      <c r="F132" s="16">
        <f t="shared" si="14"/>
        <v>3644.2</v>
      </c>
      <c r="G132" s="17"/>
    </row>
    <row r="133" ht="21" customHeight="1" spans="1:7">
      <c r="A133" s="11" t="s">
        <v>275</v>
      </c>
      <c r="B133" s="18" t="s">
        <v>123</v>
      </c>
      <c r="C133" s="24" t="s">
        <v>111</v>
      </c>
      <c r="D133" s="26">
        <f>D132</f>
        <v>19.18</v>
      </c>
      <c r="E133" s="11"/>
      <c r="F133" s="16">
        <f t="shared" si="14"/>
        <v>0</v>
      </c>
      <c r="G133" s="17"/>
    </row>
    <row r="134" ht="21" customHeight="1" spans="1:7">
      <c r="A134" s="11" t="s">
        <v>276</v>
      </c>
      <c r="B134" s="18" t="s">
        <v>130</v>
      </c>
      <c r="C134" s="24" t="s">
        <v>111</v>
      </c>
      <c r="D134" s="25">
        <f>(4.4+3.668)*2.8-1.1*2.1</f>
        <v>20.2804</v>
      </c>
      <c r="E134" s="11">
        <v>169.04</v>
      </c>
      <c r="F134" s="16">
        <f t="shared" si="14"/>
        <v>3428.198816</v>
      </c>
      <c r="G134" s="17"/>
    </row>
    <row r="135" ht="21" customHeight="1" spans="1:7">
      <c r="A135" s="11" t="s">
        <v>277</v>
      </c>
      <c r="B135" s="18" t="s">
        <v>151</v>
      </c>
      <c r="C135" s="24" t="s">
        <v>111</v>
      </c>
      <c r="D135" s="26">
        <v>11.8</v>
      </c>
      <c r="E135" s="11">
        <v>190</v>
      </c>
      <c r="F135" s="16">
        <f t="shared" si="14"/>
        <v>2242</v>
      </c>
      <c r="G135" s="17"/>
    </row>
    <row r="136" ht="39" customHeight="1" spans="1:7">
      <c r="A136" s="11" t="s">
        <v>278</v>
      </c>
      <c r="B136" s="18" t="s">
        <v>127</v>
      </c>
      <c r="C136" s="24" t="s">
        <v>128</v>
      </c>
      <c r="D136" s="26">
        <f>(15.4+13.8)/2</f>
        <v>14.6</v>
      </c>
      <c r="E136" s="11">
        <v>130</v>
      </c>
      <c r="F136" s="16">
        <f t="shared" si="14"/>
        <v>1898</v>
      </c>
      <c r="G136" s="17"/>
    </row>
    <row r="137" ht="21" customHeight="1" spans="1:7">
      <c r="A137" s="11" t="s">
        <v>279</v>
      </c>
      <c r="B137" s="18" t="s">
        <v>134</v>
      </c>
      <c r="C137" s="24" t="s">
        <v>111</v>
      </c>
      <c r="D137" s="25">
        <f>1.69*2.4</f>
        <v>4.056</v>
      </c>
      <c r="E137" s="11">
        <v>800</v>
      </c>
      <c r="F137" s="16">
        <f t="shared" si="14"/>
        <v>3244.8</v>
      </c>
      <c r="G137" s="17"/>
    </row>
    <row r="138" ht="21" customHeight="1" spans="1:7">
      <c r="A138" s="11" t="s">
        <v>280</v>
      </c>
      <c r="B138" s="18" t="s">
        <v>208</v>
      </c>
      <c r="C138" s="24" t="s">
        <v>128</v>
      </c>
      <c r="D138" s="25">
        <f>2.8*2</f>
        <v>5.6</v>
      </c>
      <c r="E138" s="11">
        <v>100</v>
      </c>
      <c r="F138" s="16">
        <f t="shared" si="14"/>
        <v>560</v>
      </c>
      <c r="G138" s="17"/>
    </row>
    <row r="139" ht="21" customHeight="1" spans="1:7">
      <c r="A139" s="11" t="s">
        <v>281</v>
      </c>
      <c r="B139" s="18" t="s">
        <v>282</v>
      </c>
      <c r="C139" s="24"/>
      <c r="D139" s="11"/>
      <c r="E139" s="11"/>
      <c r="F139" s="16"/>
      <c r="G139" s="17"/>
    </row>
    <row r="140" ht="21" customHeight="1" spans="1:7">
      <c r="A140" s="11" t="s">
        <v>283</v>
      </c>
      <c r="B140" s="18" t="s">
        <v>110</v>
      </c>
      <c r="C140" s="24" t="s">
        <v>111</v>
      </c>
      <c r="D140" s="26">
        <f>1.5*3.5-1.1*2.1</f>
        <v>2.94</v>
      </c>
      <c r="E140" s="11">
        <v>90</v>
      </c>
      <c r="F140" s="16">
        <f>E140*D140</f>
        <v>264.6</v>
      </c>
      <c r="G140" s="17"/>
    </row>
    <row r="141" ht="21" customHeight="1" spans="1:7">
      <c r="A141" s="11" t="s">
        <v>284</v>
      </c>
      <c r="B141" s="18" t="s">
        <v>121</v>
      </c>
      <c r="C141" s="24" t="s">
        <v>111</v>
      </c>
      <c r="D141" s="26">
        <f>20.11+6.39</f>
        <v>26.5</v>
      </c>
      <c r="E141" s="11">
        <v>190</v>
      </c>
      <c r="F141" s="16">
        <f>E141*D141</f>
        <v>5035</v>
      </c>
      <c r="G141" s="17"/>
    </row>
    <row r="142" ht="21" customHeight="1" spans="1:7">
      <c r="A142" s="11" t="s">
        <v>285</v>
      </c>
      <c r="B142" s="18" t="s">
        <v>123</v>
      </c>
      <c r="C142" s="24" t="s">
        <v>111</v>
      </c>
      <c r="D142" s="26">
        <f>D141</f>
        <v>26.5</v>
      </c>
      <c r="E142" s="11"/>
      <c r="F142" s="16">
        <f t="shared" ref="F142:F148" si="15">E142*D142</f>
        <v>0</v>
      </c>
      <c r="G142" s="17"/>
    </row>
    <row r="143" ht="21" customHeight="1" spans="1:7">
      <c r="A143" s="11" t="s">
        <v>286</v>
      </c>
      <c r="B143" s="18" t="s">
        <v>130</v>
      </c>
      <c r="C143" s="24"/>
      <c r="D143" s="25">
        <f>7.914*2.49+4.863*2.49-1.1*1.2</f>
        <v>30.49473</v>
      </c>
      <c r="E143" s="11">
        <f>E134</f>
        <v>169.04</v>
      </c>
      <c r="F143" s="16">
        <f t="shared" si="15"/>
        <v>5154.8291592</v>
      </c>
      <c r="G143" s="17"/>
    </row>
    <row r="144" ht="21" customHeight="1" spans="1:7">
      <c r="A144" s="11" t="s">
        <v>287</v>
      </c>
      <c r="B144" s="18" t="s">
        <v>151</v>
      </c>
      <c r="C144" s="24" t="s">
        <v>111</v>
      </c>
      <c r="D144" s="26">
        <v>11.8</v>
      </c>
      <c r="E144" s="11">
        <v>190</v>
      </c>
      <c r="F144" s="16">
        <f t="shared" si="15"/>
        <v>2242</v>
      </c>
      <c r="G144" s="17"/>
    </row>
    <row r="145" ht="30" customHeight="1" spans="1:7">
      <c r="A145" s="11" t="s">
        <v>288</v>
      </c>
      <c r="B145" s="18" t="s">
        <v>127</v>
      </c>
      <c r="C145" s="24" t="s">
        <v>128</v>
      </c>
      <c r="D145" s="26">
        <f>(18.5+16)/2</f>
        <v>17.25</v>
      </c>
      <c r="E145" s="11">
        <v>130</v>
      </c>
      <c r="F145" s="16">
        <f t="shared" si="15"/>
        <v>2242.5</v>
      </c>
      <c r="G145" s="17"/>
    </row>
    <row r="146" ht="21" customHeight="1" spans="1:7">
      <c r="A146" s="11" t="s">
        <v>289</v>
      </c>
      <c r="B146" s="18" t="s">
        <v>134</v>
      </c>
      <c r="C146" s="24" t="s">
        <v>111</v>
      </c>
      <c r="D146" s="25">
        <f>1.88*2.32</f>
        <v>4.3616</v>
      </c>
      <c r="E146" s="11">
        <v>800</v>
      </c>
      <c r="F146" s="16">
        <f t="shared" si="15"/>
        <v>3489.28</v>
      </c>
      <c r="G146" s="17"/>
    </row>
    <row r="147" ht="32" customHeight="1" spans="1:7">
      <c r="A147" s="11" t="s">
        <v>290</v>
      </c>
      <c r="B147" s="18" t="s">
        <v>291</v>
      </c>
      <c r="C147" s="24" t="s">
        <v>137</v>
      </c>
      <c r="D147" s="26">
        <v>1</v>
      </c>
      <c r="E147" s="11">
        <f>0.8*0.8*1000</f>
        <v>640</v>
      </c>
      <c r="F147" s="16">
        <f t="shared" si="15"/>
        <v>640</v>
      </c>
      <c r="G147" s="17"/>
    </row>
    <row r="148" ht="21" customHeight="1" spans="1:7">
      <c r="A148" s="11" t="s">
        <v>292</v>
      </c>
      <c r="B148" s="18" t="s">
        <v>208</v>
      </c>
      <c r="C148" s="24" t="s">
        <v>128</v>
      </c>
      <c r="D148" s="25">
        <f>2.5*2</f>
        <v>5</v>
      </c>
      <c r="E148" s="11">
        <v>100</v>
      </c>
      <c r="F148" s="16">
        <f t="shared" si="15"/>
        <v>500</v>
      </c>
      <c r="G148" s="17"/>
    </row>
    <row r="149" ht="21" customHeight="1" spans="1:7">
      <c r="A149" s="11" t="s">
        <v>293</v>
      </c>
      <c r="B149" s="18" t="s">
        <v>294</v>
      </c>
      <c r="C149" s="24"/>
      <c r="D149" s="11"/>
      <c r="E149" s="11"/>
      <c r="F149" s="16"/>
      <c r="G149" s="17"/>
    </row>
    <row r="150" ht="21" customHeight="1" spans="1:7">
      <c r="A150" s="11" t="s">
        <v>295</v>
      </c>
      <c r="B150" s="18" t="s">
        <v>121</v>
      </c>
      <c r="C150" s="24" t="s">
        <v>111</v>
      </c>
      <c r="D150" s="26">
        <v>16.48</v>
      </c>
      <c r="E150" s="11">
        <v>190</v>
      </c>
      <c r="F150" s="16">
        <f>E150*D150</f>
        <v>3131.2</v>
      </c>
      <c r="G150" s="17"/>
    </row>
    <row r="151" ht="21" customHeight="1" spans="1:7">
      <c r="A151" s="11" t="s">
        <v>296</v>
      </c>
      <c r="B151" s="18" t="s">
        <v>123</v>
      </c>
      <c r="C151" s="24" t="s">
        <v>111</v>
      </c>
      <c r="D151" s="26">
        <f>D150</f>
        <v>16.48</v>
      </c>
      <c r="E151" s="11"/>
      <c r="F151" s="16">
        <f t="shared" ref="F151:F156" si="16">E151*D151</f>
        <v>0</v>
      </c>
      <c r="G151" s="17"/>
    </row>
    <row r="152" ht="21" customHeight="1" spans="1:7">
      <c r="A152" s="11" t="s">
        <v>297</v>
      </c>
      <c r="B152" s="18" t="s">
        <v>151</v>
      </c>
      <c r="C152" s="24" t="s">
        <v>111</v>
      </c>
      <c r="D152" s="26">
        <v>11.32</v>
      </c>
      <c r="E152" s="11">
        <v>190</v>
      </c>
      <c r="F152" s="16">
        <f t="shared" si="16"/>
        <v>2150.8</v>
      </c>
      <c r="G152" s="17"/>
    </row>
    <row r="153" ht="36" customHeight="1" spans="1:7">
      <c r="A153" s="11" t="s">
        <v>298</v>
      </c>
      <c r="B153" s="18" t="s">
        <v>127</v>
      </c>
      <c r="C153" s="24" t="s">
        <v>128</v>
      </c>
      <c r="D153" s="26">
        <f>(16+14.14)/2</f>
        <v>15.07</v>
      </c>
      <c r="E153" s="11">
        <v>130</v>
      </c>
      <c r="F153" s="16">
        <f t="shared" si="16"/>
        <v>1959.1</v>
      </c>
      <c r="G153" s="17"/>
    </row>
    <row r="154" ht="21" customHeight="1" spans="1:7">
      <c r="A154" s="11" t="s">
        <v>299</v>
      </c>
      <c r="B154" s="18" t="s">
        <v>134</v>
      </c>
      <c r="C154" s="24" t="s">
        <v>111</v>
      </c>
      <c r="D154" s="25">
        <f>1.23*2.21</f>
        <v>2.7183</v>
      </c>
      <c r="E154" s="11">
        <v>800</v>
      </c>
      <c r="F154" s="16">
        <f t="shared" si="16"/>
        <v>2174.64</v>
      </c>
      <c r="G154" s="17"/>
    </row>
    <row r="155" ht="26" customHeight="1" spans="1:7">
      <c r="A155" s="11" t="s">
        <v>300</v>
      </c>
      <c r="B155" s="18" t="s">
        <v>301</v>
      </c>
      <c r="C155" s="24" t="s">
        <v>137</v>
      </c>
      <c r="D155" s="26">
        <v>1</v>
      </c>
      <c r="E155" s="11">
        <f>1*1*1000</f>
        <v>1000</v>
      </c>
      <c r="F155" s="16">
        <f t="shared" si="16"/>
        <v>1000</v>
      </c>
      <c r="G155" s="17"/>
    </row>
    <row r="156" ht="26" customHeight="1" spans="1:7">
      <c r="A156" s="11" t="s">
        <v>302</v>
      </c>
      <c r="B156" s="18" t="s">
        <v>208</v>
      </c>
      <c r="C156" s="24" t="s">
        <v>128</v>
      </c>
      <c r="D156" s="25">
        <f>1.23+2.21*2</f>
        <v>5.65</v>
      </c>
      <c r="E156" s="11">
        <v>100</v>
      </c>
      <c r="F156" s="16">
        <f t="shared" si="16"/>
        <v>565</v>
      </c>
      <c r="G156" s="17"/>
    </row>
    <row r="157" ht="21" customHeight="1" spans="1:7">
      <c r="A157" s="11" t="s">
        <v>303</v>
      </c>
      <c r="B157" s="18" t="s">
        <v>304</v>
      </c>
      <c r="C157" s="24"/>
      <c r="D157" s="11"/>
      <c r="E157" s="11"/>
      <c r="F157" s="16"/>
      <c r="G157" s="17"/>
    </row>
    <row r="158" ht="21" customHeight="1" spans="1:7">
      <c r="A158" s="11" t="s">
        <v>305</v>
      </c>
      <c r="B158" s="18" t="s">
        <v>121</v>
      </c>
      <c r="C158" s="24" t="s">
        <v>111</v>
      </c>
      <c r="D158" s="26">
        <v>16.48</v>
      </c>
      <c r="E158" s="11">
        <v>190</v>
      </c>
      <c r="F158" s="16">
        <f t="shared" ref="F158:F164" si="17">E158*D158</f>
        <v>3131.2</v>
      </c>
      <c r="G158" s="17"/>
    </row>
    <row r="159" ht="21" customHeight="1" spans="1:7">
      <c r="A159" s="11" t="s">
        <v>306</v>
      </c>
      <c r="B159" s="18" t="s">
        <v>123</v>
      </c>
      <c r="C159" s="24" t="s">
        <v>111</v>
      </c>
      <c r="D159" s="26">
        <f>D158</f>
        <v>16.48</v>
      </c>
      <c r="E159" s="11">
        <v>40</v>
      </c>
      <c r="F159" s="16">
        <f t="shared" si="17"/>
        <v>659.2</v>
      </c>
      <c r="G159" s="17"/>
    </row>
    <row r="160" ht="21" customHeight="1" spans="1:7">
      <c r="A160" s="11" t="s">
        <v>307</v>
      </c>
      <c r="B160" s="18" t="s">
        <v>151</v>
      </c>
      <c r="C160" s="24" t="s">
        <v>111</v>
      </c>
      <c r="D160" s="26">
        <v>20.8</v>
      </c>
      <c r="E160" s="11">
        <v>190</v>
      </c>
      <c r="F160" s="16">
        <f t="shared" si="17"/>
        <v>3952</v>
      </c>
      <c r="G160" s="17"/>
    </row>
    <row r="161" ht="21" customHeight="1" spans="1:7">
      <c r="A161" s="11" t="s">
        <v>308</v>
      </c>
      <c r="B161" s="18" t="s">
        <v>127</v>
      </c>
      <c r="C161" s="24" t="s">
        <v>128</v>
      </c>
      <c r="D161" s="26">
        <f>(20+18.39)/2</f>
        <v>19.195</v>
      </c>
      <c r="E161" s="11">
        <v>130</v>
      </c>
      <c r="F161" s="16">
        <f t="shared" si="17"/>
        <v>2495.35</v>
      </c>
      <c r="G161" s="17"/>
    </row>
    <row r="162" ht="21" customHeight="1" spans="1:7">
      <c r="A162" s="11" t="s">
        <v>309</v>
      </c>
      <c r="B162" s="18" t="s">
        <v>134</v>
      </c>
      <c r="C162" s="24" t="s">
        <v>111</v>
      </c>
      <c r="D162" s="25">
        <f>1.25*2.22</f>
        <v>2.775</v>
      </c>
      <c r="E162" s="11">
        <v>800</v>
      </c>
      <c r="F162" s="16">
        <f t="shared" si="17"/>
        <v>2220</v>
      </c>
      <c r="G162" s="17"/>
    </row>
    <row r="163" ht="21" customHeight="1" spans="1:7">
      <c r="A163" s="11" t="s">
        <v>310</v>
      </c>
      <c r="B163" s="18" t="s">
        <v>208</v>
      </c>
      <c r="C163" s="24" t="s">
        <v>128</v>
      </c>
      <c r="D163" s="25">
        <f>1.25+2.22*2</f>
        <v>5.69</v>
      </c>
      <c r="E163" s="11">
        <v>100</v>
      </c>
      <c r="F163" s="16">
        <f t="shared" si="17"/>
        <v>569</v>
      </c>
      <c r="G163" s="17"/>
    </row>
    <row r="164" ht="31" customHeight="1" spans="1:7">
      <c r="A164" s="11" t="s">
        <v>311</v>
      </c>
      <c r="B164" s="18" t="s">
        <v>301</v>
      </c>
      <c r="C164" s="24" t="s">
        <v>137</v>
      </c>
      <c r="D164" s="26">
        <v>1</v>
      </c>
      <c r="E164" s="11">
        <f>1*1*1000</f>
        <v>1000</v>
      </c>
      <c r="F164" s="16">
        <f t="shared" si="17"/>
        <v>1000</v>
      </c>
      <c r="G164" s="17"/>
    </row>
    <row r="165" ht="21" customHeight="1" spans="1:7">
      <c r="A165" s="11" t="s">
        <v>312</v>
      </c>
      <c r="B165" s="18" t="s">
        <v>313</v>
      </c>
      <c r="C165" s="24"/>
      <c r="D165" s="11"/>
      <c r="E165" s="11"/>
      <c r="F165" s="16"/>
      <c r="G165" s="17"/>
    </row>
    <row r="166" ht="21" customHeight="1" spans="1:7">
      <c r="A166" s="11" t="s">
        <v>314</v>
      </c>
      <c r="B166" s="18" t="s">
        <v>121</v>
      </c>
      <c r="C166" s="24" t="s">
        <v>111</v>
      </c>
      <c r="D166" s="26">
        <v>16.48</v>
      </c>
      <c r="E166" s="11">
        <v>190</v>
      </c>
      <c r="F166" s="16">
        <f t="shared" ref="F166:F172" si="18">E166*D166</f>
        <v>3131.2</v>
      </c>
      <c r="G166" s="17"/>
    </row>
    <row r="167" ht="21" customHeight="1" spans="1:7">
      <c r="A167" s="11" t="s">
        <v>315</v>
      </c>
      <c r="B167" s="18" t="s">
        <v>123</v>
      </c>
      <c r="C167" s="24" t="s">
        <v>111</v>
      </c>
      <c r="D167" s="26">
        <f>D166</f>
        <v>16.48</v>
      </c>
      <c r="E167" s="11">
        <v>40</v>
      </c>
      <c r="F167" s="16">
        <f t="shared" si="18"/>
        <v>659.2</v>
      </c>
      <c r="G167" s="17"/>
    </row>
    <row r="168" ht="21" customHeight="1" spans="1:7">
      <c r="A168" s="11" t="s">
        <v>316</v>
      </c>
      <c r="B168" s="18" t="s">
        <v>151</v>
      </c>
      <c r="C168" s="24" t="s">
        <v>111</v>
      </c>
      <c r="D168" s="26">
        <v>11.92</v>
      </c>
      <c r="E168" s="11">
        <v>190</v>
      </c>
      <c r="F168" s="16">
        <f t="shared" si="18"/>
        <v>2264.8</v>
      </c>
      <c r="G168" s="17"/>
    </row>
    <row r="169" ht="48" customHeight="1" spans="1:7">
      <c r="A169" s="11" t="s">
        <v>317</v>
      </c>
      <c r="B169" s="18" t="s">
        <v>127</v>
      </c>
      <c r="C169" s="24" t="s">
        <v>128</v>
      </c>
      <c r="D169" s="26">
        <f>(17.26+15.66)/2</f>
        <v>16.46</v>
      </c>
      <c r="E169" s="11">
        <v>130</v>
      </c>
      <c r="F169" s="16">
        <f t="shared" si="18"/>
        <v>2139.8</v>
      </c>
      <c r="G169" s="17"/>
    </row>
    <row r="170" ht="21" customHeight="1" spans="1:7">
      <c r="A170" s="11" t="s">
        <v>318</v>
      </c>
      <c r="B170" s="18" t="s">
        <v>134</v>
      </c>
      <c r="C170" s="24" t="s">
        <v>111</v>
      </c>
      <c r="D170" s="25">
        <f>1.25*2.21</f>
        <v>2.7625</v>
      </c>
      <c r="E170" s="11">
        <v>800</v>
      </c>
      <c r="F170" s="16">
        <f t="shared" si="18"/>
        <v>2210</v>
      </c>
      <c r="G170" s="17"/>
    </row>
    <row r="171" ht="21" customHeight="1" spans="1:7">
      <c r="A171" s="11" t="s">
        <v>319</v>
      </c>
      <c r="B171" s="18" t="s">
        <v>208</v>
      </c>
      <c r="C171" s="24" t="s">
        <v>128</v>
      </c>
      <c r="D171" s="25">
        <f>1.25+2.21*2</f>
        <v>5.67</v>
      </c>
      <c r="E171" s="11">
        <v>100</v>
      </c>
      <c r="F171" s="16">
        <f t="shared" si="18"/>
        <v>567</v>
      </c>
      <c r="G171" s="17"/>
    </row>
    <row r="172" ht="31" customHeight="1" spans="1:7">
      <c r="A172" s="11" t="s">
        <v>320</v>
      </c>
      <c r="B172" s="18" t="s">
        <v>301</v>
      </c>
      <c r="C172" s="24" t="s">
        <v>137</v>
      </c>
      <c r="D172" s="26">
        <v>1</v>
      </c>
      <c r="E172" s="11">
        <f>1*1*1000</f>
        <v>1000</v>
      </c>
      <c r="F172" s="16">
        <f t="shared" si="18"/>
        <v>1000</v>
      </c>
      <c r="G172" s="17"/>
    </row>
    <row r="173" ht="21" customHeight="1" spans="1:7">
      <c r="A173" s="11" t="s">
        <v>321</v>
      </c>
      <c r="B173" s="18" t="s">
        <v>322</v>
      </c>
      <c r="C173" s="24"/>
      <c r="D173" s="11"/>
      <c r="E173" s="11"/>
      <c r="F173" s="16"/>
      <c r="G173" s="17"/>
    </row>
    <row r="174" ht="21" customHeight="1" spans="1:7">
      <c r="A174" s="11" t="s">
        <v>323</v>
      </c>
      <c r="B174" s="18" t="s">
        <v>121</v>
      </c>
      <c r="C174" s="24" t="s">
        <v>111</v>
      </c>
      <c r="D174" s="26">
        <v>5.37</v>
      </c>
      <c r="E174" s="11">
        <v>190</v>
      </c>
      <c r="F174" s="16">
        <f t="shared" ref="F174:F179" si="19">E174*D174</f>
        <v>1020.3</v>
      </c>
      <c r="G174" s="17"/>
    </row>
    <row r="175" ht="21" customHeight="1" spans="1:7">
      <c r="A175" s="11" t="s">
        <v>324</v>
      </c>
      <c r="B175" s="18" t="s">
        <v>123</v>
      </c>
      <c r="C175" s="24" t="s">
        <v>111</v>
      </c>
      <c r="D175" s="26">
        <f>D174</f>
        <v>5.37</v>
      </c>
      <c r="E175" s="11"/>
      <c r="F175" s="16">
        <f t="shared" si="19"/>
        <v>0</v>
      </c>
      <c r="G175" s="17"/>
    </row>
    <row r="176" ht="21" customHeight="1" spans="1:7">
      <c r="A176" s="11" t="s">
        <v>325</v>
      </c>
      <c r="B176" s="18" t="s">
        <v>151</v>
      </c>
      <c r="C176" s="24" t="s">
        <v>111</v>
      </c>
      <c r="D176" s="26">
        <v>11.65</v>
      </c>
      <c r="E176" s="11">
        <v>190</v>
      </c>
      <c r="F176" s="16">
        <f t="shared" si="19"/>
        <v>2213.5</v>
      </c>
      <c r="G176" s="17"/>
    </row>
    <row r="177" ht="39" customHeight="1" spans="1:7">
      <c r="A177" s="11" t="s">
        <v>326</v>
      </c>
      <c r="B177" s="18" t="s">
        <v>127</v>
      </c>
      <c r="C177" s="24" t="s">
        <v>128</v>
      </c>
      <c r="D177" s="26">
        <f>(15.4+13.8)/2</f>
        <v>14.6</v>
      </c>
      <c r="E177" s="11">
        <v>130</v>
      </c>
      <c r="F177" s="16">
        <f t="shared" si="19"/>
        <v>1898</v>
      </c>
      <c r="G177" s="17"/>
    </row>
    <row r="178" ht="21" customHeight="1" spans="1:7">
      <c r="A178" s="11" t="s">
        <v>327</v>
      </c>
      <c r="B178" s="18" t="s">
        <v>134</v>
      </c>
      <c r="C178" s="24" t="s">
        <v>111</v>
      </c>
      <c r="D178" s="25">
        <f>1.05*2.08</f>
        <v>2.184</v>
      </c>
      <c r="E178" s="11">
        <v>800</v>
      </c>
      <c r="F178" s="16">
        <f t="shared" si="19"/>
        <v>1747.2</v>
      </c>
      <c r="G178" s="17"/>
    </row>
    <row r="179" ht="21" customHeight="1" spans="1:7">
      <c r="A179" s="11" t="s">
        <v>328</v>
      </c>
      <c r="B179" s="18" t="s">
        <v>208</v>
      </c>
      <c r="C179" s="24" t="s">
        <v>128</v>
      </c>
      <c r="D179" s="25">
        <f>1.05+2.08*2</f>
        <v>5.21</v>
      </c>
      <c r="E179" s="11">
        <v>100</v>
      </c>
      <c r="F179" s="16">
        <f t="shared" si="19"/>
        <v>521</v>
      </c>
      <c r="G179" s="17"/>
    </row>
    <row r="180" ht="21" customHeight="1" spans="1:7">
      <c r="A180" s="11" t="s">
        <v>329</v>
      </c>
      <c r="B180" s="18" t="s">
        <v>330</v>
      </c>
      <c r="C180" s="24"/>
      <c r="D180" s="11"/>
      <c r="E180" s="11"/>
      <c r="F180" s="16"/>
      <c r="G180" s="17"/>
    </row>
    <row r="181" ht="21" customHeight="1" spans="1:7">
      <c r="A181" s="11" t="s">
        <v>331</v>
      </c>
      <c r="B181" s="18" t="s">
        <v>121</v>
      </c>
      <c r="C181" s="24" t="s">
        <v>111</v>
      </c>
      <c r="D181" s="26">
        <v>5.37</v>
      </c>
      <c r="E181" s="11">
        <v>190</v>
      </c>
      <c r="F181" s="16">
        <f t="shared" ref="F180:F186" si="20">E181*D181</f>
        <v>1020.3</v>
      </c>
      <c r="G181" s="17"/>
    </row>
    <row r="182" ht="21" customHeight="1" spans="1:7">
      <c r="A182" s="11" t="s">
        <v>332</v>
      </c>
      <c r="B182" s="18" t="s">
        <v>123</v>
      </c>
      <c r="C182" s="24" t="s">
        <v>111</v>
      </c>
      <c r="D182" s="26">
        <f>D181</f>
        <v>5.37</v>
      </c>
      <c r="E182" s="11">
        <v>40</v>
      </c>
      <c r="F182" s="16">
        <f t="shared" si="20"/>
        <v>214.8</v>
      </c>
      <c r="G182" s="17"/>
    </row>
    <row r="183" ht="21" customHeight="1" spans="1:7">
      <c r="A183" s="11" t="s">
        <v>333</v>
      </c>
      <c r="B183" s="18" t="s">
        <v>151</v>
      </c>
      <c r="C183" s="24" t="s">
        <v>111</v>
      </c>
      <c r="D183" s="26">
        <v>11.65</v>
      </c>
      <c r="E183" s="11">
        <v>190</v>
      </c>
      <c r="F183" s="16">
        <f t="shared" si="20"/>
        <v>2213.5</v>
      </c>
      <c r="G183" s="17"/>
    </row>
    <row r="184" ht="21" customHeight="1" spans="1:7">
      <c r="A184" s="11" t="s">
        <v>334</v>
      </c>
      <c r="B184" s="18" t="s">
        <v>127</v>
      </c>
      <c r="C184" s="24" t="s">
        <v>128</v>
      </c>
      <c r="D184" s="26">
        <f>(15.4+13.8)/2</f>
        <v>14.6</v>
      </c>
      <c r="E184" s="11">
        <v>130</v>
      </c>
      <c r="F184" s="16">
        <f t="shared" si="20"/>
        <v>1898</v>
      </c>
      <c r="G184" s="17"/>
    </row>
    <row r="185" ht="21" customHeight="1" spans="1:7">
      <c r="A185" s="11" t="s">
        <v>335</v>
      </c>
      <c r="B185" s="18" t="s">
        <v>134</v>
      </c>
      <c r="C185" s="24" t="s">
        <v>111</v>
      </c>
      <c r="D185" s="25">
        <f>1.05*2.08</f>
        <v>2.184</v>
      </c>
      <c r="E185" s="11">
        <v>800</v>
      </c>
      <c r="F185" s="16">
        <f t="shared" si="20"/>
        <v>1747.2</v>
      </c>
      <c r="G185" s="17"/>
    </row>
    <row r="186" ht="21" customHeight="1" spans="1:7">
      <c r="A186" s="11" t="s">
        <v>336</v>
      </c>
      <c r="B186" s="18" t="s">
        <v>208</v>
      </c>
      <c r="C186" s="24" t="s">
        <v>128</v>
      </c>
      <c r="D186" s="25">
        <f>1.05+2.08*2</f>
        <v>5.21</v>
      </c>
      <c r="E186" s="11">
        <v>100</v>
      </c>
      <c r="F186" s="16">
        <f t="shared" si="20"/>
        <v>521</v>
      </c>
      <c r="G186" s="17"/>
    </row>
    <row r="187" ht="21" customHeight="1" spans="1:7">
      <c r="A187" s="11" t="s">
        <v>337</v>
      </c>
      <c r="B187" s="18" t="s">
        <v>338</v>
      </c>
      <c r="C187" s="24"/>
      <c r="D187" s="11"/>
      <c r="E187" s="11"/>
      <c r="F187" s="16"/>
      <c r="G187" s="17"/>
    </row>
    <row r="188" ht="21" customHeight="1" spans="1:7">
      <c r="A188" s="11" t="s">
        <v>339</v>
      </c>
      <c r="B188" s="18" t="s">
        <v>121</v>
      </c>
      <c r="C188" s="24" t="s">
        <v>111</v>
      </c>
      <c r="D188" s="26">
        <v>10.04</v>
      </c>
      <c r="E188" s="11">
        <v>190</v>
      </c>
      <c r="F188" s="16">
        <f t="shared" ref="F188:F193" si="21">E188*D188</f>
        <v>1907.6</v>
      </c>
      <c r="G188" s="17"/>
    </row>
    <row r="189" ht="21" customHeight="1" spans="1:7">
      <c r="A189" s="11" t="s">
        <v>340</v>
      </c>
      <c r="B189" s="18" t="s">
        <v>123</v>
      </c>
      <c r="C189" s="24" t="s">
        <v>111</v>
      </c>
      <c r="D189" s="26">
        <f>D188</f>
        <v>10.04</v>
      </c>
      <c r="E189" s="11"/>
      <c r="F189" s="16">
        <f t="shared" si="21"/>
        <v>0</v>
      </c>
      <c r="G189" s="17"/>
    </row>
    <row r="190" ht="21" customHeight="1" spans="1:7">
      <c r="A190" s="11" t="s">
        <v>341</v>
      </c>
      <c r="B190" s="18" t="s">
        <v>151</v>
      </c>
      <c r="C190" s="24" t="s">
        <v>111</v>
      </c>
      <c r="D190" s="26">
        <v>16.45</v>
      </c>
      <c r="E190" s="11">
        <v>190</v>
      </c>
      <c r="F190" s="16">
        <f t="shared" si="21"/>
        <v>3125.5</v>
      </c>
      <c r="G190" s="17"/>
    </row>
    <row r="191" ht="46" customHeight="1" spans="1:7">
      <c r="A191" s="11" t="s">
        <v>342</v>
      </c>
      <c r="B191" s="18" t="s">
        <v>127</v>
      </c>
      <c r="C191" s="24" t="s">
        <v>128</v>
      </c>
      <c r="D191" s="26">
        <f>(19.6+18.1)/2</f>
        <v>18.85</v>
      </c>
      <c r="E191" s="11">
        <v>130</v>
      </c>
      <c r="F191" s="16">
        <f t="shared" si="21"/>
        <v>2450.5</v>
      </c>
      <c r="G191" s="17"/>
    </row>
    <row r="192" ht="21" customHeight="1" spans="1:7">
      <c r="A192" s="11" t="s">
        <v>343</v>
      </c>
      <c r="B192" s="18" t="s">
        <v>134</v>
      </c>
      <c r="C192" s="24" t="s">
        <v>111</v>
      </c>
      <c r="D192" s="25">
        <f>1.16*2.1</f>
        <v>2.436</v>
      </c>
      <c r="E192" s="11">
        <v>800</v>
      </c>
      <c r="F192" s="16">
        <f t="shared" si="21"/>
        <v>1948.8</v>
      </c>
      <c r="G192" s="17"/>
    </row>
    <row r="193" ht="21" customHeight="1" spans="1:7">
      <c r="A193" s="11" t="s">
        <v>344</v>
      </c>
      <c r="B193" s="18" t="s">
        <v>208</v>
      </c>
      <c r="C193" s="24" t="s">
        <v>128</v>
      </c>
      <c r="D193" s="25">
        <f>1.16+2.1*2</f>
        <v>5.36</v>
      </c>
      <c r="E193" s="11">
        <v>100</v>
      </c>
      <c r="F193" s="16">
        <f t="shared" si="21"/>
        <v>536</v>
      </c>
      <c r="G193" s="17"/>
    </row>
    <row r="194" ht="21" customHeight="1" spans="1:7">
      <c r="A194" s="11" t="s">
        <v>345</v>
      </c>
      <c r="B194" s="18" t="s">
        <v>346</v>
      </c>
      <c r="C194" s="24"/>
      <c r="D194" s="11"/>
      <c r="E194" s="11"/>
      <c r="F194" s="16"/>
      <c r="G194" s="17"/>
    </row>
    <row r="195" ht="21" customHeight="1" spans="1:7">
      <c r="A195" s="11" t="s">
        <v>347</v>
      </c>
      <c r="B195" s="18" t="s">
        <v>121</v>
      </c>
      <c r="C195" s="24" t="s">
        <v>111</v>
      </c>
      <c r="D195" s="26">
        <f>D188</f>
        <v>10.04</v>
      </c>
      <c r="E195" s="11">
        <v>190</v>
      </c>
      <c r="F195" s="16">
        <f t="shared" ref="F195:F200" si="22">E195*D195</f>
        <v>1907.6</v>
      </c>
      <c r="G195" s="17"/>
    </row>
    <row r="196" ht="21" customHeight="1" spans="1:7">
      <c r="A196" s="11" t="s">
        <v>348</v>
      </c>
      <c r="B196" s="18" t="s">
        <v>123</v>
      </c>
      <c r="C196" s="24" t="s">
        <v>111</v>
      </c>
      <c r="D196" s="26">
        <f>D195</f>
        <v>10.04</v>
      </c>
      <c r="E196" s="11">
        <v>40</v>
      </c>
      <c r="F196" s="16">
        <f t="shared" si="22"/>
        <v>401.6</v>
      </c>
      <c r="G196" s="17"/>
    </row>
    <row r="197" ht="21" customHeight="1" spans="1:7">
      <c r="A197" s="11" t="s">
        <v>349</v>
      </c>
      <c r="B197" s="18" t="s">
        <v>151</v>
      </c>
      <c r="C197" s="24" t="s">
        <v>111</v>
      </c>
      <c r="D197" s="26">
        <v>11.9</v>
      </c>
      <c r="E197" s="11">
        <v>190</v>
      </c>
      <c r="F197" s="16">
        <f t="shared" si="22"/>
        <v>2261</v>
      </c>
      <c r="G197" s="17"/>
    </row>
    <row r="198" ht="49" customHeight="1" spans="1:7">
      <c r="A198" s="11" t="s">
        <v>350</v>
      </c>
      <c r="B198" s="18" t="s">
        <v>127</v>
      </c>
      <c r="C198" s="24" t="s">
        <v>128</v>
      </c>
      <c r="D198" s="26">
        <f>(15.4+13.8)/2</f>
        <v>14.6</v>
      </c>
      <c r="E198" s="11">
        <v>130</v>
      </c>
      <c r="F198" s="16">
        <f t="shared" si="22"/>
        <v>1898</v>
      </c>
      <c r="G198" s="17"/>
    </row>
    <row r="199" ht="21" customHeight="1" spans="1:7">
      <c r="A199" s="11" t="s">
        <v>351</v>
      </c>
      <c r="B199" s="18" t="s">
        <v>134</v>
      </c>
      <c r="C199" s="24" t="s">
        <v>111</v>
      </c>
      <c r="D199" s="25">
        <f>1.14*2.12</f>
        <v>2.4168</v>
      </c>
      <c r="E199" s="11">
        <v>800</v>
      </c>
      <c r="F199" s="16">
        <f t="shared" si="22"/>
        <v>1933.44</v>
      </c>
      <c r="G199" s="17"/>
    </row>
    <row r="200" ht="21" customHeight="1" spans="1:7">
      <c r="A200" s="11" t="s">
        <v>352</v>
      </c>
      <c r="B200" s="18" t="s">
        <v>208</v>
      </c>
      <c r="C200" s="24" t="s">
        <v>128</v>
      </c>
      <c r="D200" s="25">
        <f>1.14+2.12*2</f>
        <v>5.38</v>
      </c>
      <c r="E200" s="11">
        <v>100</v>
      </c>
      <c r="F200" s="16">
        <f t="shared" si="22"/>
        <v>538</v>
      </c>
      <c r="G200" s="17"/>
    </row>
    <row r="201" ht="24" customHeight="1" spans="1:7">
      <c r="A201" s="11" t="s">
        <v>353</v>
      </c>
      <c r="B201" s="17" t="s">
        <v>354</v>
      </c>
      <c r="C201" s="11"/>
      <c r="D201" s="11"/>
      <c r="E201" s="12"/>
      <c r="F201" s="16"/>
      <c r="G201" s="17"/>
    </row>
    <row r="202" ht="26" customHeight="1" spans="1:7">
      <c r="A202" s="11">
        <v>1</v>
      </c>
      <c r="B202" s="17" t="s">
        <v>355</v>
      </c>
      <c r="C202" s="24" t="s">
        <v>111</v>
      </c>
      <c r="D202" s="25">
        <v>98</v>
      </c>
      <c r="E202" s="12">
        <v>200</v>
      </c>
      <c r="F202" s="16">
        <f>E202*D202</f>
        <v>19600</v>
      </c>
      <c r="G202" s="17"/>
    </row>
    <row r="203" ht="32" customHeight="1" spans="1:7">
      <c r="A203" s="11">
        <v>2</v>
      </c>
      <c r="B203" s="17" t="s">
        <v>356</v>
      </c>
      <c r="C203" s="24" t="s">
        <v>111</v>
      </c>
      <c r="D203" s="25">
        <f>47.82*3.6+98.14+16.9*0.34*4+8.02*0.34*2-1.5*2.1-1.5*2.1-(80.49-68.56)</f>
        <v>280.4996</v>
      </c>
      <c r="E203" s="12">
        <v>190.25</v>
      </c>
      <c r="F203" s="16">
        <f>E203*D203</f>
        <v>53365.0489</v>
      </c>
      <c r="G203" s="17" t="s">
        <v>357</v>
      </c>
    </row>
    <row r="204" ht="31" customHeight="1" spans="1:7">
      <c r="A204" s="11">
        <v>3</v>
      </c>
      <c r="B204" s="17" t="s">
        <v>358</v>
      </c>
      <c r="C204" s="11" t="s">
        <v>128</v>
      </c>
      <c r="D204" s="26">
        <f>(42.95+40.55)/2</f>
        <v>41.75</v>
      </c>
      <c r="E204" s="11">
        <v>200</v>
      </c>
      <c r="F204" s="16">
        <f>E204*D204</f>
        <v>8350</v>
      </c>
      <c r="G204" s="17"/>
    </row>
    <row r="205" ht="24" customHeight="1" spans="1:7">
      <c r="A205" s="11" t="s">
        <v>359</v>
      </c>
      <c r="B205" s="17" t="s">
        <v>360</v>
      </c>
      <c r="C205" s="11"/>
      <c r="D205" s="11"/>
      <c r="E205" s="11"/>
      <c r="F205" s="16"/>
      <c r="G205" s="17"/>
    </row>
    <row r="206" ht="29" customHeight="1" spans="1:7">
      <c r="A206" s="11">
        <v>1</v>
      </c>
      <c r="B206" s="17" t="s">
        <v>123</v>
      </c>
      <c r="C206" s="24" t="s">
        <v>111</v>
      </c>
      <c r="D206" s="23">
        <v>67</v>
      </c>
      <c r="E206" s="11">
        <v>40</v>
      </c>
      <c r="F206" s="16">
        <f t="shared" ref="F205:F218" si="23">E206*D206</f>
        <v>2680</v>
      </c>
      <c r="G206" s="17"/>
    </row>
    <row r="207" ht="29" customHeight="1" spans="1:7">
      <c r="A207" s="11">
        <v>2</v>
      </c>
      <c r="B207" s="17" t="s">
        <v>361</v>
      </c>
      <c r="C207" s="24" t="s">
        <v>111</v>
      </c>
      <c r="D207" s="11">
        <f>66*2.8+(3.9+3.4+2.5)*0.6</f>
        <v>190.68</v>
      </c>
      <c r="E207" s="11">
        <v>39.89</v>
      </c>
      <c r="F207" s="16">
        <f t="shared" si="23"/>
        <v>7606.2252</v>
      </c>
      <c r="G207" s="17"/>
    </row>
    <row r="208" ht="32" customHeight="1" spans="1:7">
      <c r="A208" s="11">
        <v>3</v>
      </c>
      <c r="B208" s="17" t="s">
        <v>362</v>
      </c>
      <c r="C208" s="24" t="s">
        <v>363</v>
      </c>
      <c r="D208" s="11">
        <f>45.14+13.75+1.98</f>
        <v>60.87</v>
      </c>
      <c r="E208" s="11">
        <v>165</v>
      </c>
      <c r="F208" s="16">
        <f t="shared" si="23"/>
        <v>10043.55</v>
      </c>
      <c r="G208" s="17"/>
    </row>
    <row r="209" ht="32" customHeight="1" spans="1:7">
      <c r="A209" s="11">
        <v>4</v>
      </c>
      <c r="B209" s="17" t="s">
        <v>364</v>
      </c>
      <c r="C209" s="24" t="s">
        <v>111</v>
      </c>
      <c r="D209" s="11">
        <f>40+13.75-1.8-0.9-1.3</f>
        <v>49.75</v>
      </c>
      <c r="E209" s="11">
        <v>18.11</v>
      </c>
      <c r="F209" s="16">
        <f t="shared" si="23"/>
        <v>900.9725</v>
      </c>
      <c r="G209" s="17"/>
    </row>
    <row r="210" ht="30" customHeight="1" spans="1:7">
      <c r="A210" s="11">
        <v>5</v>
      </c>
      <c r="B210" s="17" t="s">
        <v>365</v>
      </c>
      <c r="C210" s="24" t="s">
        <v>111</v>
      </c>
      <c r="D210" s="11">
        <f>7.6*2.4-0.4*1.4-0.8*2.1</f>
        <v>16</v>
      </c>
      <c r="E210" s="11">
        <v>169</v>
      </c>
      <c r="F210" s="16">
        <f t="shared" si="23"/>
        <v>2704</v>
      </c>
      <c r="G210" s="17"/>
    </row>
    <row r="211" ht="31" customHeight="1" spans="1:7">
      <c r="A211" s="11">
        <v>6</v>
      </c>
      <c r="B211" s="17" t="s">
        <v>366</v>
      </c>
      <c r="C211" s="24" t="s">
        <v>111</v>
      </c>
      <c r="D211" s="11">
        <v>3.6</v>
      </c>
      <c r="E211" s="11">
        <v>165</v>
      </c>
      <c r="F211" s="16">
        <f t="shared" si="23"/>
        <v>594</v>
      </c>
      <c r="G211" s="17"/>
    </row>
    <row r="212" ht="30" customHeight="1" spans="1:7">
      <c r="A212" s="11">
        <v>7</v>
      </c>
      <c r="B212" s="17" t="s">
        <v>367</v>
      </c>
      <c r="C212" s="11" t="s">
        <v>368</v>
      </c>
      <c r="D212" s="11">
        <v>3</v>
      </c>
      <c r="E212" s="11">
        <v>1079.1</v>
      </c>
      <c r="F212" s="16">
        <f t="shared" si="23"/>
        <v>3237.3</v>
      </c>
      <c r="G212" s="17"/>
    </row>
    <row r="213" ht="30" customHeight="1" spans="1:7">
      <c r="A213" s="11">
        <v>8</v>
      </c>
      <c r="B213" s="17" t="s">
        <v>369</v>
      </c>
      <c r="C213" s="24" t="s">
        <v>111</v>
      </c>
      <c r="D213" s="12">
        <f>2.5*2.65</f>
        <v>6.625</v>
      </c>
      <c r="E213" s="11">
        <v>579</v>
      </c>
      <c r="F213" s="16">
        <f t="shared" si="23"/>
        <v>3835.875</v>
      </c>
      <c r="G213" s="17"/>
    </row>
    <row r="214" ht="31" customHeight="1" spans="1:7">
      <c r="A214" s="11">
        <v>9</v>
      </c>
      <c r="B214" s="17" t="s">
        <v>370</v>
      </c>
      <c r="C214" s="24" t="s">
        <v>128</v>
      </c>
      <c r="D214" s="11">
        <v>2.5</v>
      </c>
      <c r="E214" s="11">
        <v>712.31</v>
      </c>
      <c r="F214" s="16">
        <f t="shared" si="23"/>
        <v>1780.775</v>
      </c>
      <c r="G214" s="17"/>
    </row>
    <row r="215" ht="33" customHeight="1" spans="1:7">
      <c r="A215" s="11">
        <v>10</v>
      </c>
      <c r="B215" s="17" t="s">
        <v>371</v>
      </c>
      <c r="C215" s="11" t="s">
        <v>137</v>
      </c>
      <c r="D215" s="26">
        <v>2</v>
      </c>
      <c r="E215" s="11">
        <v>1000</v>
      </c>
      <c r="F215" s="16">
        <f t="shared" si="23"/>
        <v>2000</v>
      </c>
      <c r="G215" s="17"/>
    </row>
    <row r="216" ht="29" customHeight="1" spans="1:7">
      <c r="A216" s="11">
        <v>11</v>
      </c>
      <c r="B216" s="17" t="s">
        <v>372</v>
      </c>
      <c r="C216" s="24" t="s">
        <v>111</v>
      </c>
      <c r="D216" s="25">
        <f>2.75*2.65</f>
        <v>7.2875</v>
      </c>
      <c r="E216" s="11">
        <v>579</v>
      </c>
      <c r="F216" s="16">
        <f t="shared" si="23"/>
        <v>4219.4625</v>
      </c>
      <c r="G216" s="17"/>
    </row>
    <row r="217" ht="32" customHeight="1" spans="1:7">
      <c r="A217" s="11">
        <v>12</v>
      </c>
      <c r="B217" s="17" t="s">
        <v>373</v>
      </c>
      <c r="C217" s="24" t="s">
        <v>128</v>
      </c>
      <c r="D217" s="26">
        <v>2</v>
      </c>
      <c r="E217" s="11">
        <v>712.31</v>
      </c>
      <c r="F217" s="16">
        <f t="shared" si="23"/>
        <v>1424.62</v>
      </c>
      <c r="G217" s="17"/>
    </row>
    <row r="218" ht="24" customHeight="1" spans="1:7">
      <c r="A218" s="11">
        <v>13</v>
      </c>
      <c r="B218" s="17" t="s">
        <v>374</v>
      </c>
      <c r="C218" s="11" t="s">
        <v>137</v>
      </c>
      <c r="D218" s="26">
        <v>2</v>
      </c>
      <c r="E218" s="11">
        <v>1000</v>
      </c>
      <c r="F218" s="16">
        <f t="shared" si="23"/>
        <v>2000</v>
      </c>
      <c r="G218" s="17"/>
    </row>
    <row r="219" ht="29" customHeight="1" spans="1:7">
      <c r="A219" s="11" t="s">
        <v>375</v>
      </c>
      <c r="B219" s="17" t="s">
        <v>376</v>
      </c>
      <c r="C219" s="11"/>
      <c r="D219" s="12"/>
      <c r="E219" s="11"/>
      <c r="F219" s="16"/>
      <c r="G219" s="17"/>
    </row>
    <row r="220" ht="32" customHeight="1" spans="1:7">
      <c r="A220" s="11">
        <v>1</v>
      </c>
      <c r="B220" s="17" t="s">
        <v>377</v>
      </c>
      <c r="C220" s="24" t="s">
        <v>111</v>
      </c>
      <c r="D220" s="25">
        <f>2*2.44*22</f>
        <v>107.36</v>
      </c>
      <c r="E220" s="11">
        <v>150</v>
      </c>
      <c r="F220" s="16">
        <f>E220*D220</f>
        <v>16104</v>
      </c>
      <c r="G220" s="17"/>
    </row>
    <row r="221" ht="36" customHeight="1" spans="1:7">
      <c r="A221" s="11" t="s">
        <v>378</v>
      </c>
      <c r="B221" s="18" t="s">
        <v>379</v>
      </c>
      <c r="C221" s="11"/>
      <c r="D221" s="12"/>
      <c r="E221" s="11"/>
      <c r="F221" s="16"/>
      <c r="G221" s="17"/>
    </row>
    <row r="222" ht="32" customHeight="1" spans="1:7">
      <c r="A222" s="11">
        <v>1</v>
      </c>
      <c r="B222" s="18" t="s">
        <v>379</v>
      </c>
      <c r="C222" s="11" t="s">
        <v>380</v>
      </c>
      <c r="D222" s="25">
        <v>12</v>
      </c>
      <c r="E222" s="11">
        <v>150</v>
      </c>
      <c r="F222" s="16">
        <f>E222*D222</f>
        <v>1800</v>
      </c>
      <c r="G222" s="17"/>
    </row>
    <row r="223" ht="27" customHeight="1" spans="1:7">
      <c r="A223" s="11" t="s">
        <v>81</v>
      </c>
      <c r="B223" s="11" t="s">
        <v>96</v>
      </c>
      <c r="C223" s="11"/>
      <c r="D223" s="11"/>
      <c r="E223" s="12"/>
      <c r="F223" s="16">
        <f>SUM(F3:F222)</f>
        <v>429834.186112</v>
      </c>
      <c r="G223" s="17"/>
    </row>
    <row r="224" ht="35" customHeight="1" spans="1:6">
      <c r="A224" s="23"/>
      <c r="B224" s="23"/>
      <c r="C224" s="23"/>
      <c r="D224" s="28"/>
      <c r="E224" s="28"/>
      <c r="F224" s="28"/>
    </row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</sheetData>
  <autoFilter xmlns:etc="http://www.wps.cn/officeDocument/2017/etCustomData" ref="A2:G223" etc:filterBottomFollowUsedRange="0">
    <extLst/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opLeftCell="A60" workbookViewId="0">
      <selection activeCell="F172" sqref="F172"/>
    </sheetView>
  </sheetViews>
  <sheetFormatPr defaultColWidth="9" defaultRowHeight="13.5" outlineLevelCol="7"/>
  <cols>
    <col min="1" max="1" width="9" style="7"/>
    <col min="2" max="2" width="16" style="7" customWidth="1"/>
    <col min="3" max="3" width="9" style="7"/>
    <col min="4" max="4" width="11.75" style="7" customWidth="1"/>
    <col min="5" max="5" width="11" style="8" customWidth="1"/>
    <col min="6" max="6" width="10.8833333333333" style="8" customWidth="1"/>
    <col min="7" max="16384" width="9" style="7"/>
  </cols>
  <sheetData>
    <row r="1" ht="14.25" spans="1:7">
      <c r="A1" s="9" t="s">
        <v>381</v>
      </c>
      <c r="B1" s="9"/>
      <c r="C1" s="9"/>
      <c r="D1" s="9"/>
      <c r="E1" s="10"/>
      <c r="F1" s="10"/>
      <c r="G1" s="9"/>
    </row>
    <row r="2" spans="1:7">
      <c r="A2" s="11" t="s">
        <v>1</v>
      </c>
      <c r="B2" s="11" t="s">
        <v>2</v>
      </c>
      <c r="C2" s="11" t="s">
        <v>88</v>
      </c>
      <c r="D2" s="11" t="s">
        <v>102</v>
      </c>
      <c r="E2" s="12" t="s">
        <v>103</v>
      </c>
      <c r="F2" s="12" t="s">
        <v>104</v>
      </c>
      <c r="G2" s="11" t="s">
        <v>6</v>
      </c>
    </row>
    <row r="3" ht="27" customHeight="1" spans="1:7">
      <c r="A3" s="11" t="s">
        <v>105</v>
      </c>
      <c r="B3" s="13" t="s">
        <v>106</v>
      </c>
      <c r="C3" s="14"/>
      <c r="D3" s="15"/>
      <c r="E3" s="16"/>
      <c r="F3" s="16"/>
      <c r="G3" s="17"/>
    </row>
    <row r="4" ht="22" customHeight="1" spans="1:7">
      <c r="A4" s="11" t="s">
        <v>107</v>
      </c>
      <c r="B4" s="18" t="s">
        <v>108</v>
      </c>
      <c r="C4" s="11"/>
      <c r="D4" s="11"/>
      <c r="E4" s="16"/>
      <c r="F4" s="16"/>
      <c r="G4" s="17"/>
    </row>
    <row r="5" ht="25" customHeight="1" spans="1:7">
      <c r="A5" s="11" t="s">
        <v>109</v>
      </c>
      <c r="B5" s="17" t="s">
        <v>382</v>
      </c>
      <c r="C5" s="17" t="s">
        <v>383</v>
      </c>
      <c r="D5" s="17">
        <v>10</v>
      </c>
      <c r="E5" s="19">
        <v>60.08</v>
      </c>
      <c r="F5" s="19">
        <f>E5*D5</f>
        <v>600.8</v>
      </c>
      <c r="G5" s="17"/>
    </row>
    <row r="6" ht="25" customHeight="1" spans="1:8">
      <c r="A6" s="11" t="s">
        <v>113</v>
      </c>
      <c r="B6" s="17" t="s">
        <v>384</v>
      </c>
      <c r="C6" s="17" t="s">
        <v>128</v>
      </c>
      <c r="D6" s="17">
        <f>6.45+3.4+5.1</f>
        <v>14.95</v>
      </c>
      <c r="E6" s="19">
        <v>40.44</v>
      </c>
      <c r="F6" s="19">
        <f>E6*D6</f>
        <v>604.578</v>
      </c>
      <c r="G6" s="17"/>
      <c r="H6" s="7">
        <f>6.45+8.49</f>
        <v>14.94</v>
      </c>
    </row>
    <row r="7" s="7" customFormat="1" ht="25" customHeight="1" spans="1:7">
      <c r="A7" s="11" t="s">
        <v>115</v>
      </c>
      <c r="B7" s="17" t="s">
        <v>385</v>
      </c>
      <c r="C7" s="17" t="s">
        <v>383</v>
      </c>
      <c r="D7" s="17">
        <v>2</v>
      </c>
      <c r="E7" s="19">
        <v>110</v>
      </c>
      <c r="F7" s="19">
        <f>E7*D7</f>
        <v>220</v>
      </c>
      <c r="G7" s="17"/>
    </row>
    <row r="8" s="7" customFormat="1" ht="25" customHeight="1" spans="1:7">
      <c r="A8" s="11" t="s">
        <v>117</v>
      </c>
      <c r="B8" s="17" t="s">
        <v>386</v>
      </c>
      <c r="C8" s="17" t="s">
        <v>128</v>
      </c>
      <c r="D8" s="20">
        <v>22.6</v>
      </c>
      <c r="E8" s="19">
        <v>20.87</v>
      </c>
      <c r="F8" s="19">
        <f t="shared" ref="F8:F19" si="0">E8*D8</f>
        <v>471.662</v>
      </c>
      <c r="G8" s="17"/>
    </row>
    <row r="9" s="7" customFormat="1" ht="25" customHeight="1" spans="1:7">
      <c r="A9" s="11" t="s">
        <v>120</v>
      </c>
      <c r="B9" s="17" t="s">
        <v>387</v>
      </c>
      <c r="C9" s="17" t="s">
        <v>128</v>
      </c>
      <c r="D9" s="20">
        <f>D8*2</f>
        <v>45.2</v>
      </c>
      <c r="E9" s="19">
        <v>3.7</v>
      </c>
      <c r="F9" s="19">
        <f t="shared" si="0"/>
        <v>167.24</v>
      </c>
      <c r="G9" s="17"/>
    </row>
    <row r="10" s="7" customFormat="1" ht="25" customHeight="1" spans="1:7">
      <c r="A10" s="11" t="s">
        <v>122</v>
      </c>
      <c r="B10" s="17" t="s">
        <v>388</v>
      </c>
      <c r="C10" s="17" t="s">
        <v>128</v>
      </c>
      <c r="D10" s="20">
        <f>3.73*2</f>
        <v>7.46</v>
      </c>
      <c r="E10" s="19">
        <v>120</v>
      </c>
      <c r="F10" s="19">
        <f t="shared" si="0"/>
        <v>895.2</v>
      </c>
      <c r="G10" s="17"/>
    </row>
    <row r="11" s="7" customFormat="1" ht="25" customHeight="1" spans="1:7">
      <c r="A11" s="11" t="s">
        <v>124</v>
      </c>
      <c r="B11" s="17" t="s">
        <v>389</v>
      </c>
      <c r="C11" s="17" t="s">
        <v>137</v>
      </c>
      <c r="D11" s="17">
        <v>2</v>
      </c>
      <c r="E11" s="19">
        <v>90</v>
      </c>
      <c r="F11" s="19">
        <f t="shared" si="0"/>
        <v>180</v>
      </c>
      <c r="G11" s="17"/>
    </row>
    <row r="12" s="7" customFormat="1" ht="25" customHeight="1" spans="1:7">
      <c r="A12" s="11" t="s">
        <v>126</v>
      </c>
      <c r="B12" s="18" t="s">
        <v>140</v>
      </c>
      <c r="C12" s="17"/>
      <c r="D12" s="17"/>
      <c r="E12" s="19"/>
      <c r="F12" s="19"/>
      <c r="G12" s="17"/>
    </row>
    <row r="13" s="7" customFormat="1" ht="25" customHeight="1" spans="1:7">
      <c r="A13" s="11" t="s">
        <v>129</v>
      </c>
      <c r="B13" s="17" t="s">
        <v>382</v>
      </c>
      <c r="C13" s="17" t="s">
        <v>383</v>
      </c>
      <c r="D13" s="17">
        <v>15</v>
      </c>
      <c r="E13" s="19">
        <v>60.08</v>
      </c>
      <c r="F13" s="19">
        <f t="shared" si="0"/>
        <v>901.2</v>
      </c>
      <c r="G13" s="17"/>
    </row>
    <row r="14" s="7" customFormat="1" ht="25" customHeight="1" spans="1:8">
      <c r="A14" s="11" t="s">
        <v>131</v>
      </c>
      <c r="B14" s="17" t="s">
        <v>384</v>
      </c>
      <c r="C14" s="17" t="s">
        <v>128</v>
      </c>
      <c r="D14" s="17">
        <f>2+4.6+6.4</f>
        <v>13</v>
      </c>
      <c r="E14" s="19">
        <v>40.44</v>
      </c>
      <c r="F14" s="19">
        <f t="shared" si="0"/>
        <v>525.72</v>
      </c>
      <c r="G14" s="17"/>
      <c r="H14" s="7">
        <f>6.39+6.63</f>
        <v>13.02</v>
      </c>
    </row>
    <row r="15" s="7" customFormat="1" ht="25" customHeight="1" spans="1:7">
      <c r="A15" s="11" t="s">
        <v>133</v>
      </c>
      <c r="B15" s="17" t="s">
        <v>390</v>
      </c>
      <c r="C15" s="17" t="s">
        <v>128</v>
      </c>
      <c r="D15" s="20">
        <v>0</v>
      </c>
      <c r="E15" s="19">
        <v>110</v>
      </c>
      <c r="F15" s="19">
        <f t="shared" si="0"/>
        <v>0</v>
      </c>
      <c r="G15" s="17"/>
    </row>
    <row r="16" ht="25" customHeight="1" spans="1:7">
      <c r="A16" s="11" t="s">
        <v>135</v>
      </c>
      <c r="B16" s="17" t="s">
        <v>386</v>
      </c>
      <c r="C16" s="17" t="s">
        <v>128</v>
      </c>
      <c r="D16" s="20">
        <v>26</v>
      </c>
      <c r="E16" s="19">
        <v>20.87</v>
      </c>
      <c r="F16" s="19">
        <f t="shared" si="0"/>
        <v>542.62</v>
      </c>
      <c r="G16" s="17"/>
    </row>
    <row r="17" ht="25" customHeight="1" spans="1:7">
      <c r="A17" s="11" t="s">
        <v>391</v>
      </c>
      <c r="B17" s="17" t="s">
        <v>387</v>
      </c>
      <c r="C17" s="17" t="s">
        <v>128</v>
      </c>
      <c r="D17" s="20">
        <f>D16*2</f>
        <v>52</v>
      </c>
      <c r="E17" s="19">
        <v>3.7</v>
      </c>
      <c r="F17" s="19">
        <f t="shared" si="0"/>
        <v>192.4</v>
      </c>
      <c r="G17" s="17"/>
    </row>
    <row r="18" ht="25" customHeight="1" spans="1:7">
      <c r="A18" s="11" t="s">
        <v>138</v>
      </c>
      <c r="B18" s="17" t="s">
        <v>388</v>
      </c>
      <c r="C18" s="17" t="s">
        <v>128</v>
      </c>
      <c r="D18" s="17">
        <f>3*2</f>
        <v>6</v>
      </c>
      <c r="E18" s="19">
        <v>120</v>
      </c>
      <c r="F18" s="19">
        <f t="shared" si="0"/>
        <v>720</v>
      </c>
      <c r="G18" s="17"/>
    </row>
    <row r="19" ht="25" customHeight="1" spans="1:7">
      <c r="A19" s="11" t="s">
        <v>139</v>
      </c>
      <c r="B19" s="17" t="s">
        <v>389</v>
      </c>
      <c r="C19" s="17" t="s">
        <v>137</v>
      </c>
      <c r="D19" s="17">
        <v>2</v>
      </c>
      <c r="E19" s="19">
        <v>90</v>
      </c>
      <c r="F19" s="19">
        <f t="shared" si="0"/>
        <v>180</v>
      </c>
      <c r="G19" s="17"/>
    </row>
    <row r="20" ht="25" customHeight="1" spans="1:7">
      <c r="A20" s="11" t="s">
        <v>141</v>
      </c>
      <c r="B20" s="18" t="s">
        <v>154</v>
      </c>
      <c r="C20" s="17"/>
      <c r="D20" s="17"/>
      <c r="E20" s="19"/>
      <c r="F20" s="19"/>
      <c r="G20" s="17"/>
    </row>
    <row r="21" ht="25" customHeight="1" spans="1:7">
      <c r="A21" s="11" t="s">
        <v>142</v>
      </c>
      <c r="B21" s="17" t="s">
        <v>382</v>
      </c>
      <c r="C21" s="17" t="s">
        <v>383</v>
      </c>
      <c r="D21" s="17">
        <v>17</v>
      </c>
      <c r="E21" s="19">
        <v>60.08</v>
      </c>
      <c r="F21" s="19">
        <f t="shared" ref="F21:F26" si="1">E21*D21</f>
        <v>1021.36</v>
      </c>
      <c r="G21" s="17"/>
    </row>
    <row r="22" ht="25" customHeight="1" spans="1:7">
      <c r="A22" s="11" t="s">
        <v>143</v>
      </c>
      <c r="B22" s="17" t="s">
        <v>384</v>
      </c>
      <c r="C22" s="17" t="s">
        <v>128</v>
      </c>
      <c r="D22" s="20">
        <f>D14</f>
        <v>13</v>
      </c>
      <c r="E22" s="19">
        <v>40.44</v>
      </c>
      <c r="F22" s="19">
        <f t="shared" si="1"/>
        <v>525.72</v>
      </c>
      <c r="G22" s="17"/>
    </row>
    <row r="23" ht="25" customHeight="1" spans="1:7">
      <c r="A23" s="11" t="s">
        <v>145</v>
      </c>
      <c r="B23" s="17" t="s">
        <v>386</v>
      </c>
      <c r="C23" s="17" t="s">
        <v>128</v>
      </c>
      <c r="D23" s="20">
        <v>26.52</v>
      </c>
      <c r="E23" s="19">
        <v>20.87</v>
      </c>
      <c r="F23" s="19">
        <f t="shared" si="1"/>
        <v>553.4724</v>
      </c>
      <c r="G23" s="17"/>
    </row>
    <row r="24" ht="25" customHeight="1" spans="1:7">
      <c r="A24" s="11" t="s">
        <v>146</v>
      </c>
      <c r="B24" s="17" t="s">
        <v>387</v>
      </c>
      <c r="C24" s="17" t="s">
        <v>128</v>
      </c>
      <c r="D24" s="20">
        <f>D23*2</f>
        <v>53.04</v>
      </c>
      <c r="E24" s="19">
        <v>3.7</v>
      </c>
      <c r="F24" s="19">
        <f t="shared" si="1"/>
        <v>196.248</v>
      </c>
      <c r="G24" s="17"/>
    </row>
    <row r="25" ht="25" customHeight="1" spans="1:7">
      <c r="A25" s="11" t="s">
        <v>147</v>
      </c>
      <c r="B25" s="17" t="s">
        <v>388</v>
      </c>
      <c r="C25" s="17" t="s">
        <v>128</v>
      </c>
      <c r="D25" s="20">
        <f>3.7*2</f>
        <v>7.4</v>
      </c>
      <c r="E25" s="19">
        <v>120</v>
      </c>
      <c r="F25" s="19">
        <f t="shared" si="1"/>
        <v>888</v>
      </c>
      <c r="G25" s="17"/>
    </row>
    <row r="26" ht="25" customHeight="1" spans="1:7">
      <c r="A26" s="11" t="s">
        <v>148</v>
      </c>
      <c r="B26" s="17" t="s">
        <v>389</v>
      </c>
      <c r="C26" s="17" t="s">
        <v>137</v>
      </c>
      <c r="D26" s="17">
        <v>2</v>
      </c>
      <c r="E26" s="19">
        <v>90</v>
      </c>
      <c r="F26" s="19">
        <f t="shared" si="1"/>
        <v>180</v>
      </c>
      <c r="G26" s="17"/>
    </row>
    <row r="27" ht="25" customHeight="1" spans="1:7">
      <c r="A27" s="11" t="s">
        <v>150</v>
      </c>
      <c r="B27" s="18" t="s">
        <v>165</v>
      </c>
      <c r="C27" s="11"/>
      <c r="D27" s="11"/>
      <c r="E27" s="16"/>
      <c r="F27" s="16"/>
      <c r="G27" s="17"/>
    </row>
    <row r="28" ht="25" customHeight="1" spans="1:7">
      <c r="A28" s="11" t="s">
        <v>152</v>
      </c>
      <c r="B28" s="17" t="s">
        <v>382</v>
      </c>
      <c r="C28" s="17" t="s">
        <v>383</v>
      </c>
      <c r="D28" s="17">
        <v>6</v>
      </c>
      <c r="E28" s="19">
        <v>60.08</v>
      </c>
      <c r="F28" s="19">
        <f>E28*D28</f>
        <v>360.48</v>
      </c>
      <c r="G28" s="17"/>
    </row>
    <row r="29" ht="25" customHeight="1" spans="1:7">
      <c r="A29" s="11" t="s">
        <v>153</v>
      </c>
      <c r="B29" s="17" t="s">
        <v>385</v>
      </c>
      <c r="C29" s="17" t="s">
        <v>383</v>
      </c>
      <c r="D29" s="17">
        <v>4</v>
      </c>
      <c r="E29" s="19">
        <v>110</v>
      </c>
      <c r="F29" s="19">
        <f>E29*D29</f>
        <v>440</v>
      </c>
      <c r="G29" s="17"/>
    </row>
    <row r="30" ht="25" customHeight="1" spans="1:7">
      <c r="A30" s="11" t="s">
        <v>155</v>
      </c>
      <c r="B30" s="17" t="s">
        <v>386</v>
      </c>
      <c r="C30" s="17" t="s">
        <v>128</v>
      </c>
      <c r="D30" s="20">
        <v>25.95</v>
      </c>
      <c r="E30" s="19">
        <v>20.87</v>
      </c>
      <c r="F30" s="19">
        <f t="shared" ref="F30:F40" si="2">E30*D30</f>
        <v>541.5765</v>
      </c>
      <c r="G30" s="17"/>
    </row>
    <row r="31" ht="25" customHeight="1" spans="1:7">
      <c r="A31" s="11" t="s">
        <v>156</v>
      </c>
      <c r="B31" s="17" t="s">
        <v>387</v>
      </c>
      <c r="C31" s="17" t="s">
        <v>128</v>
      </c>
      <c r="D31" s="20">
        <f>D30*2</f>
        <v>51.9</v>
      </c>
      <c r="E31" s="19">
        <v>3.7</v>
      </c>
      <c r="F31" s="19">
        <f t="shared" si="2"/>
        <v>192.03</v>
      </c>
      <c r="G31" s="17"/>
    </row>
    <row r="32" ht="25" customHeight="1" spans="1:7">
      <c r="A32" s="11" t="s">
        <v>157</v>
      </c>
      <c r="B32" s="17" t="s">
        <v>388</v>
      </c>
      <c r="C32" s="17" t="s">
        <v>128</v>
      </c>
      <c r="D32" s="17">
        <f>3.34*2</f>
        <v>6.68</v>
      </c>
      <c r="E32" s="19">
        <v>120</v>
      </c>
      <c r="F32" s="19">
        <f t="shared" si="2"/>
        <v>801.6</v>
      </c>
      <c r="G32" s="17"/>
    </row>
    <row r="33" ht="25" customHeight="1" spans="1:7">
      <c r="A33" s="11" t="s">
        <v>158</v>
      </c>
      <c r="B33" s="17" t="s">
        <v>392</v>
      </c>
      <c r="C33" s="17" t="s">
        <v>137</v>
      </c>
      <c r="D33" s="17">
        <v>2</v>
      </c>
      <c r="E33" s="19">
        <v>90</v>
      </c>
      <c r="F33" s="19">
        <f t="shared" si="2"/>
        <v>180</v>
      </c>
      <c r="G33" s="17"/>
    </row>
    <row r="34" ht="25" customHeight="1" spans="1:7">
      <c r="A34" s="11" t="s">
        <v>159</v>
      </c>
      <c r="B34" s="18" t="s">
        <v>183</v>
      </c>
      <c r="C34" s="11"/>
      <c r="D34" s="11"/>
      <c r="E34" s="16"/>
      <c r="F34" s="16"/>
      <c r="G34" s="17"/>
    </row>
    <row r="35" ht="25" customHeight="1" spans="1:7">
      <c r="A35" s="11" t="s">
        <v>160</v>
      </c>
      <c r="B35" s="17" t="s">
        <v>382</v>
      </c>
      <c r="C35" s="17" t="s">
        <v>383</v>
      </c>
      <c r="D35" s="17">
        <v>6</v>
      </c>
      <c r="E35" s="19">
        <v>60.08</v>
      </c>
      <c r="F35" s="19">
        <f t="shared" si="2"/>
        <v>360.48</v>
      </c>
      <c r="G35" s="17"/>
    </row>
    <row r="36" ht="25" customHeight="1" spans="1:7">
      <c r="A36" s="11" t="s">
        <v>162</v>
      </c>
      <c r="B36" s="17" t="s">
        <v>385</v>
      </c>
      <c r="C36" s="17" t="s">
        <v>383</v>
      </c>
      <c r="D36" s="17">
        <v>8</v>
      </c>
      <c r="E36" s="19">
        <v>110</v>
      </c>
      <c r="F36" s="19">
        <f t="shared" si="2"/>
        <v>880</v>
      </c>
      <c r="G36" s="17"/>
    </row>
    <row r="37" ht="25" customHeight="1" spans="1:7">
      <c r="A37" s="11" t="s">
        <v>163</v>
      </c>
      <c r="B37" s="17" t="s">
        <v>386</v>
      </c>
      <c r="C37" s="17" t="s">
        <v>128</v>
      </c>
      <c r="D37" s="20">
        <v>32.55</v>
      </c>
      <c r="E37" s="19">
        <v>20.87</v>
      </c>
      <c r="F37" s="19">
        <f t="shared" si="2"/>
        <v>679.3185</v>
      </c>
      <c r="G37" s="17"/>
    </row>
    <row r="38" ht="25" customHeight="1" spans="1:7">
      <c r="A38" s="11" t="s">
        <v>164</v>
      </c>
      <c r="B38" s="17" t="s">
        <v>387</v>
      </c>
      <c r="C38" s="17" t="s">
        <v>128</v>
      </c>
      <c r="D38" s="20">
        <f>D37*2</f>
        <v>65.1</v>
      </c>
      <c r="E38" s="19">
        <v>3.7</v>
      </c>
      <c r="F38" s="19">
        <f t="shared" si="2"/>
        <v>240.87</v>
      </c>
      <c r="G38" s="17"/>
    </row>
    <row r="39" ht="25" customHeight="1" spans="1:7">
      <c r="A39" s="11" t="s">
        <v>166</v>
      </c>
      <c r="B39" s="17" t="s">
        <v>388</v>
      </c>
      <c r="C39" s="17" t="s">
        <v>128</v>
      </c>
      <c r="D39" s="17">
        <f>3.8*2</f>
        <v>7.6</v>
      </c>
      <c r="E39" s="19">
        <v>120</v>
      </c>
      <c r="F39" s="19">
        <f t="shared" si="2"/>
        <v>912</v>
      </c>
      <c r="G39" s="17"/>
    </row>
    <row r="40" ht="25" customHeight="1" spans="1:7">
      <c r="A40" s="11" t="s">
        <v>167</v>
      </c>
      <c r="B40" s="17" t="s">
        <v>392</v>
      </c>
      <c r="C40" s="17" t="s">
        <v>137</v>
      </c>
      <c r="D40" s="17">
        <v>2</v>
      </c>
      <c r="E40" s="19">
        <v>90</v>
      </c>
      <c r="F40" s="19">
        <f t="shared" si="2"/>
        <v>180</v>
      </c>
      <c r="G40" s="17"/>
    </row>
    <row r="41" ht="25" customHeight="1" spans="1:7">
      <c r="A41" s="11" t="s">
        <v>168</v>
      </c>
      <c r="B41" s="18" t="s">
        <v>201</v>
      </c>
      <c r="C41" s="17"/>
      <c r="D41" s="17"/>
      <c r="E41" s="19"/>
      <c r="F41" s="19"/>
      <c r="G41" s="17"/>
    </row>
    <row r="42" ht="25" customHeight="1" spans="1:7">
      <c r="A42" s="11" t="s">
        <v>169</v>
      </c>
      <c r="B42" s="17" t="s">
        <v>393</v>
      </c>
      <c r="C42" s="17" t="s">
        <v>383</v>
      </c>
      <c r="D42" s="17">
        <v>5</v>
      </c>
      <c r="E42" s="19">
        <v>77.41</v>
      </c>
      <c r="F42" s="19">
        <f t="shared" ref="F42:F46" si="3">E42*D42</f>
        <v>387.05</v>
      </c>
      <c r="G42" s="17"/>
    </row>
    <row r="43" ht="25" customHeight="1" spans="1:7">
      <c r="A43" s="11" t="s">
        <v>170</v>
      </c>
      <c r="B43" s="17" t="s">
        <v>386</v>
      </c>
      <c r="C43" s="17" t="s">
        <v>128</v>
      </c>
      <c r="D43" s="20">
        <v>30.34</v>
      </c>
      <c r="E43" s="19">
        <v>20.87</v>
      </c>
      <c r="F43" s="19">
        <f t="shared" si="3"/>
        <v>633.1958</v>
      </c>
      <c r="G43" s="17"/>
    </row>
    <row r="44" ht="25" customHeight="1" spans="1:7">
      <c r="A44" s="11" t="s">
        <v>171</v>
      </c>
      <c r="B44" s="17" t="s">
        <v>387</v>
      </c>
      <c r="C44" s="17" t="s">
        <v>128</v>
      </c>
      <c r="D44" s="20">
        <f>D43*2</f>
        <v>60.68</v>
      </c>
      <c r="E44" s="19">
        <v>3.7</v>
      </c>
      <c r="F44" s="19">
        <f t="shared" si="3"/>
        <v>224.516</v>
      </c>
      <c r="G44" s="17"/>
    </row>
    <row r="45" ht="25" customHeight="1" spans="1:7">
      <c r="A45" s="11" t="s">
        <v>172</v>
      </c>
      <c r="B45" s="17" t="s">
        <v>388</v>
      </c>
      <c r="C45" s="17" t="s">
        <v>128</v>
      </c>
      <c r="D45" s="17">
        <f>3.58*3+1.6*2</f>
        <v>13.94</v>
      </c>
      <c r="E45" s="19">
        <v>120</v>
      </c>
      <c r="F45" s="19">
        <f t="shared" si="3"/>
        <v>1672.8</v>
      </c>
      <c r="G45" s="17"/>
    </row>
    <row r="46" ht="25" customHeight="1" spans="1:7">
      <c r="A46" s="11" t="s">
        <v>173</v>
      </c>
      <c r="B46" s="17" t="s">
        <v>392</v>
      </c>
      <c r="C46" s="17" t="s">
        <v>137</v>
      </c>
      <c r="D46" s="17">
        <v>2</v>
      </c>
      <c r="E46" s="19">
        <v>90</v>
      </c>
      <c r="F46" s="19">
        <f t="shared" si="3"/>
        <v>180</v>
      </c>
      <c r="G46" s="17"/>
    </row>
    <row r="47" ht="25" customHeight="1" spans="1:7">
      <c r="A47" s="11" t="s">
        <v>174</v>
      </c>
      <c r="B47" s="18" t="s">
        <v>210</v>
      </c>
      <c r="C47" s="17"/>
      <c r="D47" s="17"/>
      <c r="E47" s="19"/>
      <c r="F47" s="19"/>
      <c r="G47" s="17"/>
    </row>
    <row r="48" ht="25" customHeight="1" spans="1:7">
      <c r="A48" s="11" t="s">
        <v>175</v>
      </c>
      <c r="B48" s="17" t="s">
        <v>393</v>
      </c>
      <c r="C48" s="17" t="s">
        <v>383</v>
      </c>
      <c r="D48" s="17">
        <v>6</v>
      </c>
      <c r="E48" s="19">
        <v>77.41</v>
      </c>
      <c r="F48" s="19">
        <f t="shared" ref="F48:F52" si="4">E48*D48</f>
        <v>464.46</v>
      </c>
      <c r="G48" s="17"/>
    </row>
    <row r="49" ht="25" customHeight="1" spans="1:7">
      <c r="A49" s="11" t="s">
        <v>177</v>
      </c>
      <c r="B49" s="17" t="s">
        <v>386</v>
      </c>
      <c r="C49" s="17" t="s">
        <v>128</v>
      </c>
      <c r="D49" s="20">
        <v>17.78</v>
      </c>
      <c r="E49" s="19">
        <v>20.87</v>
      </c>
      <c r="F49" s="19">
        <f t="shared" si="4"/>
        <v>371.0686</v>
      </c>
      <c r="G49" s="17"/>
    </row>
    <row r="50" ht="25" customHeight="1" spans="1:7">
      <c r="A50" s="11" t="s">
        <v>178</v>
      </c>
      <c r="B50" s="17" t="s">
        <v>387</v>
      </c>
      <c r="C50" s="17" t="s">
        <v>128</v>
      </c>
      <c r="D50" s="20">
        <f>D49*2</f>
        <v>35.56</v>
      </c>
      <c r="E50" s="19">
        <v>3.7</v>
      </c>
      <c r="F50" s="19">
        <f t="shared" si="4"/>
        <v>131.572</v>
      </c>
      <c r="G50" s="17"/>
    </row>
    <row r="51" ht="25" customHeight="1" spans="1:7">
      <c r="A51" s="11" t="s">
        <v>179</v>
      </c>
      <c r="B51" s="17" t="s">
        <v>388</v>
      </c>
      <c r="C51" s="17" t="s">
        <v>128</v>
      </c>
      <c r="D51" s="17">
        <f>4.75*2+3.55</f>
        <v>13.05</v>
      </c>
      <c r="E51" s="19">
        <v>120</v>
      </c>
      <c r="F51" s="19">
        <f t="shared" si="4"/>
        <v>1566</v>
      </c>
      <c r="G51" s="17"/>
    </row>
    <row r="52" ht="25" customHeight="1" spans="1:7">
      <c r="A52" s="11" t="s">
        <v>180</v>
      </c>
      <c r="B52" s="17" t="s">
        <v>392</v>
      </c>
      <c r="C52" s="17" t="s">
        <v>137</v>
      </c>
      <c r="D52" s="17">
        <v>2</v>
      </c>
      <c r="E52" s="19">
        <v>90</v>
      </c>
      <c r="F52" s="19">
        <f t="shared" si="4"/>
        <v>180</v>
      </c>
      <c r="G52" s="17"/>
    </row>
    <row r="53" ht="25" customHeight="1" spans="1:7">
      <c r="A53" s="11" t="s">
        <v>181</v>
      </c>
      <c r="B53" s="18" t="s">
        <v>218</v>
      </c>
      <c r="C53" s="17"/>
      <c r="D53" s="17"/>
      <c r="E53" s="19"/>
      <c r="F53" s="19"/>
      <c r="G53" s="17"/>
    </row>
    <row r="54" ht="25" customHeight="1" spans="1:7">
      <c r="A54" s="11" t="s">
        <v>182</v>
      </c>
      <c r="B54" s="17" t="s">
        <v>393</v>
      </c>
      <c r="C54" s="17" t="s">
        <v>383</v>
      </c>
      <c r="D54" s="17">
        <v>3</v>
      </c>
      <c r="E54" s="19">
        <v>77.41</v>
      </c>
      <c r="F54" s="19">
        <f>E54*D54</f>
        <v>232.23</v>
      </c>
      <c r="G54" s="17"/>
    </row>
    <row r="55" ht="25" customHeight="1" spans="1:7">
      <c r="A55" s="11" t="s">
        <v>184</v>
      </c>
      <c r="B55" s="17" t="s">
        <v>384</v>
      </c>
      <c r="C55" s="17" t="s">
        <v>128</v>
      </c>
      <c r="D55" s="17">
        <v>8.6</v>
      </c>
      <c r="E55" s="19">
        <v>40.44</v>
      </c>
      <c r="F55" s="19">
        <f>E55*D55</f>
        <v>347.784</v>
      </c>
      <c r="G55" s="17"/>
    </row>
    <row r="56" ht="25" customHeight="1" spans="1:7">
      <c r="A56" s="11" t="s">
        <v>185</v>
      </c>
      <c r="B56" s="17" t="s">
        <v>386</v>
      </c>
      <c r="C56" s="17" t="s">
        <v>128</v>
      </c>
      <c r="D56" s="20">
        <v>11.66</v>
      </c>
      <c r="E56" s="19">
        <v>20.87</v>
      </c>
      <c r="F56" s="19">
        <f t="shared" ref="F56:F66" si="5">E56*D56</f>
        <v>243.3442</v>
      </c>
      <c r="G56" s="17"/>
    </row>
    <row r="57" ht="25" customHeight="1" spans="1:7">
      <c r="A57" s="11" t="s">
        <v>186</v>
      </c>
      <c r="B57" s="17" t="s">
        <v>387</v>
      </c>
      <c r="C57" s="17" t="s">
        <v>128</v>
      </c>
      <c r="D57" s="20">
        <f>D56*2</f>
        <v>23.32</v>
      </c>
      <c r="E57" s="19">
        <v>3.7</v>
      </c>
      <c r="F57" s="19">
        <f t="shared" si="5"/>
        <v>86.284</v>
      </c>
      <c r="G57" s="17"/>
    </row>
    <row r="58" ht="25" customHeight="1" spans="1:7">
      <c r="A58" s="11" t="s">
        <v>187</v>
      </c>
      <c r="B58" s="17" t="s">
        <v>388</v>
      </c>
      <c r="C58" s="17" t="s">
        <v>128</v>
      </c>
      <c r="D58" s="20">
        <f>3.75*3</f>
        <v>11.25</v>
      </c>
      <c r="E58" s="19">
        <v>120</v>
      </c>
      <c r="F58" s="19">
        <f t="shared" si="5"/>
        <v>1350</v>
      </c>
      <c r="G58" s="17"/>
    </row>
    <row r="59" ht="25" customHeight="1" spans="1:7">
      <c r="A59" s="11" t="s">
        <v>188</v>
      </c>
      <c r="B59" s="17" t="s">
        <v>392</v>
      </c>
      <c r="C59" s="17" t="s">
        <v>137</v>
      </c>
      <c r="D59" s="17">
        <v>3</v>
      </c>
      <c r="E59" s="19">
        <v>90</v>
      </c>
      <c r="F59" s="19">
        <f t="shared" si="5"/>
        <v>270</v>
      </c>
      <c r="G59" s="17"/>
    </row>
    <row r="60" ht="25" customHeight="1" spans="1:7">
      <c r="A60" s="11" t="s">
        <v>189</v>
      </c>
      <c r="B60" s="18" t="s">
        <v>227</v>
      </c>
      <c r="C60" s="17"/>
      <c r="D60" s="17"/>
      <c r="E60" s="19"/>
      <c r="F60" s="19"/>
      <c r="G60" s="17"/>
    </row>
    <row r="61" ht="25" customHeight="1" spans="1:7">
      <c r="A61" s="11" t="s">
        <v>190</v>
      </c>
      <c r="B61" s="17" t="s">
        <v>393</v>
      </c>
      <c r="C61" s="17" t="s">
        <v>383</v>
      </c>
      <c r="D61" s="17">
        <v>3</v>
      </c>
      <c r="E61" s="19">
        <v>77.41</v>
      </c>
      <c r="F61" s="19">
        <f t="shared" si="5"/>
        <v>232.23</v>
      </c>
      <c r="G61" s="17"/>
    </row>
    <row r="62" ht="25" customHeight="1" spans="1:7">
      <c r="A62" s="11" t="s">
        <v>191</v>
      </c>
      <c r="B62" s="17" t="s">
        <v>384</v>
      </c>
      <c r="C62" s="17" t="s">
        <v>128</v>
      </c>
      <c r="D62" s="17">
        <v>8.6</v>
      </c>
      <c r="E62" s="19">
        <v>40.44</v>
      </c>
      <c r="F62" s="19">
        <f t="shared" si="5"/>
        <v>347.784</v>
      </c>
      <c r="G62" s="17"/>
    </row>
    <row r="63" ht="25" customHeight="1" spans="1:7">
      <c r="A63" s="11" t="s">
        <v>192</v>
      </c>
      <c r="B63" s="17" t="s">
        <v>386</v>
      </c>
      <c r="C63" s="17" t="s">
        <v>128</v>
      </c>
      <c r="D63" s="20">
        <v>11.55</v>
      </c>
      <c r="E63" s="19">
        <v>20.87</v>
      </c>
      <c r="F63" s="19">
        <f t="shared" si="5"/>
        <v>241.0485</v>
      </c>
      <c r="G63" s="17"/>
    </row>
    <row r="64" ht="25" customHeight="1" spans="1:7">
      <c r="A64" s="11" t="s">
        <v>193</v>
      </c>
      <c r="B64" s="17" t="s">
        <v>387</v>
      </c>
      <c r="C64" s="17" t="s">
        <v>128</v>
      </c>
      <c r="D64" s="20">
        <f>D63*2</f>
        <v>23.1</v>
      </c>
      <c r="E64" s="19">
        <v>3.7</v>
      </c>
      <c r="F64" s="19">
        <f t="shared" si="5"/>
        <v>85.47</v>
      </c>
      <c r="G64" s="17"/>
    </row>
    <row r="65" ht="25" customHeight="1" spans="1:7">
      <c r="A65" s="11" t="s">
        <v>194</v>
      </c>
      <c r="B65" s="17" t="s">
        <v>388</v>
      </c>
      <c r="C65" s="17" t="s">
        <v>128</v>
      </c>
      <c r="D65" s="17">
        <f>3.75*3</f>
        <v>11.25</v>
      </c>
      <c r="E65" s="19">
        <v>120</v>
      </c>
      <c r="F65" s="19">
        <f t="shared" si="5"/>
        <v>1350</v>
      </c>
      <c r="G65" s="17"/>
    </row>
    <row r="66" ht="25" customHeight="1" spans="1:7">
      <c r="A66" s="11" t="s">
        <v>195</v>
      </c>
      <c r="B66" s="17" t="s">
        <v>392</v>
      </c>
      <c r="C66" s="17" t="s">
        <v>137</v>
      </c>
      <c r="D66" s="17">
        <v>3</v>
      </c>
      <c r="E66" s="19">
        <v>90</v>
      </c>
      <c r="F66" s="19">
        <f t="shared" si="5"/>
        <v>270</v>
      </c>
      <c r="G66" s="17"/>
    </row>
    <row r="67" ht="25" customHeight="1" spans="1:7">
      <c r="A67" s="11" t="s">
        <v>197</v>
      </c>
      <c r="B67" s="18" t="s">
        <v>236</v>
      </c>
      <c r="C67" s="17"/>
      <c r="D67" s="17"/>
      <c r="E67" s="19"/>
      <c r="F67" s="19"/>
      <c r="G67" s="17"/>
    </row>
    <row r="68" ht="25" customHeight="1" spans="1:7">
      <c r="A68" s="11" t="s">
        <v>198</v>
      </c>
      <c r="B68" s="17" t="s">
        <v>393</v>
      </c>
      <c r="C68" s="17" t="s">
        <v>383</v>
      </c>
      <c r="D68" s="17">
        <v>3</v>
      </c>
      <c r="E68" s="19">
        <v>77.41</v>
      </c>
      <c r="F68" s="19">
        <f>E68*D68</f>
        <v>232.23</v>
      </c>
      <c r="G68" s="17"/>
    </row>
    <row r="69" ht="25" customHeight="1" spans="1:7">
      <c r="A69" s="11" t="s">
        <v>199</v>
      </c>
      <c r="B69" s="17" t="s">
        <v>386</v>
      </c>
      <c r="C69" s="17" t="s">
        <v>128</v>
      </c>
      <c r="D69" s="20">
        <v>15.56</v>
      </c>
      <c r="E69" s="19">
        <v>20.87</v>
      </c>
      <c r="F69" s="19">
        <f t="shared" ref="F69:F78" si="6">E69*D69</f>
        <v>324.7372</v>
      </c>
      <c r="G69" s="17"/>
    </row>
    <row r="70" ht="25" customHeight="1" spans="1:7">
      <c r="A70" s="11" t="s">
        <v>200</v>
      </c>
      <c r="B70" s="17" t="s">
        <v>387</v>
      </c>
      <c r="C70" s="17" t="s">
        <v>128</v>
      </c>
      <c r="D70" s="20">
        <f>D69*2</f>
        <v>31.12</v>
      </c>
      <c r="E70" s="19">
        <v>3.7</v>
      </c>
      <c r="F70" s="19">
        <f t="shared" si="6"/>
        <v>115.144</v>
      </c>
      <c r="G70" s="17"/>
    </row>
    <row r="71" ht="25" customHeight="1" spans="1:7">
      <c r="A71" s="11" t="s">
        <v>202</v>
      </c>
      <c r="B71" s="17" t="s">
        <v>388</v>
      </c>
      <c r="C71" s="17" t="s">
        <v>128</v>
      </c>
      <c r="D71" s="17">
        <f>D77</f>
        <v>13.05</v>
      </c>
      <c r="E71" s="19">
        <v>120</v>
      </c>
      <c r="F71" s="19">
        <f t="shared" si="6"/>
        <v>1566</v>
      </c>
      <c r="G71" s="17"/>
    </row>
    <row r="72" ht="25" customHeight="1" spans="1:7">
      <c r="A72" s="11" t="s">
        <v>203</v>
      </c>
      <c r="B72" s="17" t="s">
        <v>392</v>
      </c>
      <c r="C72" s="17" t="s">
        <v>137</v>
      </c>
      <c r="D72" s="17">
        <v>3</v>
      </c>
      <c r="E72" s="19">
        <v>90</v>
      </c>
      <c r="F72" s="19">
        <f t="shared" si="6"/>
        <v>270</v>
      </c>
      <c r="G72" s="17"/>
    </row>
    <row r="73" ht="25" customHeight="1" spans="1:7">
      <c r="A73" s="11" t="s">
        <v>204</v>
      </c>
      <c r="B73" s="18" t="s">
        <v>244</v>
      </c>
      <c r="C73" s="17"/>
      <c r="D73" s="17"/>
      <c r="E73" s="19"/>
      <c r="F73" s="19"/>
      <c r="G73" s="17"/>
    </row>
    <row r="74" ht="25" customHeight="1" spans="1:7">
      <c r="A74" s="11" t="s">
        <v>205</v>
      </c>
      <c r="B74" s="17" t="s">
        <v>393</v>
      </c>
      <c r="C74" s="17" t="s">
        <v>383</v>
      </c>
      <c r="D74" s="17">
        <v>3</v>
      </c>
      <c r="E74" s="19">
        <v>77.41</v>
      </c>
      <c r="F74" s="19">
        <f t="shared" si="6"/>
        <v>232.23</v>
      </c>
      <c r="G74" s="17"/>
    </row>
    <row r="75" ht="25" customHeight="1" spans="1:7">
      <c r="A75" s="11" t="s">
        <v>206</v>
      </c>
      <c r="B75" s="17" t="s">
        <v>386</v>
      </c>
      <c r="C75" s="17" t="s">
        <v>128</v>
      </c>
      <c r="D75" s="20">
        <v>15.69</v>
      </c>
      <c r="E75" s="19">
        <v>20.87</v>
      </c>
      <c r="F75" s="19">
        <f t="shared" si="6"/>
        <v>327.4503</v>
      </c>
      <c r="G75" s="17"/>
    </row>
    <row r="76" ht="25" customHeight="1" spans="1:7">
      <c r="A76" s="11" t="s">
        <v>207</v>
      </c>
      <c r="B76" s="17" t="s">
        <v>387</v>
      </c>
      <c r="C76" s="17" t="s">
        <v>128</v>
      </c>
      <c r="D76" s="20">
        <f>D75*2</f>
        <v>31.38</v>
      </c>
      <c r="E76" s="19">
        <v>3.7</v>
      </c>
      <c r="F76" s="19">
        <f t="shared" si="6"/>
        <v>116.106</v>
      </c>
      <c r="G76" s="17"/>
    </row>
    <row r="77" ht="25" customHeight="1" spans="1:7">
      <c r="A77" s="11" t="s">
        <v>209</v>
      </c>
      <c r="B77" s="17" t="s">
        <v>388</v>
      </c>
      <c r="C77" s="17" t="s">
        <v>128</v>
      </c>
      <c r="D77" s="17">
        <f>4.75*2+3.55</f>
        <v>13.05</v>
      </c>
      <c r="E77" s="19">
        <v>120</v>
      </c>
      <c r="F77" s="19">
        <f t="shared" si="6"/>
        <v>1566</v>
      </c>
      <c r="G77" s="17"/>
    </row>
    <row r="78" ht="25" customHeight="1" spans="1:7">
      <c r="A78" s="11" t="s">
        <v>211</v>
      </c>
      <c r="B78" s="17" t="s">
        <v>392</v>
      </c>
      <c r="C78" s="17" t="s">
        <v>137</v>
      </c>
      <c r="D78" s="17">
        <v>3</v>
      </c>
      <c r="E78" s="19">
        <v>90</v>
      </c>
      <c r="F78" s="19">
        <f t="shared" si="6"/>
        <v>270</v>
      </c>
      <c r="G78" s="17"/>
    </row>
    <row r="79" ht="25" customHeight="1" spans="1:7">
      <c r="A79" s="11" t="s">
        <v>212</v>
      </c>
      <c r="B79" s="18" t="s">
        <v>252</v>
      </c>
      <c r="C79" s="17"/>
      <c r="D79" s="17"/>
      <c r="E79" s="19"/>
      <c r="F79" s="19"/>
      <c r="G79" s="17"/>
    </row>
    <row r="80" ht="25" customHeight="1" spans="1:7">
      <c r="A80" s="11" t="s">
        <v>213</v>
      </c>
      <c r="B80" s="17" t="s">
        <v>393</v>
      </c>
      <c r="C80" s="17" t="s">
        <v>383</v>
      </c>
      <c r="D80" s="20">
        <v>3</v>
      </c>
      <c r="E80" s="19">
        <v>77.41</v>
      </c>
      <c r="F80" s="19">
        <f t="shared" ref="F80:F85" si="7">E80*D80</f>
        <v>232.23</v>
      </c>
      <c r="G80" s="17"/>
    </row>
    <row r="81" ht="25" customHeight="1" spans="1:7">
      <c r="A81" s="11" t="s">
        <v>214</v>
      </c>
      <c r="B81" s="17" t="s">
        <v>384</v>
      </c>
      <c r="C81" s="17" t="s">
        <v>128</v>
      </c>
      <c r="D81" s="20">
        <v>7.9</v>
      </c>
      <c r="E81" s="19">
        <v>40.44</v>
      </c>
      <c r="F81" s="19">
        <f t="shared" si="7"/>
        <v>319.476</v>
      </c>
      <c r="G81" s="17"/>
    </row>
    <row r="82" ht="25" customHeight="1" spans="1:7">
      <c r="A82" s="11" t="s">
        <v>215</v>
      </c>
      <c r="B82" s="17" t="s">
        <v>386</v>
      </c>
      <c r="C82" s="17" t="s">
        <v>128</v>
      </c>
      <c r="D82" s="20">
        <v>11.2</v>
      </c>
      <c r="E82" s="19">
        <v>20.87</v>
      </c>
      <c r="F82" s="19">
        <f t="shared" si="7"/>
        <v>233.744</v>
      </c>
      <c r="G82" s="17"/>
    </row>
    <row r="83" ht="25" customHeight="1" spans="1:7">
      <c r="A83" s="11" t="s">
        <v>216</v>
      </c>
      <c r="B83" s="17" t="s">
        <v>387</v>
      </c>
      <c r="C83" s="17" t="s">
        <v>128</v>
      </c>
      <c r="D83" s="20">
        <f>D82*2</f>
        <v>22.4</v>
      </c>
      <c r="E83" s="19">
        <v>3.7</v>
      </c>
      <c r="F83" s="19">
        <f t="shared" si="7"/>
        <v>82.88</v>
      </c>
      <c r="G83" s="17"/>
    </row>
    <row r="84" ht="25" customHeight="1" spans="1:7">
      <c r="A84" s="11" t="s">
        <v>217</v>
      </c>
      <c r="B84" s="17" t="s">
        <v>388</v>
      </c>
      <c r="C84" s="17" t="s">
        <v>128</v>
      </c>
      <c r="D84" s="17">
        <f>3.75*3</f>
        <v>11.25</v>
      </c>
      <c r="E84" s="19">
        <v>120</v>
      </c>
      <c r="F84" s="19">
        <f t="shared" si="7"/>
        <v>1350</v>
      </c>
      <c r="G84" s="17"/>
    </row>
    <row r="85" ht="25" customHeight="1" spans="1:7">
      <c r="A85" s="11" t="s">
        <v>219</v>
      </c>
      <c r="B85" s="17" t="s">
        <v>392</v>
      </c>
      <c r="C85" s="17" t="s">
        <v>137</v>
      </c>
      <c r="D85" s="17">
        <v>3</v>
      </c>
      <c r="E85" s="19">
        <v>90</v>
      </c>
      <c r="F85" s="19">
        <f t="shared" si="7"/>
        <v>270</v>
      </c>
      <c r="G85" s="17"/>
    </row>
    <row r="86" ht="25" customHeight="1" spans="1:7">
      <c r="A86" s="11" t="s">
        <v>220</v>
      </c>
      <c r="B86" s="18" t="s">
        <v>261</v>
      </c>
      <c r="C86" s="17"/>
      <c r="D86" s="17"/>
      <c r="E86" s="19"/>
      <c r="F86" s="19"/>
      <c r="G86" s="17"/>
    </row>
    <row r="87" ht="25" customHeight="1" spans="1:7">
      <c r="A87" s="11" t="s">
        <v>221</v>
      </c>
      <c r="B87" s="17" t="s">
        <v>393</v>
      </c>
      <c r="C87" s="17" t="s">
        <v>383</v>
      </c>
      <c r="D87" s="17">
        <v>3</v>
      </c>
      <c r="E87" s="19">
        <v>77.41</v>
      </c>
      <c r="F87" s="19">
        <f t="shared" ref="F87:F92" si="8">E87*D87</f>
        <v>232.23</v>
      </c>
      <c r="G87" s="17"/>
    </row>
    <row r="88" ht="25" customHeight="1" spans="1:7">
      <c r="A88" s="11" t="s">
        <v>222</v>
      </c>
      <c r="B88" s="17" t="s">
        <v>384</v>
      </c>
      <c r="C88" s="17" t="s">
        <v>128</v>
      </c>
      <c r="D88" s="20">
        <v>7.9</v>
      </c>
      <c r="E88" s="19">
        <v>40.44</v>
      </c>
      <c r="F88" s="19">
        <f t="shared" si="8"/>
        <v>319.476</v>
      </c>
      <c r="G88" s="17"/>
    </row>
    <row r="89" ht="25" customHeight="1" spans="1:7">
      <c r="A89" s="11" t="s">
        <v>223</v>
      </c>
      <c r="B89" s="17" t="s">
        <v>386</v>
      </c>
      <c r="C89" s="17" t="s">
        <v>128</v>
      </c>
      <c r="D89" s="20">
        <v>11.2</v>
      </c>
      <c r="E89" s="19">
        <v>20.87</v>
      </c>
      <c r="F89" s="19">
        <f t="shared" si="8"/>
        <v>233.744</v>
      </c>
      <c r="G89" s="17"/>
    </row>
    <row r="90" ht="25" customHeight="1" spans="1:7">
      <c r="A90" s="11" t="s">
        <v>224</v>
      </c>
      <c r="B90" s="17" t="s">
        <v>387</v>
      </c>
      <c r="C90" s="17" t="s">
        <v>128</v>
      </c>
      <c r="D90" s="20">
        <f>D89*2</f>
        <v>22.4</v>
      </c>
      <c r="E90" s="19">
        <v>3.7</v>
      </c>
      <c r="F90" s="19">
        <f t="shared" si="8"/>
        <v>82.88</v>
      </c>
      <c r="G90" s="17"/>
    </row>
    <row r="91" ht="25" customHeight="1" spans="1:7">
      <c r="A91" s="11" t="s">
        <v>225</v>
      </c>
      <c r="B91" s="17" t="s">
        <v>388</v>
      </c>
      <c r="C91" s="17" t="s">
        <v>128</v>
      </c>
      <c r="D91" s="17">
        <f>3.75*3</f>
        <v>11.25</v>
      </c>
      <c r="E91" s="19">
        <v>120</v>
      </c>
      <c r="F91" s="19">
        <f t="shared" si="8"/>
        <v>1350</v>
      </c>
      <c r="G91" s="17"/>
    </row>
    <row r="92" ht="25" customHeight="1" spans="1:7">
      <c r="A92" s="11" t="s">
        <v>226</v>
      </c>
      <c r="B92" s="17" t="s">
        <v>392</v>
      </c>
      <c r="C92" s="17" t="s">
        <v>137</v>
      </c>
      <c r="D92" s="17">
        <v>3</v>
      </c>
      <c r="E92" s="19">
        <v>90</v>
      </c>
      <c r="F92" s="19">
        <f t="shared" si="8"/>
        <v>270</v>
      </c>
      <c r="G92" s="17"/>
    </row>
    <row r="93" ht="25" customHeight="1" spans="1:7">
      <c r="A93" s="11" t="s">
        <v>228</v>
      </c>
      <c r="B93" s="18" t="s">
        <v>270</v>
      </c>
      <c r="C93" s="17"/>
      <c r="D93" s="17"/>
      <c r="E93" s="19"/>
      <c r="F93" s="19"/>
      <c r="G93" s="17"/>
    </row>
    <row r="94" ht="25" customHeight="1" spans="1:7">
      <c r="A94" s="11" t="s">
        <v>229</v>
      </c>
      <c r="B94" s="17" t="s">
        <v>393</v>
      </c>
      <c r="C94" s="17" t="s">
        <v>383</v>
      </c>
      <c r="D94" s="17">
        <v>11</v>
      </c>
      <c r="E94" s="19">
        <v>77.41</v>
      </c>
      <c r="F94" s="19">
        <f t="shared" ref="F94:F99" si="9">E94*D94</f>
        <v>851.51</v>
      </c>
      <c r="G94" s="17"/>
    </row>
    <row r="95" ht="25" customHeight="1" spans="1:7">
      <c r="A95" s="11" t="s">
        <v>230</v>
      </c>
      <c r="B95" s="17" t="s">
        <v>384</v>
      </c>
      <c r="C95" s="17" t="s">
        <v>128</v>
      </c>
      <c r="D95" s="17">
        <f>D102</f>
        <v>17.15</v>
      </c>
      <c r="E95" s="19">
        <v>40.44</v>
      </c>
      <c r="F95" s="19">
        <f t="shared" si="9"/>
        <v>693.546</v>
      </c>
      <c r="G95" s="17"/>
    </row>
    <row r="96" ht="25" customHeight="1" spans="1:7">
      <c r="A96" s="11" t="s">
        <v>231</v>
      </c>
      <c r="B96" s="17" t="s">
        <v>386</v>
      </c>
      <c r="C96" s="17" t="s">
        <v>128</v>
      </c>
      <c r="D96" s="20">
        <v>25.12</v>
      </c>
      <c r="E96" s="19">
        <v>20.87</v>
      </c>
      <c r="F96" s="19">
        <f t="shared" si="9"/>
        <v>524.2544</v>
      </c>
      <c r="G96" s="17"/>
    </row>
    <row r="97" ht="25" customHeight="1" spans="1:7">
      <c r="A97" s="11" t="s">
        <v>232</v>
      </c>
      <c r="B97" s="17" t="s">
        <v>387</v>
      </c>
      <c r="C97" s="17" t="s">
        <v>128</v>
      </c>
      <c r="D97" s="20">
        <f>D96*2</f>
        <v>50.24</v>
      </c>
      <c r="E97" s="19">
        <v>3.7</v>
      </c>
      <c r="F97" s="19">
        <f t="shared" si="9"/>
        <v>185.888</v>
      </c>
      <c r="G97" s="17"/>
    </row>
    <row r="98" ht="25" customHeight="1" spans="1:7">
      <c r="A98" s="11" t="s">
        <v>233</v>
      </c>
      <c r="B98" s="17" t="s">
        <v>388</v>
      </c>
      <c r="C98" s="17" t="s">
        <v>128</v>
      </c>
      <c r="D98" s="20">
        <f>3.67*2</f>
        <v>7.34</v>
      </c>
      <c r="E98" s="19">
        <v>120</v>
      </c>
      <c r="F98" s="19">
        <f t="shared" si="9"/>
        <v>880.8</v>
      </c>
      <c r="G98" s="17"/>
    </row>
    <row r="99" ht="25" customHeight="1" spans="1:7">
      <c r="A99" s="11" t="s">
        <v>234</v>
      </c>
      <c r="B99" s="17" t="s">
        <v>392</v>
      </c>
      <c r="C99" s="17" t="s">
        <v>137</v>
      </c>
      <c r="D99" s="17">
        <v>2</v>
      </c>
      <c r="E99" s="19">
        <v>90</v>
      </c>
      <c r="F99" s="19">
        <f t="shared" si="9"/>
        <v>180</v>
      </c>
      <c r="G99" s="17"/>
    </row>
    <row r="100" ht="25" customHeight="1" spans="1:7">
      <c r="A100" s="11" t="s">
        <v>235</v>
      </c>
      <c r="B100" s="18" t="s">
        <v>282</v>
      </c>
      <c r="C100" s="17"/>
      <c r="D100" s="17"/>
      <c r="E100" s="19"/>
      <c r="F100" s="19"/>
      <c r="G100" s="17"/>
    </row>
    <row r="101" ht="25" customHeight="1" spans="1:7">
      <c r="A101" s="11" t="s">
        <v>237</v>
      </c>
      <c r="B101" s="17" t="s">
        <v>393</v>
      </c>
      <c r="C101" s="17" t="s">
        <v>383</v>
      </c>
      <c r="D101" s="17">
        <v>14</v>
      </c>
      <c r="E101" s="19">
        <v>77.41</v>
      </c>
      <c r="F101" s="19">
        <f t="shared" ref="F101:F107" si="10">E101*D101</f>
        <v>1083.74</v>
      </c>
      <c r="G101" s="17"/>
    </row>
    <row r="102" ht="25" customHeight="1" spans="1:7">
      <c r="A102" s="11" t="s">
        <v>238</v>
      </c>
      <c r="B102" s="17" t="s">
        <v>384</v>
      </c>
      <c r="C102" s="17" t="s">
        <v>128</v>
      </c>
      <c r="D102" s="17">
        <f>7.95+9.2</f>
        <v>17.15</v>
      </c>
      <c r="E102" s="19">
        <v>40.44</v>
      </c>
      <c r="F102" s="19">
        <f t="shared" si="10"/>
        <v>693.546</v>
      </c>
      <c r="G102" s="17"/>
    </row>
    <row r="103" ht="25" customHeight="1" spans="1:7">
      <c r="A103" s="11" t="s">
        <v>239</v>
      </c>
      <c r="B103" s="17" t="s">
        <v>386</v>
      </c>
      <c r="C103" s="17" t="s">
        <v>128</v>
      </c>
      <c r="D103" s="20">
        <v>29.74</v>
      </c>
      <c r="E103" s="19">
        <v>20.87</v>
      </c>
      <c r="F103" s="19">
        <f t="shared" si="10"/>
        <v>620.6738</v>
      </c>
      <c r="G103" s="17"/>
    </row>
    <row r="104" ht="25" customHeight="1" spans="1:7">
      <c r="A104" s="11" t="s">
        <v>240</v>
      </c>
      <c r="B104" s="17" t="s">
        <v>387</v>
      </c>
      <c r="C104" s="17" t="s">
        <v>128</v>
      </c>
      <c r="D104" s="20">
        <f>D103*2</f>
        <v>59.48</v>
      </c>
      <c r="E104" s="19">
        <v>3.7</v>
      </c>
      <c r="F104" s="19">
        <f t="shared" si="10"/>
        <v>220.076</v>
      </c>
      <c r="G104" s="17"/>
    </row>
    <row r="105" ht="25" customHeight="1" spans="1:7">
      <c r="A105" s="11" t="s">
        <v>241</v>
      </c>
      <c r="B105" s="17" t="s">
        <v>388</v>
      </c>
      <c r="C105" s="17" t="s">
        <v>128</v>
      </c>
      <c r="D105" s="17">
        <v>0</v>
      </c>
      <c r="E105" s="19">
        <v>120</v>
      </c>
      <c r="F105" s="19">
        <f t="shared" si="10"/>
        <v>0</v>
      </c>
      <c r="G105" s="17"/>
    </row>
    <row r="106" ht="25" customHeight="1" spans="1:7">
      <c r="A106" s="11"/>
      <c r="B106" s="20" t="s">
        <v>385</v>
      </c>
      <c r="C106" s="20" t="s">
        <v>383</v>
      </c>
      <c r="D106" s="20">
        <v>4</v>
      </c>
      <c r="E106" s="21">
        <v>110</v>
      </c>
      <c r="F106" s="21">
        <f t="shared" si="10"/>
        <v>440</v>
      </c>
      <c r="G106" s="17"/>
    </row>
    <row r="107" ht="25" customHeight="1" spans="1:7">
      <c r="A107" s="11" t="s">
        <v>242</v>
      </c>
      <c r="B107" s="17" t="s">
        <v>392</v>
      </c>
      <c r="C107" s="17" t="s">
        <v>137</v>
      </c>
      <c r="D107" s="17">
        <v>4</v>
      </c>
      <c r="E107" s="19">
        <v>90</v>
      </c>
      <c r="F107" s="19">
        <f t="shared" si="10"/>
        <v>360</v>
      </c>
      <c r="G107" s="17"/>
    </row>
    <row r="108" ht="25" customHeight="1" spans="1:7">
      <c r="A108" s="11" t="s">
        <v>243</v>
      </c>
      <c r="B108" s="18" t="s">
        <v>294</v>
      </c>
      <c r="C108" s="17"/>
      <c r="D108" s="17"/>
      <c r="E108" s="19"/>
      <c r="F108" s="19"/>
      <c r="G108" s="17"/>
    </row>
    <row r="109" ht="25" customHeight="1" spans="1:7">
      <c r="A109" s="11" t="s">
        <v>245</v>
      </c>
      <c r="B109" s="17" t="s">
        <v>393</v>
      </c>
      <c r="C109" s="17" t="s">
        <v>383</v>
      </c>
      <c r="D109" s="17">
        <v>9</v>
      </c>
      <c r="E109" s="19">
        <v>77.41</v>
      </c>
      <c r="F109" s="19">
        <f t="shared" ref="F109:F114" si="11">E109*D109</f>
        <v>696.69</v>
      </c>
      <c r="G109" s="17"/>
    </row>
    <row r="110" ht="25" customHeight="1" spans="1:7">
      <c r="A110" s="11" t="s">
        <v>246</v>
      </c>
      <c r="B110" s="17" t="s">
        <v>384</v>
      </c>
      <c r="C110" s="17" t="s">
        <v>128</v>
      </c>
      <c r="D110" s="20">
        <f>6.4+3.3</f>
        <v>9.7</v>
      </c>
      <c r="E110" s="19">
        <v>40.44</v>
      </c>
      <c r="F110" s="19">
        <f t="shared" si="11"/>
        <v>392.268</v>
      </c>
      <c r="G110" s="17"/>
    </row>
    <row r="111" ht="25" customHeight="1" spans="1:7">
      <c r="A111" s="11" t="s">
        <v>247</v>
      </c>
      <c r="B111" s="17" t="s">
        <v>386</v>
      </c>
      <c r="C111" s="17" t="s">
        <v>128</v>
      </c>
      <c r="D111" s="20">
        <v>21.42</v>
      </c>
      <c r="E111" s="19">
        <v>20.87</v>
      </c>
      <c r="F111" s="19">
        <f t="shared" si="11"/>
        <v>447.0354</v>
      </c>
      <c r="G111" s="17"/>
    </row>
    <row r="112" ht="25" customHeight="1" spans="1:7">
      <c r="A112" s="11" t="s">
        <v>248</v>
      </c>
      <c r="B112" s="17" t="s">
        <v>387</v>
      </c>
      <c r="C112" s="17" t="s">
        <v>128</v>
      </c>
      <c r="D112" s="20">
        <f>D111*2</f>
        <v>42.84</v>
      </c>
      <c r="E112" s="19">
        <v>3.7</v>
      </c>
      <c r="F112" s="19">
        <f t="shared" si="11"/>
        <v>158.508</v>
      </c>
      <c r="G112" s="17"/>
    </row>
    <row r="113" ht="25" customHeight="1" spans="1:7">
      <c r="A113" s="11" t="s">
        <v>249</v>
      </c>
      <c r="B113" s="17" t="s">
        <v>388</v>
      </c>
      <c r="C113" s="17" t="s">
        <v>128</v>
      </c>
      <c r="D113" s="17">
        <f>4.5*2</f>
        <v>9</v>
      </c>
      <c r="E113" s="19">
        <v>120</v>
      </c>
      <c r="F113" s="19">
        <f t="shared" si="11"/>
        <v>1080</v>
      </c>
      <c r="G113" s="17"/>
    </row>
    <row r="114" ht="25" customHeight="1" spans="1:7">
      <c r="A114" s="11" t="s">
        <v>250</v>
      </c>
      <c r="B114" s="17" t="s">
        <v>392</v>
      </c>
      <c r="C114" s="17" t="s">
        <v>137</v>
      </c>
      <c r="D114" s="17">
        <v>2</v>
      </c>
      <c r="E114" s="19">
        <v>90</v>
      </c>
      <c r="F114" s="19">
        <f t="shared" si="11"/>
        <v>180</v>
      </c>
      <c r="G114" s="17"/>
    </row>
    <row r="115" ht="25" customHeight="1" spans="1:7">
      <c r="A115" s="11" t="s">
        <v>251</v>
      </c>
      <c r="B115" s="18" t="s">
        <v>304</v>
      </c>
      <c r="C115" s="17"/>
      <c r="D115" s="17"/>
      <c r="E115" s="19"/>
      <c r="F115" s="19"/>
      <c r="G115" s="17"/>
    </row>
    <row r="116" ht="25" customHeight="1" spans="1:7">
      <c r="A116" s="11" t="s">
        <v>253</v>
      </c>
      <c r="B116" s="17" t="s">
        <v>393</v>
      </c>
      <c r="C116" s="17" t="s">
        <v>383</v>
      </c>
      <c r="D116" s="17">
        <v>9</v>
      </c>
      <c r="E116" s="19">
        <v>77.41</v>
      </c>
      <c r="F116" s="19">
        <f t="shared" ref="F116:F121" si="12">E116*D116</f>
        <v>696.69</v>
      </c>
      <c r="G116" s="17"/>
    </row>
    <row r="117" ht="25" customHeight="1" spans="1:7">
      <c r="A117" s="11" t="s">
        <v>254</v>
      </c>
      <c r="B117" s="17" t="s">
        <v>384</v>
      </c>
      <c r="C117" s="17" t="s">
        <v>128</v>
      </c>
      <c r="D117" s="20">
        <f>6.3+3.65</f>
        <v>9.95</v>
      </c>
      <c r="E117" s="19">
        <v>40.44</v>
      </c>
      <c r="F117" s="19">
        <f t="shared" si="12"/>
        <v>402.378</v>
      </c>
      <c r="G117" s="17"/>
    </row>
    <row r="118" ht="25" customHeight="1" spans="1:7">
      <c r="A118" s="11" t="s">
        <v>255</v>
      </c>
      <c r="B118" s="17" t="s">
        <v>386</v>
      </c>
      <c r="C118" s="17" t="s">
        <v>128</v>
      </c>
      <c r="D118" s="20">
        <v>21.52</v>
      </c>
      <c r="E118" s="19">
        <v>20.87</v>
      </c>
      <c r="F118" s="19">
        <f t="shared" si="12"/>
        <v>449.1224</v>
      </c>
      <c r="G118" s="17"/>
    </row>
    <row r="119" ht="25" customHeight="1" spans="1:7">
      <c r="A119" s="11" t="s">
        <v>256</v>
      </c>
      <c r="B119" s="17" t="s">
        <v>387</v>
      </c>
      <c r="C119" s="17" t="s">
        <v>128</v>
      </c>
      <c r="D119" s="20">
        <f>D118*2</f>
        <v>43.04</v>
      </c>
      <c r="E119" s="19">
        <v>3.7</v>
      </c>
      <c r="F119" s="19">
        <f t="shared" si="12"/>
        <v>159.248</v>
      </c>
      <c r="G119" s="17"/>
    </row>
    <row r="120" ht="25" customHeight="1" spans="1:7">
      <c r="A120" s="11" t="s">
        <v>257</v>
      </c>
      <c r="B120" s="17" t="s">
        <v>388</v>
      </c>
      <c r="C120" s="17" t="s">
        <v>128</v>
      </c>
      <c r="D120" s="20">
        <f>4.83*3</f>
        <v>14.49</v>
      </c>
      <c r="E120" s="19">
        <v>120</v>
      </c>
      <c r="F120" s="19">
        <f t="shared" si="12"/>
        <v>1738.8</v>
      </c>
      <c r="G120" s="17"/>
    </row>
    <row r="121" ht="25" customHeight="1" spans="1:7">
      <c r="A121" s="11" t="s">
        <v>258</v>
      </c>
      <c r="B121" s="17" t="s">
        <v>392</v>
      </c>
      <c r="C121" s="17" t="s">
        <v>137</v>
      </c>
      <c r="D121" s="17">
        <v>3</v>
      </c>
      <c r="E121" s="19">
        <v>90</v>
      </c>
      <c r="F121" s="19">
        <f t="shared" si="12"/>
        <v>270</v>
      </c>
      <c r="G121" s="17"/>
    </row>
    <row r="122" ht="25" customHeight="1" spans="1:7">
      <c r="A122" s="22" t="s">
        <v>259</v>
      </c>
      <c r="B122" s="18" t="s">
        <v>313</v>
      </c>
      <c r="C122" s="17"/>
      <c r="D122" s="17"/>
      <c r="E122" s="19"/>
      <c r="F122" s="19"/>
      <c r="G122" s="17"/>
    </row>
    <row r="123" ht="25" customHeight="1" spans="1:7">
      <c r="A123" s="11" t="s">
        <v>260</v>
      </c>
      <c r="B123" s="17" t="s">
        <v>393</v>
      </c>
      <c r="C123" s="17" t="s">
        <v>383</v>
      </c>
      <c r="D123" s="17">
        <v>9</v>
      </c>
      <c r="E123" s="19">
        <v>77.41</v>
      </c>
      <c r="F123" s="19">
        <f t="shared" ref="F123:F128" si="13">E123*D123</f>
        <v>696.69</v>
      </c>
      <c r="G123" s="17"/>
    </row>
    <row r="124" ht="25" customHeight="1" spans="1:7">
      <c r="A124" s="11" t="s">
        <v>262</v>
      </c>
      <c r="B124" s="17" t="s">
        <v>384</v>
      </c>
      <c r="C124" s="17" t="s">
        <v>128</v>
      </c>
      <c r="D124" s="20">
        <f>6.3+3.65+2.04</f>
        <v>11.99</v>
      </c>
      <c r="E124" s="19">
        <v>40.44</v>
      </c>
      <c r="F124" s="19">
        <f t="shared" si="13"/>
        <v>484.8756</v>
      </c>
      <c r="G124" s="17"/>
    </row>
    <row r="125" ht="25" customHeight="1" spans="1:7">
      <c r="A125" s="11" t="s">
        <v>263</v>
      </c>
      <c r="B125" s="17" t="s">
        <v>386</v>
      </c>
      <c r="C125" s="17" t="s">
        <v>128</v>
      </c>
      <c r="D125" s="20">
        <v>19.73</v>
      </c>
      <c r="E125" s="19">
        <v>20.87</v>
      </c>
      <c r="F125" s="19">
        <f t="shared" si="13"/>
        <v>411.7651</v>
      </c>
      <c r="G125" s="17"/>
    </row>
    <row r="126" ht="25" customHeight="1" spans="1:7">
      <c r="A126" s="11" t="s">
        <v>264</v>
      </c>
      <c r="B126" s="17" t="s">
        <v>387</v>
      </c>
      <c r="C126" s="17" t="s">
        <v>128</v>
      </c>
      <c r="D126" s="20">
        <f>D125*2</f>
        <v>39.46</v>
      </c>
      <c r="E126" s="19">
        <v>3.7</v>
      </c>
      <c r="F126" s="19">
        <f t="shared" si="13"/>
        <v>146.002</v>
      </c>
      <c r="G126" s="17"/>
    </row>
    <row r="127" ht="25" customHeight="1" spans="1:7">
      <c r="A127" s="11" t="s">
        <v>265</v>
      </c>
      <c r="B127" s="17" t="s">
        <v>388</v>
      </c>
      <c r="C127" s="17" t="s">
        <v>128</v>
      </c>
      <c r="D127" s="20">
        <f>5.8*2</f>
        <v>11.6</v>
      </c>
      <c r="E127" s="19">
        <v>120</v>
      </c>
      <c r="F127" s="19">
        <f t="shared" si="13"/>
        <v>1392</v>
      </c>
      <c r="G127" s="17"/>
    </row>
    <row r="128" ht="25" customHeight="1" spans="1:7">
      <c r="A128" s="11" t="s">
        <v>266</v>
      </c>
      <c r="B128" s="17" t="s">
        <v>392</v>
      </c>
      <c r="C128" s="17" t="s">
        <v>137</v>
      </c>
      <c r="D128" s="17">
        <v>2</v>
      </c>
      <c r="E128" s="19">
        <v>90</v>
      </c>
      <c r="F128" s="19">
        <f t="shared" si="13"/>
        <v>180</v>
      </c>
      <c r="G128" s="17"/>
    </row>
    <row r="129" ht="25" customHeight="1" spans="1:7">
      <c r="A129" s="11" t="s">
        <v>267</v>
      </c>
      <c r="B129" s="18" t="s">
        <v>322</v>
      </c>
      <c r="C129" s="17"/>
      <c r="D129" s="17"/>
      <c r="E129" s="19"/>
      <c r="F129" s="19"/>
      <c r="G129" s="17"/>
    </row>
    <row r="130" ht="25" customHeight="1" spans="1:7">
      <c r="A130" s="11" t="s">
        <v>268</v>
      </c>
      <c r="B130" s="17" t="s">
        <v>393</v>
      </c>
      <c r="C130" s="17" t="s">
        <v>383</v>
      </c>
      <c r="D130" s="17">
        <v>3</v>
      </c>
      <c r="E130" s="19">
        <v>77.41</v>
      </c>
      <c r="F130" s="19">
        <f t="shared" ref="F130:F135" si="14">E130*D130</f>
        <v>232.23</v>
      </c>
      <c r="G130" s="17"/>
    </row>
    <row r="131" ht="25" customHeight="1" spans="1:7">
      <c r="A131" s="11" t="s">
        <v>269</v>
      </c>
      <c r="B131" s="17" t="s">
        <v>384</v>
      </c>
      <c r="C131" s="17" t="s">
        <v>128</v>
      </c>
      <c r="D131" s="17">
        <v>8.7</v>
      </c>
      <c r="E131" s="19">
        <v>40.44</v>
      </c>
      <c r="F131" s="19">
        <f t="shared" si="14"/>
        <v>351.828</v>
      </c>
      <c r="G131" s="17"/>
    </row>
    <row r="132" ht="25" customHeight="1" spans="1:7">
      <c r="A132" s="11" t="s">
        <v>271</v>
      </c>
      <c r="B132" s="17" t="s">
        <v>386</v>
      </c>
      <c r="C132" s="17" t="s">
        <v>128</v>
      </c>
      <c r="D132" s="20">
        <v>10.77</v>
      </c>
      <c r="E132" s="19">
        <v>20.87</v>
      </c>
      <c r="F132" s="19">
        <f t="shared" si="14"/>
        <v>224.7699</v>
      </c>
      <c r="G132" s="17"/>
    </row>
    <row r="133" ht="25" customHeight="1" spans="1:7">
      <c r="A133" s="11" t="s">
        <v>272</v>
      </c>
      <c r="B133" s="17" t="s">
        <v>387</v>
      </c>
      <c r="C133" s="17" t="s">
        <v>128</v>
      </c>
      <c r="D133" s="20">
        <f>D132*2</f>
        <v>21.54</v>
      </c>
      <c r="E133" s="19">
        <v>3.7</v>
      </c>
      <c r="F133" s="19">
        <f t="shared" si="14"/>
        <v>79.698</v>
      </c>
      <c r="G133" s="17"/>
    </row>
    <row r="134" ht="25" customHeight="1" spans="1:7">
      <c r="A134" s="11" t="s">
        <v>274</v>
      </c>
      <c r="B134" s="17" t="s">
        <v>388</v>
      </c>
      <c r="C134" s="17" t="s">
        <v>128</v>
      </c>
      <c r="D134" s="17">
        <f>D141</f>
        <v>7.9</v>
      </c>
      <c r="E134" s="19">
        <v>120</v>
      </c>
      <c r="F134" s="19">
        <f t="shared" si="14"/>
        <v>948</v>
      </c>
      <c r="G134" s="17"/>
    </row>
    <row r="135" ht="25" customHeight="1" spans="1:7">
      <c r="A135" s="11" t="s">
        <v>275</v>
      </c>
      <c r="B135" s="17" t="s">
        <v>392</v>
      </c>
      <c r="C135" s="17" t="s">
        <v>137</v>
      </c>
      <c r="D135" s="17">
        <v>2</v>
      </c>
      <c r="E135" s="19">
        <v>90</v>
      </c>
      <c r="F135" s="19">
        <f t="shared" si="14"/>
        <v>180</v>
      </c>
      <c r="G135" s="17"/>
    </row>
    <row r="136" ht="25" customHeight="1" spans="1:7">
      <c r="A136" s="11" t="s">
        <v>276</v>
      </c>
      <c r="B136" s="18" t="s">
        <v>330</v>
      </c>
      <c r="C136" s="17"/>
      <c r="D136" s="17"/>
      <c r="E136" s="19"/>
      <c r="F136" s="19"/>
      <c r="G136" s="17"/>
    </row>
    <row r="137" ht="25" customHeight="1" spans="1:7">
      <c r="A137" s="11" t="s">
        <v>277</v>
      </c>
      <c r="B137" s="17" t="s">
        <v>393</v>
      </c>
      <c r="C137" s="17" t="s">
        <v>383</v>
      </c>
      <c r="D137" s="17">
        <v>3</v>
      </c>
      <c r="E137" s="19">
        <v>77.41</v>
      </c>
      <c r="F137" s="19">
        <f t="shared" ref="F137:F142" si="15">E137*D137</f>
        <v>232.23</v>
      </c>
      <c r="G137" s="17"/>
    </row>
    <row r="138" ht="25" customHeight="1" spans="1:7">
      <c r="A138" s="11" t="s">
        <v>278</v>
      </c>
      <c r="B138" s="17" t="s">
        <v>384</v>
      </c>
      <c r="C138" s="17" t="s">
        <v>128</v>
      </c>
      <c r="D138" s="17">
        <v>8.7</v>
      </c>
      <c r="E138" s="19">
        <v>40.44</v>
      </c>
      <c r="F138" s="19">
        <f t="shared" si="15"/>
        <v>351.828</v>
      </c>
      <c r="G138" s="17"/>
    </row>
    <row r="139" ht="25" customHeight="1" spans="1:7">
      <c r="A139" s="11" t="s">
        <v>279</v>
      </c>
      <c r="B139" s="17" t="s">
        <v>386</v>
      </c>
      <c r="C139" s="17" t="s">
        <v>128</v>
      </c>
      <c r="D139" s="20">
        <v>10.86</v>
      </c>
      <c r="E139" s="19">
        <v>20.87</v>
      </c>
      <c r="F139" s="19">
        <f t="shared" si="15"/>
        <v>226.6482</v>
      </c>
      <c r="G139" s="17"/>
    </row>
    <row r="140" ht="25" customHeight="1" spans="1:7">
      <c r="A140" s="11" t="s">
        <v>280</v>
      </c>
      <c r="B140" s="17" t="s">
        <v>387</v>
      </c>
      <c r="C140" s="17" t="s">
        <v>128</v>
      </c>
      <c r="D140" s="20">
        <f>D139*2</f>
        <v>21.72</v>
      </c>
      <c r="E140" s="19">
        <v>3.7</v>
      </c>
      <c r="F140" s="19">
        <f t="shared" si="15"/>
        <v>80.364</v>
      </c>
      <c r="G140" s="17"/>
    </row>
    <row r="141" ht="25" customHeight="1" spans="1:7">
      <c r="A141" s="11" t="s">
        <v>281</v>
      </c>
      <c r="B141" s="17" t="s">
        <v>388</v>
      </c>
      <c r="C141" s="17" t="s">
        <v>128</v>
      </c>
      <c r="D141" s="17">
        <f>3.95*2</f>
        <v>7.9</v>
      </c>
      <c r="E141" s="19">
        <v>120</v>
      </c>
      <c r="F141" s="19">
        <f t="shared" si="15"/>
        <v>948</v>
      </c>
      <c r="G141" s="17"/>
    </row>
    <row r="142" ht="25" customHeight="1" spans="1:7">
      <c r="A142" s="11" t="s">
        <v>283</v>
      </c>
      <c r="B142" s="17" t="s">
        <v>392</v>
      </c>
      <c r="C142" s="17" t="s">
        <v>137</v>
      </c>
      <c r="D142" s="17">
        <v>2</v>
      </c>
      <c r="E142" s="19">
        <v>90</v>
      </c>
      <c r="F142" s="19">
        <f t="shared" si="15"/>
        <v>180</v>
      </c>
      <c r="G142" s="17"/>
    </row>
    <row r="143" ht="25" customHeight="1" spans="1:7">
      <c r="A143" s="11" t="s">
        <v>284</v>
      </c>
      <c r="B143" s="18" t="s">
        <v>338</v>
      </c>
      <c r="C143" s="17"/>
      <c r="D143" s="17"/>
      <c r="E143" s="19"/>
      <c r="F143" s="19"/>
      <c r="G143" s="17"/>
    </row>
    <row r="144" ht="25" customHeight="1" spans="1:7">
      <c r="A144" s="11" t="s">
        <v>285</v>
      </c>
      <c r="B144" s="17" t="s">
        <v>393</v>
      </c>
      <c r="C144" s="17" t="s">
        <v>383</v>
      </c>
      <c r="D144" s="17">
        <v>5</v>
      </c>
      <c r="E144" s="19">
        <v>77.41</v>
      </c>
      <c r="F144" s="19">
        <f t="shared" ref="F144:F149" si="16">E144*D144</f>
        <v>387.05</v>
      </c>
      <c r="G144" s="17"/>
    </row>
    <row r="145" ht="25" customHeight="1" spans="1:7">
      <c r="A145" s="11" t="s">
        <v>286</v>
      </c>
      <c r="B145" s="17" t="s">
        <v>384</v>
      </c>
      <c r="C145" s="17" t="s">
        <v>128</v>
      </c>
      <c r="D145" s="17">
        <f>D152</f>
        <v>10.2</v>
      </c>
      <c r="E145" s="19">
        <v>40.44</v>
      </c>
      <c r="F145" s="19">
        <f t="shared" si="16"/>
        <v>412.488</v>
      </c>
      <c r="G145" s="17"/>
    </row>
    <row r="146" ht="25" customHeight="1" spans="1:7">
      <c r="A146" s="11" t="s">
        <v>287</v>
      </c>
      <c r="B146" s="17" t="s">
        <v>386</v>
      </c>
      <c r="C146" s="17" t="s">
        <v>128</v>
      </c>
      <c r="D146" s="20">
        <v>17.03</v>
      </c>
      <c r="E146" s="19">
        <v>20.87</v>
      </c>
      <c r="F146" s="19">
        <f t="shared" si="16"/>
        <v>355.4161</v>
      </c>
      <c r="G146" s="17"/>
    </row>
    <row r="147" ht="25" customHeight="1" spans="1:7">
      <c r="A147" s="11" t="s">
        <v>288</v>
      </c>
      <c r="B147" s="17" t="s">
        <v>387</v>
      </c>
      <c r="C147" s="17" t="s">
        <v>128</v>
      </c>
      <c r="D147" s="20">
        <f>D146*2</f>
        <v>34.06</v>
      </c>
      <c r="E147" s="19">
        <v>3.7</v>
      </c>
      <c r="F147" s="19">
        <f t="shared" si="16"/>
        <v>126.022</v>
      </c>
      <c r="G147" s="17"/>
    </row>
    <row r="148" ht="25" customHeight="1" spans="1:7">
      <c r="A148" s="11" t="s">
        <v>289</v>
      </c>
      <c r="B148" s="17" t="s">
        <v>388</v>
      </c>
      <c r="C148" s="17" t="s">
        <v>128</v>
      </c>
      <c r="D148" s="17">
        <f>3.25*3</f>
        <v>9.75</v>
      </c>
      <c r="E148" s="19">
        <v>120</v>
      </c>
      <c r="F148" s="19">
        <f t="shared" si="16"/>
        <v>1170</v>
      </c>
      <c r="G148" s="17"/>
    </row>
    <row r="149" ht="25" customHeight="1" spans="1:7">
      <c r="A149" s="11" t="s">
        <v>290</v>
      </c>
      <c r="B149" s="17" t="s">
        <v>392</v>
      </c>
      <c r="C149" s="17" t="s">
        <v>137</v>
      </c>
      <c r="D149" s="17">
        <v>2</v>
      </c>
      <c r="E149" s="19">
        <v>90</v>
      </c>
      <c r="F149" s="19">
        <f t="shared" si="16"/>
        <v>180</v>
      </c>
      <c r="G149" s="17"/>
    </row>
    <row r="150" ht="25" customHeight="1" spans="1:7">
      <c r="A150" s="11" t="s">
        <v>292</v>
      </c>
      <c r="B150" s="18" t="s">
        <v>346</v>
      </c>
      <c r="C150" s="17"/>
      <c r="D150" s="17"/>
      <c r="E150" s="19"/>
      <c r="F150" s="19"/>
      <c r="G150" s="17"/>
    </row>
    <row r="151" ht="25" customHeight="1" spans="1:7">
      <c r="A151" s="11" t="s">
        <v>293</v>
      </c>
      <c r="B151" s="17" t="s">
        <v>393</v>
      </c>
      <c r="C151" s="17" t="s">
        <v>383</v>
      </c>
      <c r="D151" s="17">
        <v>5</v>
      </c>
      <c r="E151" s="19">
        <v>77.41</v>
      </c>
      <c r="F151" s="19">
        <f t="shared" ref="F151:F156" si="17">E151*D151</f>
        <v>387.05</v>
      </c>
      <c r="G151" s="17"/>
    </row>
    <row r="152" ht="25" customHeight="1" spans="1:7">
      <c r="A152" s="11" t="s">
        <v>295</v>
      </c>
      <c r="B152" s="17" t="s">
        <v>384</v>
      </c>
      <c r="C152" s="17" t="s">
        <v>128</v>
      </c>
      <c r="D152" s="17">
        <v>10.2</v>
      </c>
      <c r="E152" s="19">
        <v>40.44</v>
      </c>
      <c r="F152" s="19">
        <f t="shared" si="17"/>
        <v>412.488</v>
      </c>
      <c r="G152" s="17"/>
    </row>
    <row r="153" ht="25" customHeight="1" spans="1:7">
      <c r="A153" s="11" t="s">
        <v>296</v>
      </c>
      <c r="B153" s="17" t="s">
        <v>386</v>
      </c>
      <c r="C153" s="17" t="s">
        <v>128</v>
      </c>
      <c r="D153" s="20">
        <v>15.09</v>
      </c>
      <c r="E153" s="19">
        <v>20.87</v>
      </c>
      <c r="F153" s="19">
        <f t="shared" si="17"/>
        <v>314.9283</v>
      </c>
      <c r="G153" s="17"/>
    </row>
    <row r="154" ht="25" customHeight="1" spans="1:7">
      <c r="A154" s="11" t="s">
        <v>297</v>
      </c>
      <c r="B154" s="17" t="s">
        <v>387</v>
      </c>
      <c r="C154" s="17" t="s">
        <v>128</v>
      </c>
      <c r="D154" s="20">
        <f>D153*2</f>
        <v>30.18</v>
      </c>
      <c r="E154" s="19">
        <v>3.7</v>
      </c>
      <c r="F154" s="19">
        <f t="shared" si="17"/>
        <v>111.666</v>
      </c>
      <c r="G154" s="17"/>
    </row>
    <row r="155" ht="25" customHeight="1" spans="1:7">
      <c r="A155" s="11" t="s">
        <v>298</v>
      </c>
      <c r="B155" s="17" t="s">
        <v>388</v>
      </c>
      <c r="C155" s="17" t="s">
        <v>128</v>
      </c>
      <c r="D155" s="17">
        <f>3.5*2</f>
        <v>7</v>
      </c>
      <c r="E155" s="19">
        <v>120</v>
      </c>
      <c r="F155" s="19">
        <f t="shared" si="17"/>
        <v>840</v>
      </c>
      <c r="G155" s="17"/>
    </row>
    <row r="156" ht="25" customHeight="1" spans="1:7">
      <c r="A156" s="11" t="s">
        <v>299</v>
      </c>
      <c r="B156" s="17" t="s">
        <v>392</v>
      </c>
      <c r="C156" s="17" t="s">
        <v>137</v>
      </c>
      <c r="D156" s="17">
        <v>2</v>
      </c>
      <c r="E156" s="19">
        <v>90</v>
      </c>
      <c r="F156" s="19">
        <f t="shared" si="17"/>
        <v>180</v>
      </c>
      <c r="G156" s="17"/>
    </row>
    <row r="157" ht="25" customHeight="1" spans="1:7">
      <c r="A157" s="11" t="s">
        <v>353</v>
      </c>
      <c r="B157" s="17" t="s">
        <v>360</v>
      </c>
      <c r="C157" s="17"/>
      <c r="D157" s="17"/>
      <c r="E157" s="19"/>
      <c r="F157" s="19"/>
      <c r="G157" s="17"/>
    </row>
    <row r="158" ht="25" customHeight="1" spans="1:7">
      <c r="A158" s="11">
        <v>1</v>
      </c>
      <c r="B158" s="17" t="s">
        <v>386</v>
      </c>
      <c r="C158" s="17" t="s">
        <v>128</v>
      </c>
      <c r="D158" s="17">
        <v>100</v>
      </c>
      <c r="E158" s="19">
        <v>20.87</v>
      </c>
      <c r="F158" s="19">
        <f t="shared" ref="F158:F164" si="18">E158*D158</f>
        <v>2087</v>
      </c>
      <c r="G158" s="17"/>
    </row>
    <row r="159" ht="25" customHeight="1" spans="1:7">
      <c r="A159" s="11">
        <v>2</v>
      </c>
      <c r="B159" s="17" t="s">
        <v>394</v>
      </c>
      <c r="C159" s="17" t="s">
        <v>128</v>
      </c>
      <c r="D159" s="17">
        <v>350</v>
      </c>
      <c r="E159" s="19">
        <v>3.7</v>
      </c>
      <c r="F159" s="19">
        <f t="shared" si="18"/>
        <v>1295</v>
      </c>
      <c r="G159" s="17"/>
    </row>
    <row r="160" ht="25" customHeight="1" spans="1:7">
      <c r="A160" s="11">
        <v>3</v>
      </c>
      <c r="B160" s="17" t="s">
        <v>395</v>
      </c>
      <c r="C160" s="17" t="s">
        <v>128</v>
      </c>
      <c r="D160" s="17">
        <v>160</v>
      </c>
      <c r="E160" s="19">
        <v>4.74</v>
      </c>
      <c r="F160" s="19">
        <f t="shared" si="18"/>
        <v>758.4</v>
      </c>
      <c r="G160" s="17"/>
    </row>
    <row r="161" ht="25" customHeight="1" spans="1:7">
      <c r="A161" s="11">
        <v>4</v>
      </c>
      <c r="B161" s="17" t="s">
        <v>396</v>
      </c>
      <c r="C161" s="17" t="s">
        <v>383</v>
      </c>
      <c r="D161" s="17">
        <v>6</v>
      </c>
      <c r="E161" s="19">
        <v>34.66</v>
      </c>
      <c r="F161" s="19">
        <f t="shared" si="18"/>
        <v>207.96</v>
      </c>
      <c r="G161" s="17"/>
    </row>
    <row r="162" ht="25" customHeight="1" spans="1:7">
      <c r="A162" s="11">
        <v>5</v>
      </c>
      <c r="B162" s="17" t="s">
        <v>397</v>
      </c>
      <c r="C162" s="17" t="s">
        <v>383</v>
      </c>
      <c r="D162" s="17">
        <v>15</v>
      </c>
      <c r="E162" s="19">
        <v>28.89</v>
      </c>
      <c r="F162" s="19">
        <f t="shared" si="18"/>
        <v>433.35</v>
      </c>
      <c r="G162" s="17"/>
    </row>
    <row r="163" ht="25" customHeight="1" spans="1:7">
      <c r="A163" s="11">
        <v>6</v>
      </c>
      <c r="B163" s="17" t="s">
        <v>398</v>
      </c>
      <c r="C163" s="17" t="s">
        <v>383</v>
      </c>
      <c r="D163" s="17">
        <v>1</v>
      </c>
      <c r="E163" s="19">
        <v>400</v>
      </c>
      <c r="F163" s="19">
        <f t="shared" si="18"/>
        <v>400</v>
      </c>
      <c r="G163" s="17"/>
    </row>
    <row r="164" ht="25" customHeight="1" spans="1:7">
      <c r="A164" s="11">
        <v>7</v>
      </c>
      <c r="B164" s="17" t="s">
        <v>399</v>
      </c>
      <c r="C164" s="17" t="s">
        <v>137</v>
      </c>
      <c r="D164" s="17">
        <v>1</v>
      </c>
      <c r="E164" s="21">
        <v>580</v>
      </c>
      <c r="F164" s="19">
        <f t="shared" si="18"/>
        <v>580</v>
      </c>
      <c r="G164" s="17"/>
    </row>
    <row r="165" ht="25" customHeight="1" spans="1:7">
      <c r="A165" s="11" t="s">
        <v>359</v>
      </c>
      <c r="B165" s="11" t="s">
        <v>96</v>
      </c>
      <c r="C165" s="11"/>
      <c r="D165" s="17"/>
      <c r="E165" s="19"/>
      <c r="F165" s="19">
        <f>SUM(F5:F164)</f>
        <v>67588.4912</v>
      </c>
      <c r="G165" s="17"/>
    </row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</sheetData>
  <mergeCells count="3">
    <mergeCell ref="A1:G1"/>
    <mergeCell ref="B3:D3"/>
    <mergeCell ref="B165:C16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5" workbookViewId="0">
      <selection activeCell="D24" sqref="D24"/>
    </sheetView>
  </sheetViews>
  <sheetFormatPr defaultColWidth="8.89166666666667" defaultRowHeight="13.5" outlineLevelCol="4"/>
  <cols>
    <col min="1" max="1" width="6.66666666666667" customWidth="1"/>
    <col min="2" max="2" width="14.3333333333333" customWidth="1"/>
    <col min="3" max="3" width="77" customWidth="1"/>
    <col min="4" max="4" width="11.5583333333333" customWidth="1"/>
    <col min="5" max="5" width="10.4416666666667" customWidth="1"/>
  </cols>
  <sheetData>
    <row r="1" ht="25" customHeight="1" spans="1:5">
      <c r="A1" s="1" t="s">
        <v>400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401</v>
      </c>
      <c r="D2" s="4" t="s">
        <v>402</v>
      </c>
      <c r="E2" s="4" t="s">
        <v>96</v>
      </c>
    </row>
    <row r="3" ht="25" customHeight="1" spans="1:5">
      <c r="A3" s="2" t="s">
        <v>107</v>
      </c>
      <c r="B3" s="2" t="s">
        <v>108</v>
      </c>
      <c r="C3" s="2" t="s">
        <v>403</v>
      </c>
      <c r="D3" s="4">
        <f ca="1">EVALUATE(C3)</f>
        <v>22.6</v>
      </c>
      <c r="E3" s="5">
        <f ca="1">D3+D5</f>
        <v>49.12</v>
      </c>
    </row>
    <row r="4" ht="25" customHeight="1" spans="1:5">
      <c r="A4" s="2" t="s">
        <v>109</v>
      </c>
      <c r="B4" s="2" t="s">
        <v>140</v>
      </c>
      <c r="C4" s="2" t="s">
        <v>404</v>
      </c>
      <c r="D4" s="4">
        <f ca="1">EVALUATE(C4)</f>
        <v>26</v>
      </c>
      <c r="E4" s="5"/>
    </row>
    <row r="5" ht="25" customHeight="1" spans="1:5">
      <c r="A5" s="2" t="s">
        <v>113</v>
      </c>
      <c r="B5" s="2" t="s">
        <v>154</v>
      </c>
      <c r="C5" s="2" t="s">
        <v>405</v>
      </c>
      <c r="D5" s="4">
        <f ca="1">EVALUATE(C5)</f>
        <v>26.52</v>
      </c>
      <c r="E5" s="5"/>
    </row>
    <row r="6" ht="25" customHeight="1" spans="1:5">
      <c r="A6" s="2" t="s">
        <v>115</v>
      </c>
      <c r="B6" s="2" t="s">
        <v>165</v>
      </c>
      <c r="C6" s="2" t="s">
        <v>406</v>
      </c>
      <c r="D6" s="4">
        <f ca="1" t="shared" ref="D5:D25" si="0">EVALUATE(C6)</f>
        <v>25.95</v>
      </c>
      <c r="E6" s="5">
        <f ca="1">D6+D7</f>
        <v>58.5</v>
      </c>
    </row>
    <row r="7" ht="25" customHeight="1" spans="1:5">
      <c r="A7" s="2" t="s">
        <v>117</v>
      </c>
      <c r="B7" s="2" t="s">
        <v>183</v>
      </c>
      <c r="C7" s="2" t="s">
        <v>407</v>
      </c>
      <c r="D7" s="4">
        <f ca="1" t="shared" si="0"/>
        <v>32.55</v>
      </c>
      <c r="E7" s="5"/>
    </row>
    <row r="8" ht="25" customHeight="1" spans="1:5">
      <c r="A8" s="2" t="s">
        <v>120</v>
      </c>
      <c r="B8" s="2" t="s">
        <v>210</v>
      </c>
      <c r="C8" s="2" t="s">
        <v>408</v>
      </c>
      <c r="D8" s="4">
        <f ca="1" t="shared" si="0"/>
        <v>30.34</v>
      </c>
      <c r="E8" s="5">
        <f ca="1">D8+D9</f>
        <v>48.12</v>
      </c>
    </row>
    <row r="9" ht="25" customHeight="1" spans="1:5">
      <c r="A9" s="2" t="s">
        <v>122</v>
      </c>
      <c r="B9" s="2" t="s">
        <v>201</v>
      </c>
      <c r="C9" s="2" t="s">
        <v>409</v>
      </c>
      <c r="D9" s="4">
        <f ca="1" t="shared" si="0"/>
        <v>17.78</v>
      </c>
      <c r="E9" s="5"/>
    </row>
    <row r="10" ht="25" customHeight="1" spans="1:5">
      <c r="A10" s="2" t="s">
        <v>124</v>
      </c>
      <c r="B10" s="2" t="s">
        <v>227</v>
      </c>
      <c r="C10" s="2" t="s">
        <v>410</v>
      </c>
      <c r="D10" s="4">
        <f ca="1" t="shared" si="0"/>
        <v>11.66</v>
      </c>
      <c r="E10" s="5">
        <f ca="1" t="shared" ref="E10:E14" si="1">D10+D11</f>
        <v>23.21</v>
      </c>
    </row>
    <row r="11" ht="25" customHeight="1" spans="1:5">
      <c r="A11" s="2" t="s">
        <v>126</v>
      </c>
      <c r="B11" s="2" t="s">
        <v>218</v>
      </c>
      <c r="C11" s="2" t="s">
        <v>411</v>
      </c>
      <c r="D11" s="4">
        <f ca="1" t="shared" si="0"/>
        <v>11.55</v>
      </c>
      <c r="E11" s="5"/>
    </row>
    <row r="12" ht="25" customHeight="1" spans="1:5">
      <c r="A12" s="2" t="s">
        <v>129</v>
      </c>
      <c r="B12" s="2" t="s">
        <v>244</v>
      </c>
      <c r="C12" s="6" t="s">
        <v>412</v>
      </c>
      <c r="D12" s="4">
        <f ca="1" t="shared" si="0"/>
        <v>15.56</v>
      </c>
      <c r="E12" s="5">
        <f ca="1" t="shared" si="1"/>
        <v>31.25</v>
      </c>
    </row>
    <row r="13" ht="25" customHeight="1" spans="1:5">
      <c r="A13" s="2" t="s">
        <v>131</v>
      </c>
      <c r="B13" s="2" t="s">
        <v>236</v>
      </c>
      <c r="C13" s="6" t="s">
        <v>413</v>
      </c>
      <c r="D13" s="4">
        <f ca="1" t="shared" si="0"/>
        <v>15.69</v>
      </c>
      <c r="E13" s="5"/>
    </row>
    <row r="14" ht="25" customHeight="1" spans="1:5">
      <c r="A14" s="2" t="s">
        <v>133</v>
      </c>
      <c r="B14" s="2" t="s">
        <v>261</v>
      </c>
      <c r="C14" s="6" t="s">
        <v>414</v>
      </c>
      <c r="D14" s="4">
        <f ca="1" t="shared" si="0"/>
        <v>11.2</v>
      </c>
      <c r="E14" s="5">
        <f ca="1" t="shared" si="1"/>
        <v>22.4</v>
      </c>
    </row>
    <row r="15" ht="25" customHeight="1" spans="1:5">
      <c r="A15" s="2" t="s">
        <v>135</v>
      </c>
      <c r="B15" s="2" t="s">
        <v>252</v>
      </c>
      <c r="C15" s="6" t="s">
        <v>414</v>
      </c>
      <c r="D15" s="4">
        <f ca="1" t="shared" si="0"/>
        <v>11.2</v>
      </c>
      <c r="E15" s="5"/>
    </row>
    <row r="16" ht="25" customHeight="1" spans="1:5">
      <c r="A16" s="2" t="s">
        <v>391</v>
      </c>
      <c r="B16" s="2" t="s">
        <v>282</v>
      </c>
      <c r="C16" s="6" t="s">
        <v>415</v>
      </c>
      <c r="D16" s="4">
        <f ca="1" t="shared" si="0"/>
        <v>29.74</v>
      </c>
      <c r="E16" s="5">
        <f ca="1">D16+D17</f>
        <v>54.86</v>
      </c>
    </row>
    <row r="17" ht="25" customHeight="1" spans="1:5">
      <c r="A17" s="2" t="s">
        <v>138</v>
      </c>
      <c r="B17" s="2" t="s">
        <v>270</v>
      </c>
      <c r="C17" s="6" t="s">
        <v>416</v>
      </c>
      <c r="D17" s="4">
        <f ca="1" t="shared" si="0"/>
        <v>25.12</v>
      </c>
      <c r="E17" s="5"/>
    </row>
    <row r="18" ht="25" customHeight="1" spans="1:5">
      <c r="A18" s="2" t="s">
        <v>139</v>
      </c>
      <c r="B18" s="2" t="s">
        <v>313</v>
      </c>
      <c r="C18" s="6" t="s">
        <v>417</v>
      </c>
      <c r="D18" s="4">
        <f ca="1" t="shared" si="0"/>
        <v>19.73</v>
      </c>
      <c r="E18" s="5">
        <f ca="1">D18+D20</f>
        <v>38.48</v>
      </c>
    </row>
    <row r="19" ht="25" customHeight="1" spans="1:5">
      <c r="A19" s="2"/>
      <c r="B19" s="2" t="s">
        <v>304</v>
      </c>
      <c r="C19" s="6" t="s">
        <v>418</v>
      </c>
      <c r="D19" s="4">
        <f ca="1" t="shared" si="0"/>
        <v>21.52</v>
      </c>
      <c r="E19" s="5"/>
    </row>
    <row r="20" ht="25" customHeight="1" spans="1:5">
      <c r="A20" s="2" t="s">
        <v>141</v>
      </c>
      <c r="B20" s="2" t="s">
        <v>294</v>
      </c>
      <c r="C20" s="6" t="s">
        <v>419</v>
      </c>
      <c r="D20" s="4">
        <f ca="1" t="shared" si="0"/>
        <v>18.75</v>
      </c>
      <c r="E20" s="5"/>
    </row>
    <row r="21" ht="32" customHeight="1" spans="1:5">
      <c r="A21" s="2" t="s">
        <v>145</v>
      </c>
      <c r="B21" s="2" t="s">
        <v>330</v>
      </c>
      <c r="C21" s="6" t="s">
        <v>420</v>
      </c>
      <c r="D21" s="4">
        <f ca="1" t="shared" si="0"/>
        <v>10.86</v>
      </c>
      <c r="E21" s="5">
        <f ca="1">D21+D22</f>
        <v>21.63</v>
      </c>
    </row>
    <row r="22" ht="32" customHeight="1" spans="1:5">
      <c r="A22" s="2" t="s">
        <v>146</v>
      </c>
      <c r="B22" s="2" t="s">
        <v>322</v>
      </c>
      <c r="C22" s="6" t="s">
        <v>421</v>
      </c>
      <c r="D22" s="4">
        <f ca="1" t="shared" si="0"/>
        <v>10.77</v>
      </c>
      <c r="E22" s="5"/>
    </row>
    <row r="23" ht="32" customHeight="1" spans="1:5">
      <c r="A23" s="2" t="s">
        <v>147</v>
      </c>
      <c r="B23" s="2" t="s">
        <v>346</v>
      </c>
      <c r="C23" s="6" t="s">
        <v>422</v>
      </c>
      <c r="D23" s="4">
        <f ca="1" t="shared" si="0"/>
        <v>15.09</v>
      </c>
      <c r="E23" s="5">
        <f ca="1">D23+D24</f>
        <v>32.12</v>
      </c>
    </row>
    <row r="24" ht="32" customHeight="1" spans="1:5">
      <c r="A24" s="2" t="s">
        <v>148</v>
      </c>
      <c r="B24" s="2" t="s">
        <v>338</v>
      </c>
      <c r="C24" s="6" t="s">
        <v>423</v>
      </c>
      <c r="D24" s="4">
        <f ca="1" t="shared" si="0"/>
        <v>17.03</v>
      </c>
      <c r="E24" s="5"/>
    </row>
  </sheetData>
  <mergeCells count="11">
    <mergeCell ref="A1:E1"/>
    <mergeCell ref="E3:E5"/>
    <mergeCell ref="E6:E7"/>
    <mergeCell ref="E8:E9"/>
    <mergeCell ref="E10:E11"/>
    <mergeCell ref="E12:E13"/>
    <mergeCell ref="E14:E15"/>
    <mergeCell ref="E16:E17"/>
    <mergeCell ref="E18:E20"/>
    <mergeCell ref="E21:E22"/>
    <mergeCell ref="E23:E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结算目录</vt:lpstr>
      <vt:lpstr>结算汇总表</vt:lpstr>
      <vt:lpstr>结算明细表</vt:lpstr>
      <vt:lpstr>土建</vt:lpstr>
      <vt:lpstr>安装</vt:lpstr>
      <vt:lpstr>配管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dcterms:created xsi:type="dcterms:W3CDTF">2018-10-23T09:51:00Z</dcterms:created>
  <dcterms:modified xsi:type="dcterms:W3CDTF">2025-05-20T01:28:38Z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D703E8085E3649488AC6986DB2CECAD8_13</vt:lpwstr>
  </property>
</Properties>
</file>