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结算目录" sheetId="9" r:id="rId1"/>
    <sheet name="结算汇总表" sheetId="10" r:id="rId2"/>
    <sheet name="结算明细表" sheetId="1" r:id="rId3"/>
    <sheet name="栏杆明细计算书" sheetId="5" r:id="rId4"/>
    <sheet name="栏杆综合单价分析表 " sheetId="8" r:id="rId5"/>
    <sheet name="百叶综合单价分析表" sheetId="7" r:id="rId6"/>
    <sheet name="百叶明细计算书" sheetId="6" r:id="rId7"/>
  </sheets>
  <definedNames>
    <definedName name="_xlnm._FilterDatabase" localSheetId="3" hidden="1">栏杆明细计算书!$A$2:$I$80</definedName>
    <definedName name="_xlnm._FilterDatabase" localSheetId="4" hidden="1">'栏杆综合单价分析表 '!$A$3:$J$239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<sst xmlns="http://schemas.openxmlformats.org/spreadsheetml/2006/main" count="1494" uniqueCount="298">
  <si>
    <t>洛宁山水文苑项目1#2#9#10#楼栏杆百叶制作及安装工程合同结算资料存档目录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</si>
  <si>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</si>
  <si>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</si>
  <si>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</si>
  <si>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</si>
  <si>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</si>
  <si>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</si>
  <si>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洛宁山水文苑项目1#2#9#10#楼栏杆百叶制作及安装工程合同结算审批表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</si>
  <si>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</si>
  <si>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</si>
  <si>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</si>
  <si>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</si>
  <si>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</si>
  <si>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</si>
  <si>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</si>
  <si>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</si>
  <si>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</si>
  <si>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</si>
  <si>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</si>
  <si>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第5-6页</t>
  </si>
  <si>
    <t>结算申请单</t>
  </si>
  <si>
    <t>第7页</t>
  </si>
  <si>
    <t>结算通知书</t>
  </si>
  <si>
    <t>第8页</t>
  </si>
  <si>
    <t>授权委托书</t>
  </si>
  <si>
    <t>第9页</t>
  </si>
  <si>
    <t>工程往来账目明细</t>
  </si>
  <si>
    <t>第10页</t>
  </si>
  <si>
    <t>工程结算资料核对确认表</t>
  </si>
  <si>
    <t>第11页</t>
  </si>
  <si>
    <t>水电费结清证明那</t>
  </si>
  <si>
    <t>第12页</t>
  </si>
  <si>
    <t>验收单</t>
  </si>
  <si>
    <t>1份4页</t>
  </si>
  <si>
    <t>第13页</t>
  </si>
  <si>
    <t>工程结算工作交接单</t>
  </si>
  <si>
    <t>第14-15页</t>
  </si>
  <si>
    <t>工程派发单及确认单</t>
  </si>
  <si>
    <t>1份5页</t>
  </si>
  <si>
    <t>第16-20页</t>
  </si>
  <si>
    <t>合同审批及竣工图</t>
  </si>
  <si>
    <t>若干</t>
  </si>
  <si>
    <t>造价师：</t>
  </si>
  <si>
    <t>日期：</t>
  </si>
  <si>
    <t>洛宁山水文苑项目1#2#9#10#楼栏杆百叶制作及安装工程合同结算汇总表</t>
  </si>
  <si>
    <t xml:space="preserve">合同编号：LNSSWY-JA-048                                合同金额：580000元 </t>
  </si>
  <si>
    <t>合同名称：洛宁山水文苑项目1#2#9#10#楼栏杆百叶制作及安装工程合同</t>
  </si>
  <si>
    <t>甲    方：洛阳好的浩康置业有限公司</t>
  </si>
  <si>
    <t>乙    方：河南省邦丰装饰工程有限公司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</si>
  <si>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</si>
  <si>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</si>
  <si>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</si>
  <si>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</si>
  <si>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</si>
  <si>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</si>
  <si>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</si>
  <si>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</si>
  <si>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</si>
  <si>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</si>
  <si>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</si>
  <si>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</si>
  <si>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</si>
  <si>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</si>
  <si>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</si>
  <si>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</si>
  <si>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</si>
  <si>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</si>
  <si>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</si>
  <si>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</si>
  <si>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</si>
  <si>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</si>
  <si>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</si>
  <si>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</si>
  <si>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</si>
  <si>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</si>
  <si>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</si>
  <si>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</si>
  <si>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</si>
  <si>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</si>
  <si>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</si>
  <si>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</si>
  <si>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</si>
  <si>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</si>
  <si>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洛宁山水文苑项目1#、2#、9#、10#楼栏杆、百叶工程结算明细表</t>
  </si>
  <si>
    <t>单位</t>
  </si>
  <si>
    <t>工程量</t>
  </si>
  <si>
    <t>不含税综合单价（元）</t>
  </si>
  <si>
    <t>增值税率</t>
  </si>
  <si>
    <t>含税综合单价</t>
  </si>
  <si>
    <t>含税造价（元）</t>
  </si>
  <si>
    <t>合同内</t>
  </si>
  <si>
    <t>屋顶栏杆1500mm高，总长度＞4m</t>
  </si>
  <si>
    <t>m</t>
  </si>
  <si>
    <t>面管、立柱、扶手40*40*1.7镀锌方钢、横管32*32*1.0镀锌方钢管、竖杆19*19*0.8镀锌方钢管，含埋件、盖板等配件（成活价格，详见图纸设计）</t>
  </si>
  <si>
    <t>屋顶栏杆1500mm高，总长度≤4m</t>
  </si>
  <si>
    <t>面管、立柱、扶手40*40*1.2镀锌方钢、横管32*32*1.0镀锌方钢管、竖杆19*19*0.8镀锌方钢管，含埋件、盖板等配件（成活价格，详见图纸设计）</t>
  </si>
  <si>
    <t>屋顶栏杆1100mm高，总长度≤4m</t>
  </si>
  <si>
    <t>参照阳台栏杆1100mm高价格</t>
  </si>
  <si>
    <t>阳台栏杆1100mm高，总长度＞4m</t>
  </si>
  <si>
    <t>面管、立柱、扶手40*40*1.5镀锌方钢、横管32*32*1.0镀锌方钢管、竖杆19*19*0.8镀锌方钢管，含埋件、盖板等配件（成活价格，详见图纸设计）</t>
  </si>
  <si>
    <t>阳台栏杆800mm高，总长度＞4m</t>
  </si>
  <si>
    <t>参照阳台栏杆1100mm高，材料费按比例叩见</t>
  </si>
  <si>
    <t>阳台栏杆1100mm高，总长度≤4m</t>
  </si>
  <si>
    <t>阳台栏杆800mm高，总长度≤4m</t>
  </si>
  <si>
    <t>按阳台栏杆1100mm高，总长度≤4m折算</t>
  </si>
  <si>
    <t>阳台预留洞栏杆1100mm高</t>
  </si>
  <si>
    <t>横管25*25*1.0镀锌方钢管、竖杆16*16*0.8镀锌方钢管，含埋件、盖板等配件（成活价格，详见图纸设计）</t>
  </si>
  <si>
    <t>飘窗栏杆900mm高</t>
  </si>
  <si>
    <t>横杆25*25*1.0镀锌方钢管、竖杆16*16*0.8镀锌方钢管，含埋件、盖板等配件（成活价格，详见图纸设计）</t>
  </si>
  <si>
    <t>空调栏杆600mm高</t>
  </si>
  <si>
    <t>面管25*25*1.0镀锌方钢管、立柱25*25*1.0镀锌方钢管、横管25*25*1.0镀锌方钢管、竖杆16*16*0.8镀锌方钢管，含埋件、盖板等配件（成活价格，详见图纸设计）</t>
  </si>
  <si>
    <t>楼梯栏杆</t>
  </si>
  <si>
    <t>成品塑木扶手，立柱40*40*1.5镀锌方钢管、横杆30*30*1.0镀锌方钢管、竖杆19*19*0.8镀锌方钢管，含埋件、盖板等配件（成活价格，详见图纸设计）</t>
  </si>
  <si>
    <t>屋面电梯机房楼梯栏杆</t>
  </si>
  <si>
    <t>立柱40*40*1.5镀锌方钢管、横杆30*30*1.0镀锌方钢管、竖杆19*19*0.8镀锌方钢管，含埋件、盖板等配件（成活价格，详见图纸设计）</t>
  </si>
  <si>
    <t>靠墙扶手</t>
  </si>
  <si>
    <t>Ø50塑木扶手圆管扶手、Ø25*1.0圆管，含埋件、盖板等配件（成活价格，详见图纸设计）</t>
  </si>
  <si>
    <t>前室防护栏杆1100mm高</t>
  </si>
  <si>
    <t>防雨百叶</t>
  </si>
  <si>
    <t>m2</t>
  </si>
  <si>
    <t>铝管38*25*1.0铝合金固定框、铝管38*25*1.0开启扇框、30*15*1.0H型铝型材链接、70*0.8厚铝合金百叶，含成品不锈钢插销、合页、埋件等配件（成活价格，详见图纸设计）</t>
  </si>
  <si>
    <t>合同内小计（元）</t>
  </si>
  <si>
    <t>派发单增加</t>
  </si>
  <si>
    <t>百叶窗</t>
  </si>
  <si>
    <t>车库栏杆</t>
  </si>
  <si>
    <t>垃圾分摊</t>
  </si>
  <si>
    <t>合计</t>
  </si>
  <si>
    <t>最终结算</t>
  </si>
  <si>
    <t>栏杆明细计算书</t>
  </si>
  <si>
    <t>楼栋号</t>
  </si>
  <si>
    <t>型号</t>
  </si>
  <si>
    <t>长度（m）</t>
  </si>
  <si>
    <t>个数</t>
  </si>
  <si>
    <t>层数</t>
  </si>
  <si>
    <t>总长度（m）</t>
  </si>
  <si>
    <t>1#楼</t>
  </si>
  <si>
    <t>D-YTLG01</t>
  </si>
  <si>
    <t>腰线层</t>
  </si>
  <si>
    <t>D-YTLG02</t>
  </si>
  <si>
    <t>腰线层两端户北阳台</t>
  </si>
  <si>
    <t>D-YTLG03</t>
  </si>
  <si>
    <t>取消了</t>
  </si>
  <si>
    <t>D-TCLG01</t>
  </si>
  <si>
    <t>D-TCLG02</t>
  </si>
  <si>
    <t>D-ACLG01</t>
  </si>
  <si>
    <t>D-ACLG02</t>
  </si>
  <si>
    <t>成品塑木扶手钢管栏杆</t>
  </si>
  <si>
    <t>Ø50塑木扶手</t>
  </si>
  <si>
    <r>
      <rPr>
        <sz val="11"/>
        <color theme="1"/>
        <rFont val="SimSun"/>
        <charset val="134"/>
      </rPr>
      <t>D-WLG01</t>
    </r>
  </si>
  <si>
    <t>D-WLG02</t>
  </si>
  <si>
    <t>D-WLG03</t>
  </si>
  <si>
    <t>屋面电梯机房楼梯栏杆（1.2高)</t>
  </si>
  <si>
    <t>D-WLTLG01</t>
  </si>
  <si>
    <t>2#楼</t>
  </si>
  <si>
    <t>F-YTLG01</t>
  </si>
  <si>
    <t xml:space="preserve">此部分为腰线层，样板间202未施工 </t>
  </si>
  <si>
    <t>F-YTLG02</t>
  </si>
  <si>
    <t>取消</t>
  </si>
  <si>
    <t>F-TCLG01</t>
  </si>
  <si>
    <t>F-TCLG02</t>
  </si>
  <si>
    <t>202样板间未施工</t>
  </si>
  <si>
    <t>·</t>
  </si>
  <si>
    <t>F-ACLG01</t>
  </si>
  <si>
    <t>9#楼</t>
  </si>
  <si>
    <t>10#楼</t>
  </si>
  <si>
    <t>A-YTLG01</t>
  </si>
  <si>
    <t>A-YTLG02</t>
  </si>
  <si>
    <t>A-YTLG03</t>
  </si>
  <si>
    <t>A-YTLG04</t>
  </si>
  <si>
    <t>B-YTLG01</t>
  </si>
  <si>
    <t>B-YTLG02</t>
  </si>
  <si>
    <t>B-YTLG03</t>
  </si>
  <si>
    <t>B-YTLG04</t>
  </si>
  <si>
    <t>B-YTLG05</t>
  </si>
  <si>
    <t>B-YTLG06</t>
  </si>
  <si>
    <t>C-YTLG01</t>
  </si>
  <si>
    <t>C-YTLG02</t>
  </si>
  <si>
    <t>C-YTLG03</t>
  </si>
  <si>
    <t>C-YTLG04</t>
  </si>
  <si>
    <t>C-YTLG05</t>
  </si>
  <si>
    <t>前室LG01</t>
  </si>
  <si>
    <t>B-ACLG01</t>
  </si>
  <si>
    <t>C-ACLG01</t>
  </si>
  <si>
    <t>A-TCLG01</t>
  </si>
  <si>
    <t>C-TCLG01</t>
  </si>
  <si>
    <t>屋面-LG01</t>
  </si>
  <si>
    <t>屋面-LG02</t>
  </si>
  <si>
    <t>屋面-LG03</t>
  </si>
  <si>
    <t>WLTLG01</t>
  </si>
  <si>
    <t>小计</t>
  </si>
  <si>
    <t>屋顶栏杆1500mm高(总长度＞4m)栏杆综合单价分析表</t>
  </si>
  <si>
    <t>栏杆类型</t>
  </si>
  <si>
    <t>税前综合单价组成</t>
  </si>
  <si>
    <t>组成名称</t>
  </si>
  <si>
    <t>每米消耗量</t>
  </si>
  <si>
    <t>不含税单价</t>
  </si>
  <si>
    <t>每米合价</t>
  </si>
  <si>
    <t>屋顶栏杆1500mm高(总长度＞4m)</t>
  </si>
  <si>
    <t>劳务费（一）</t>
  </si>
  <si>
    <t>加工制作费</t>
  </si>
  <si>
    <t>劳务费（二）</t>
  </si>
  <si>
    <t>现场安装费</t>
  </si>
  <si>
    <t>运输、保护费（三）</t>
  </si>
  <si>
    <t>运输、成品保护费</t>
  </si>
  <si>
    <t>主材费（四）</t>
  </si>
  <si>
    <t>□40*40*1.7镀锌方钢管</t>
  </si>
  <si>
    <t>kg</t>
  </si>
  <si>
    <t>型号根据设计完善</t>
  </si>
  <si>
    <t>□32*32*1.0镀锌方钢管</t>
  </si>
  <si>
    <t>□19*19*0.8镀锌方钢管</t>
  </si>
  <si>
    <t>静电喷涂（颜色以选样为准）</t>
  </si>
  <si>
    <t>辅材费（五）</t>
  </si>
  <si>
    <t>膨胀螺栓</t>
  </si>
  <si>
    <t>套</t>
  </si>
  <si>
    <t>3厚热镀锌钢板膨胀螺栓固定</t>
  </si>
  <si>
    <t>个</t>
  </si>
  <si>
    <t>连接件</t>
  </si>
  <si>
    <t>装饰盖</t>
  </si>
  <si>
    <t>其他辅材</t>
  </si>
  <si>
    <t>包含成品保护（蓝色保护塑料膜全包）等，单价优惠</t>
  </si>
  <si>
    <t>综合费（六）</t>
  </si>
  <si>
    <t>六=（一+二+三+四+五）*9%</t>
  </si>
  <si>
    <t>税前综合单价</t>
  </si>
  <si>
    <t>七=一+二+三+四+五+六</t>
  </si>
  <si>
    <t>其中</t>
  </si>
  <si>
    <t>材料单价=四+五</t>
  </si>
  <si>
    <t>安装单价=一+二+三+六</t>
  </si>
  <si>
    <t>备注：施工单位可依据实际发生，在此表格基础上增减项，但格式须与此表格保持一致。</t>
  </si>
  <si>
    <t>屋顶栏杆1500mm高(总长度≤4m)栏杆综合单价分析表</t>
  </si>
  <si>
    <t>屋顶栏杆1500mm高(总长度≤4m)</t>
  </si>
  <si>
    <t>□40*40*1.2镀锌方钢管</t>
  </si>
  <si>
    <t>阳台栏杆1100mm高（总长度＞4m）栏杆综合单价分析表</t>
  </si>
  <si>
    <t>阳台栏杆1100mm高（总长度＞4m）</t>
  </si>
  <si>
    <t>□40*40*1.5镀锌方钢管</t>
  </si>
  <si>
    <t>阳台栏杆1100mm高（总长度≤4m）栏杆综合单价分析表</t>
  </si>
  <si>
    <t>阳台栏杆1100mm高（总长度≤4m）</t>
  </si>
  <si>
    <t>阳台预留洞栏杆1100mm高栏杆综合单价分析表</t>
  </si>
  <si>
    <t>□25*25*1.0镀锌方钢管</t>
  </si>
  <si>
    <t>□16*16*0.8镀锌方钢管</t>
  </si>
  <si>
    <t>飘窗栏杆900mm高栏杆综合单价分析表</t>
  </si>
  <si>
    <t>空调栏杆600mm高栏杆综合单价分析表</t>
  </si>
  <si>
    <t>楼梯栏杆综合单价分析表</t>
  </si>
  <si>
    <t>成品塑木扶手</t>
  </si>
  <si>
    <t>含安装费</t>
  </si>
  <si>
    <t>□30*30*1.0镀锌方钢管</t>
  </si>
  <si>
    <t>扁铁L4*4*2.75</t>
  </si>
  <si>
    <t>成品法兰盘装饰盖板</t>
  </si>
  <si>
    <t>屋面电梯机房楼梯栏杆综合单价分析表</t>
  </si>
  <si>
    <t>含面管40*40*1.5</t>
  </si>
  <si>
    <t>靠墙扶手综合单价分析表</t>
  </si>
  <si>
    <t>Ø25*1.0圆管</t>
  </si>
  <si>
    <t>包含成品保护（蓝色保护塑料膜全包）、不锈钢堵头等，单价优惠</t>
  </si>
  <si>
    <t>前室防护栏杆1100mm高栏杆综合单价分析表</t>
  </si>
  <si>
    <t>铝合金百叶全费用单价分析表</t>
  </si>
  <si>
    <t>百叶窗编号</t>
  </si>
  <si>
    <t>洞口尺寸（宽度*高度）</t>
  </si>
  <si>
    <t>百叶窗净尺寸mm</t>
  </si>
  <si>
    <t>单樘(净尺寸)面积（m2）</t>
  </si>
  <si>
    <t>包含项目</t>
  </si>
  <si>
    <t>材料名称</t>
  </si>
  <si>
    <t>每平方米消耗量</t>
  </si>
  <si>
    <t>单价（元）</t>
  </si>
  <si>
    <t>元</t>
  </si>
  <si>
    <t>外框面积</t>
  </si>
  <si>
    <t>型材</t>
  </si>
  <si>
    <t>38*25*1.0铝管（粉末喷涂）</t>
  </si>
  <si>
    <t>30*15*1.0H型铝型材（粉末喷涂）</t>
  </si>
  <si>
    <t>70*0.8mm防雨百叶片（粉末喷涂）</t>
  </si>
  <si>
    <t>五金</t>
  </si>
  <si>
    <t>不锈钢合页插销</t>
  </si>
  <si>
    <t>辅助材料</t>
  </si>
  <si>
    <t>密封胶</t>
  </si>
  <si>
    <t>支</t>
  </si>
  <si>
    <t>发泡剂</t>
  </si>
  <si>
    <t>安装辅材</t>
  </si>
  <si>
    <r>
      <rPr>
        <sz val="10"/>
        <color rgb="FF000000"/>
        <rFont val="Calibri"/>
        <charset val="134"/>
      </rPr>
      <t>m</t>
    </r>
    <r>
      <rPr>
        <vertAlign val="superscript"/>
        <sz val="10"/>
        <color rgb="FF000000"/>
        <rFont val="Calibri"/>
        <charset val="134"/>
      </rPr>
      <t>2</t>
    </r>
  </si>
  <si>
    <t>包装、保护</t>
  </si>
  <si>
    <t>运输费</t>
  </si>
  <si>
    <t>直接费小计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</si>
  <si>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Calibri"/>
        <charset val="134"/>
      </rPr>
      <t>+(5)</t>
    </r>
  </si>
  <si>
    <t>综合费</t>
  </si>
  <si>
    <t>（6）*</t>
  </si>
  <si>
    <t>包含措施费、管理费、利润、规费等其他全部费用</t>
  </si>
  <si>
    <t>不含增值税综合单价</t>
  </si>
  <si>
    <t>（6）+（7）</t>
  </si>
  <si>
    <t>BYC-4</t>
  </si>
  <si>
    <t>F-BY01</t>
  </si>
  <si>
    <t>A-BY02</t>
  </si>
  <si>
    <t>百叶明细计算书</t>
  </si>
  <si>
    <t>楼号</t>
  </si>
  <si>
    <t>宽度（m）</t>
  </si>
  <si>
    <t>总面积（㎡）</t>
  </si>
  <si>
    <t>BYC-3</t>
  </si>
  <si>
    <t>一层</t>
  </si>
  <si>
    <t>标准</t>
  </si>
  <si>
    <t>F-BY02</t>
  </si>
  <si>
    <t>腰线</t>
  </si>
  <si>
    <t>A-BY01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</si>
</sst>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[DBNum2][$RMB]General;[Red][DBNum2][$RMB]General"/>
    <numFmt numFmtId="179" formatCode="#,##0.00&quot;元&quot;"/>
    <numFmt numFmtId="180" formatCode="0_ "/>
  </numFmts>
  <fonts count="5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theme="1"/>
      <name val="SimSun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2" borderId="18" applyNumberFormat="0" applyAlignment="0" applyProtection="0">
      <alignment vertical="center"/>
    </xf>
    <xf numFmtId="0" fontId="45" fillId="13" borderId="19" applyNumberFormat="0" applyAlignment="0" applyProtection="0">
      <alignment vertical="center"/>
    </xf>
    <xf numFmtId="0" fontId="46" fillId="13" borderId="18" applyNumberFormat="0" applyAlignment="0" applyProtection="0">
      <alignment vertical="center"/>
    </xf>
    <xf numFmtId="0" fontId="47" fillId="14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2" fontId="8" fillId="0" borderId="1" xfId="49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right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43" fontId="8" fillId="0" borderId="1" xfId="49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right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right" vertical="center" wrapText="1"/>
    </xf>
    <xf numFmtId="9" fontId="8" fillId="0" borderId="1" xfId="49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49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49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176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9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6" fontId="23" fillId="0" borderId="13" xfId="0" applyNumberFormat="1" applyFont="1" applyFill="1" applyBorder="1" applyAlignment="1">
      <alignment horizontal="center" vertical="center" wrapText="1"/>
    </xf>
    <xf numFmtId="9" fontId="23" fillId="0" borderId="1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178" fontId="18" fillId="0" borderId="0" xfId="0" applyNumberFormat="1" applyFont="1" applyFill="1" applyAlignment="1">
      <alignment vertical="center"/>
    </xf>
    <xf numFmtId="178" fontId="26" fillId="0" borderId="0" xfId="0" applyNumberFormat="1" applyFont="1" applyFill="1" applyAlignment="1">
      <alignment horizontal="center" vertical="center"/>
    </xf>
    <xf numFmtId="178" fontId="27" fillId="0" borderId="0" xfId="0" applyNumberFormat="1" applyFont="1" applyFill="1" applyAlignment="1">
      <alignment horizontal="left" vertical="center" wrapText="1"/>
    </xf>
    <xf numFmtId="178" fontId="27" fillId="0" borderId="0" xfId="0" applyNumberFormat="1" applyFont="1" applyFill="1" applyBorder="1" applyAlignment="1">
      <alignment horizontal="left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top" wrapText="1"/>
    </xf>
    <xf numFmtId="178" fontId="29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justify" vertical="top" wrapText="1"/>
    </xf>
    <xf numFmtId="176" fontId="30" fillId="0" borderId="1" xfId="0" applyNumberFormat="1" applyFont="1" applyFill="1" applyBorder="1" applyAlignment="1">
      <alignment horizontal="justify" vertical="top" wrapText="1"/>
    </xf>
    <xf numFmtId="178" fontId="30" fillId="0" borderId="1" xfId="0" applyNumberFormat="1" applyFont="1" applyFill="1" applyBorder="1" applyAlignment="1">
      <alignment horizontal="justify" vertical="top" wrapText="1"/>
    </xf>
    <xf numFmtId="179" fontId="30" fillId="0" borderId="1" xfId="0" applyNumberFormat="1" applyFont="1" applyFill="1" applyBorder="1" applyAlignment="1">
      <alignment horizontal="justify" vertical="top" wrapText="1"/>
    </xf>
    <xf numFmtId="178" fontId="27" fillId="0" borderId="1" xfId="0" applyNumberFormat="1" applyFont="1" applyFill="1" applyBorder="1" applyAlignment="1">
      <alignment horizontal="left" vertical="top" wrapText="1"/>
    </xf>
    <xf numFmtId="178" fontId="31" fillId="0" borderId="0" xfId="0" applyNumberFormat="1" applyFont="1" applyFill="1" applyAlignment="1">
      <alignment vertical="center" wrapText="1"/>
    </xf>
    <xf numFmtId="178" fontId="32" fillId="0" borderId="0" xfId="0" applyNumberFormat="1" applyFont="1" applyFill="1" applyAlignment="1">
      <alignment horizontal="left" vertical="center"/>
    </xf>
    <xf numFmtId="178" fontId="29" fillId="0" borderId="0" xfId="0" applyNumberFormat="1" applyFont="1" applyFill="1" applyAlignment="1">
      <alignment horizontal="justify" vertical="center"/>
    </xf>
    <xf numFmtId="178" fontId="29" fillId="0" borderId="0" xfId="0" applyNumberFormat="1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vertical="center"/>
    </xf>
    <xf numFmtId="178" fontId="33" fillId="0" borderId="0" xfId="0" applyNumberFormat="1" applyFont="1" applyFill="1" applyBorder="1" applyAlignment="1">
      <alignment vertical="center"/>
    </xf>
    <xf numFmtId="178" fontId="33" fillId="0" borderId="0" xfId="0" applyNumberFormat="1" applyFont="1" applyFill="1" applyAlignment="1">
      <alignment vertical="center"/>
    </xf>
    <xf numFmtId="178" fontId="18" fillId="0" borderId="0" xfId="0" applyNumberFormat="1" applyFont="1" applyFill="1" applyAlignment="1">
      <alignment horizontal="center" vertical="center" wrapText="1"/>
    </xf>
    <xf numFmtId="178" fontId="18" fillId="0" borderId="0" xfId="0" applyNumberFormat="1" applyFont="1" applyFill="1" applyAlignment="1">
      <alignment vertical="center" wrapText="1"/>
    </xf>
    <xf numFmtId="178" fontId="18" fillId="0" borderId="0" xfId="0" applyNumberFormat="1" applyFont="1" applyFill="1" applyAlignment="1">
      <alignment horizontal="left" vertical="center" wrapText="1"/>
    </xf>
    <xf numFmtId="178" fontId="34" fillId="0" borderId="0" xfId="0" applyNumberFormat="1" applyFont="1" applyFill="1" applyAlignment="1">
      <alignment horizontal="center" vertical="center" wrapText="1"/>
    </xf>
    <xf numFmtId="178" fontId="34" fillId="0" borderId="0" xfId="0" applyNumberFormat="1" applyFont="1" applyFill="1" applyAlignment="1">
      <alignment vertical="center" wrapText="1"/>
    </xf>
    <xf numFmtId="178" fontId="34" fillId="0" borderId="1" xfId="0" applyNumberFormat="1" applyFont="1" applyFill="1" applyBorder="1" applyAlignment="1">
      <alignment horizontal="center" vertical="center" wrapText="1"/>
    </xf>
    <xf numFmtId="180" fontId="30" fillId="0" borderId="1" xfId="0" applyNumberFormat="1" applyFont="1" applyFill="1" applyBorder="1" applyAlignment="1">
      <alignment horizontal="center" vertical="center" wrapText="1"/>
    </xf>
    <xf numFmtId="178" fontId="0" fillId="0" borderId="1" xfId="22" applyNumberFormat="1" applyFont="1" applyFill="1" applyBorder="1" applyAlignment="1">
      <alignment vertical="center" wrapText="1"/>
    </xf>
    <xf numFmtId="178" fontId="0" fillId="0" borderId="1" xfId="22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vertical="center" wrapText="1"/>
    </xf>
    <xf numFmtId="178" fontId="19" fillId="0" borderId="0" xfId="0" applyNumberFormat="1" applyFont="1" applyFill="1" applyAlignment="1">
      <alignment vertical="center" wrapText="1"/>
    </xf>
    <xf numFmtId="178" fontId="19" fillId="0" borderId="0" xfId="0" applyNumberFormat="1" applyFont="1" applyFill="1" applyBorder="1" applyAlignment="1">
      <alignment vertical="center" wrapText="1"/>
    </xf>
    <xf numFmtId="178" fontId="35" fillId="0" borderId="0" xfId="0" applyNumberFormat="1" applyFont="1" applyFill="1" applyBorder="1" applyAlignment="1">
      <alignment vertical="center" wrapText="1"/>
    </xf>
    <xf numFmtId="178" fontId="35" fillId="0" borderId="0" xfId="0" applyNumberFormat="1" applyFont="1" applyFill="1" applyAlignment="1">
      <alignment vertical="center" wrapText="1"/>
    </xf>
    <xf numFmtId="178" fontId="18" fillId="0" borderId="1" xfId="0" applyNumberFormat="1" applyFont="1" applyFill="1" applyBorder="1" applyAlignment="1">
      <alignment horizontal="left" vertical="top" wrapText="1"/>
    </xf>
    <xf numFmtId="178" fontId="33" fillId="0" borderId="0" xfId="0" applyNumberFormat="1" applyFont="1" applyFill="1" applyBorder="1" applyAlignment="1">
      <alignment vertical="center" wrapText="1"/>
    </xf>
    <xf numFmtId="178" fontId="33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4" workbookViewId="0">
      <selection activeCell="L10" sqref="L10"/>
    </sheetView>
  </sheetViews>
  <sheetFormatPr defaultColWidth="9" defaultRowHeight="14.25"/>
  <cols>
    <col min="1" max="1" width="7.25" style="129" customWidth="1"/>
    <col min="2" max="2" width="40" style="130" customWidth="1"/>
    <col min="3" max="3" width="8.875" style="129" customWidth="1"/>
    <col min="4" max="4" width="9.625" style="129" customWidth="1"/>
    <col min="5" max="5" width="11" style="130" customWidth="1"/>
    <col min="6" max="6" width="6.5" style="131" customWidth="1"/>
    <col min="7" max="7" width="8.5" style="130" customWidth="1"/>
    <col min="8" max="12" width="9" style="130"/>
    <col min="13" max="16384" width="9" style="110"/>
  </cols>
  <sheetData>
    <row r="1" s="110" customFormat="1" ht="57.95" customHeight="1" spans="1:12">
      <c r="A1" s="132" t="s">
        <v>0</v>
      </c>
      <c r="B1" s="132"/>
      <c r="C1" s="132"/>
      <c r="D1" s="132"/>
      <c r="E1" s="132"/>
      <c r="F1" s="132"/>
      <c r="G1" s="133"/>
      <c r="H1" s="133"/>
      <c r="I1" s="133"/>
      <c r="J1" s="130"/>
      <c r="K1" s="130"/>
      <c r="L1" s="130"/>
    </row>
    <row r="2" s="110" customFormat="1" ht="30.75" customHeight="1" spans="1:12">
      <c r="A2" s="134" t="s">
        <v>1</v>
      </c>
      <c r="B2" s="134" t="s">
        <v>2</v>
      </c>
      <c r="C2" s="134" t="s">
        <v>3</v>
      </c>
      <c r="D2" s="134" t="s">
        <v>4</v>
      </c>
      <c r="E2" s="134" t="s">
        <v>5</v>
      </c>
      <c r="F2" s="134" t="s">
        <v>6</v>
      </c>
      <c r="G2" s="130"/>
      <c r="H2" s="130"/>
      <c r="I2" s="130"/>
      <c r="J2" s="130"/>
      <c r="K2" s="130"/>
      <c r="L2" s="130"/>
    </row>
    <row r="3" s="126" customFormat="1" ht="36" customHeight="1" spans="1:12">
      <c r="A3" s="135">
        <v>1</v>
      </c>
      <c r="B3" s="136" t="s">
        <v>7</v>
      </c>
      <c r="C3" s="137" t="s">
        <v>8</v>
      </c>
      <c r="D3" s="137" t="s">
        <v>9</v>
      </c>
      <c r="E3" s="136" t="s">
        <v>10</v>
      </c>
      <c r="F3" s="136"/>
      <c r="G3" s="138"/>
      <c r="H3" s="138"/>
      <c r="I3" s="138"/>
      <c r="J3" s="138"/>
      <c r="K3" s="138"/>
      <c r="L3" s="138"/>
    </row>
    <row r="4" s="126" customFormat="1" ht="27" customHeight="1" spans="1:12">
      <c r="A4" s="135">
        <v>2</v>
      </c>
      <c r="B4" s="136" t="s">
        <v>11</v>
      </c>
      <c r="C4" s="137" t="s">
        <v>8</v>
      </c>
      <c r="D4" s="137" t="s">
        <v>12</v>
      </c>
      <c r="E4" s="136" t="s">
        <v>10</v>
      </c>
      <c r="F4" s="136"/>
      <c r="G4" s="138"/>
      <c r="H4" s="138"/>
      <c r="I4" s="138"/>
      <c r="J4" s="138"/>
      <c r="K4" s="138"/>
      <c r="L4" s="138"/>
    </row>
    <row r="5" s="126" customFormat="1" ht="27" customHeight="1" spans="1:12">
      <c r="A5" s="135">
        <v>3</v>
      </c>
      <c r="B5" s="136" t="s">
        <v>13</v>
      </c>
      <c r="C5" s="137" t="s">
        <v>14</v>
      </c>
      <c r="D5" s="137" t="s">
        <v>15</v>
      </c>
      <c r="E5" s="136" t="s">
        <v>10</v>
      </c>
      <c r="F5" s="136"/>
      <c r="G5" s="138"/>
      <c r="H5" s="138"/>
      <c r="I5" s="138"/>
      <c r="J5" s="138"/>
      <c r="K5" s="138"/>
      <c r="L5" s="138"/>
    </row>
    <row r="6" s="126" customFormat="1" ht="27" customHeight="1" spans="1:12">
      <c r="A6" s="135">
        <v>4</v>
      </c>
      <c r="B6" s="136" t="s">
        <v>16</v>
      </c>
      <c r="C6" s="137" t="s">
        <v>8</v>
      </c>
      <c r="D6" s="137" t="s">
        <v>17</v>
      </c>
      <c r="E6" s="136" t="s">
        <v>10</v>
      </c>
      <c r="F6" s="136"/>
      <c r="G6" s="138"/>
      <c r="H6" s="138"/>
      <c r="I6" s="138"/>
      <c r="J6" s="138"/>
      <c r="K6" s="138"/>
      <c r="L6" s="138"/>
    </row>
    <row r="7" s="126" customFormat="1" ht="27" customHeight="1" spans="1:12">
      <c r="A7" s="135">
        <v>5</v>
      </c>
      <c r="B7" s="136" t="s">
        <v>18</v>
      </c>
      <c r="C7" s="137" t="s">
        <v>14</v>
      </c>
      <c r="D7" s="137" t="s">
        <v>19</v>
      </c>
      <c r="E7" s="136" t="s">
        <v>10</v>
      </c>
      <c r="F7" s="136"/>
      <c r="G7" s="138"/>
      <c r="H7" s="138"/>
      <c r="I7" s="138"/>
      <c r="J7" s="138"/>
      <c r="K7" s="138"/>
      <c r="L7" s="138"/>
    </row>
    <row r="8" s="126" customFormat="1" ht="32.1" customHeight="1" spans="1:12">
      <c r="A8" s="135">
        <v>6</v>
      </c>
      <c r="B8" s="136" t="s">
        <v>20</v>
      </c>
      <c r="C8" s="137" t="s">
        <v>8</v>
      </c>
      <c r="D8" s="137" t="s">
        <v>21</v>
      </c>
      <c r="E8" s="136" t="s">
        <v>10</v>
      </c>
      <c r="F8" s="136"/>
      <c r="G8" s="139"/>
      <c r="H8" s="138"/>
      <c r="I8" s="138"/>
      <c r="J8" s="138"/>
      <c r="K8" s="138"/>
      <c r="L8" s="138"/>
    </row>
    <row r="9" s="126" customFormat="1" ht="32.1" customHeight="1" spans="1:12">
      <c r="A9" s="135">
        <v>7</v>
      </c>
      <c r="B9" s="136" t="s">
        <v>22</v>
      </c>
      <c r="C9" s="137" t="s">
        <v>8</v>
      </c>
      <c r="D9" s="137" t="s">
        <v>23</v>
      </c>
      <c r="E9" s="136" t="s">
        <v>10</v>
      </c>
      <c r="F9" s="136"/>
      <c r="G9" s="139"/>
      <c r="H9" s="138"/>
      <c r="I9" s="138"/>
      <c r="J9" s="138"/>
      <c r="K9" s="138"/>
      <c r="L9" s="138"/>
    </row>
    <row r="10" s="127" customFormat="1" ht="32.1" customHeight="1" spans="1:12">
      <c r="A10" s="135">
        <v>8</v>
      </c>
      <c r="B10" s="136" t="s">
        <v>24</v>
      </c>
      <c r="C10" s="137" t="s">
        <v>8</v>
      </c>
      <c r="D10" s="137" t="s">
        <v>25</v>
      </c>
      <c r="E10" s="136" t="s">
        <v>10</v>
      </c>
      <c r="F10" s="136"/>
      <c r="G10" s="140"/>
      <c r="H10" s="141"/>
      <c r="I10" s="144"/>
      <c r="J10" s="144"/>
      <c r="K10" s="144"/>
      <c r="L10" s="144"/>
    </row>
    <row r="11" s="128" customFormat="1" ht="32.1" customHeight="1" spans="1:12">
      <c r="A11" s="135">
        <v>9</v>
      </c>
      <c r="B11" s="136" t="s">
        <v>26</v>
      </c>
      <c r="C11" s="137" t="s">
        <v>8</v>
      </c>
      <c r="D11" s="137" t="s">
        <v>27</v>
      </c>
      <c r="E11" s="136" t="s">
        <v>10</v>
      </c>
      <c r="F11" s="136"/>
      <c r="G11" s="139"/>
      <c r="H11" s="142"/>
      <c r="I11" s="145"/>
      <c r="J11" s="145"/>
      <c r="K11" s="145"/>
      <c r="L11" s="145"/>
    </row>
    <row r="12" s="128" customFormat="1" ht="32.1" customHeight="1" spans="1:12">
      <c r="A12" s="135">
        <v>10</v>
      </c>
      <c r="B12" s="136" t="s">
        <v>28</v>
      </c>
      <c r="C12" s="137" t="s">
        <v>8</v>
      </c>
      <c r="D12" s="137" t="s">
        <v>29</v>
      </c>
      <c r="E12" s="136" t="s">
        <v>10</v>
      </c>
      <c r="F12" s="136"/>
      <c r="G12" s="139"/>
      <c r="H12" s="142"/>
      <c r="I12" s="145"/>
      <c r="J12" s="145"/>
      <c r="K12" s="145"/>
      <c r="L12" s="145"/>
    </row>
    <row r="13" s="128" customFormat="1" ht="32.1" customHeight="1" spans="1:12">
      <c r="A13" s="135">
        <v>11</v>
      </c>
      <c r="B13" s="136" t="s">
        <v>30</v>
      </c>
      <c r="C13" s="137" t="s">
        <v>8</v>
      </c>
      <c r="D13" s="137" t="s">
        <v>31</v>
      </c>
      <c r="E13" s="136" t="s">
        <v>10</v>
      </c>
      <c r="F13" s="136"/>
      <c r="G13" s="139"/>
      <c r="H13" s="142"/>
      <c r="I13" s="145"/>
      <c r="J13" s="145"/>
      <c r="K13" s="145"/>
      <c r="L13" s="145"/>
    </row>
    <row r="14" s="128" customFormat="1" ht="32.1" customHeight="1" spans="1:12">
      <c r="A14" s="135">
        <v>12</v>
      </c>
      <c r="B14" s="136" t="s">
        <v>32</v>
      </c>
      <c r="C14" s="137" t="s">
        <v>33</v>
      </c>
      <c r="D14" s="137" t="s">
        <v>34</v>
      </c>
      <c r="E14" s="136" t="s">
        <v>10</v>
      </c>
      <c r="F14" s="136"/>
      <c r="G14" s="139"/>
      <c r="H14" s="142"/>
      <c r="I14" s="145"/>
      <c r="J14" s="145"/>
      <c r="K14" s="145"/>
      <c r="L14" s="145"/>
    </row>
    <row r="15" s="128" customFormat="1" ht="32.1" customHeight="1" spans="1:12">
      <c r="A15" s="135">
        <v>13</v>
      </c>
      <c r="B15" s="136" t="s">
        <v>35</v>
      </c>
      <c r="C15" s="137" t="s">
        <v>14</v>
      </c>
      <c r="D15" s="137" t="s">
        <v>36</v>
      </c>
      <c r="E15" s="136" t="s">
        <v>10</v>
      </c>
      <c r="F15" s="136"/>
      <c r="G15" s="139"/>
      <c r="H15" s="142"/>
      <c r="I15" s="145"/>
      <c r="J15" s="145"/>
      <c r="K15" s="145"/>
      <c r="L15" s="145"/>
    </row>
    <row r="16" s="128" customFormat="1" ht="32.1" customHeight="1" spans="1:12">
      <c r="A16" s="135">
        <v>14</v>
      </c>
      <c r="B16" s="136" t="s">
        <v>37</v>
      </c>
      <c r="C16" s="137" t="s">
        <v>38</v>
      </c>
      <c r="D16" s="137" t="s">
        <v>39</v>
      </c>
      <c r="E16" s="136" t="s">
        <v>10</v>
      </c>
      <c r="F16" s="136"/>
      <c r="G16" s="139"/>
      <c r="H16" s="142"/>
      <c r="I16" s="145"/>
      <c r="J16" s="145"/>
      <c r="K16" s="145"/>
      <c r="L16" s="145"/>
    </row>
    <row r="17" s="128" customFormat="1" ht="32.1" customHeight="1" spans="1:12">
      <c r="A17" s="135">
        <v>15</v>
      </c>
      <c r="B17" s="136" t="s">
        <v>40</v>
      </c>
      <c r="C17" s="137" t="s">
        <v>41</v>
      </c>
      <c r="D17" s="137"/>
      <c r="E17" s="136" t="s">
        <v>10</v>
      </c>
      <c r="F17" s="136"/>
      <c r="G17" s="139"/>
      <c r="H17" s="142"/>
      <c r="I17" s="145"/>
      <c r="J17" s="145"/>
      <c r="K17" s="145"/>
      <c r="L17" s="145"/>
    </row>
    <row r="18" s="110" customFormat="1" ht="33.95" customHeight="1" spans="1:12">
      <c r="A18" s="143" t="s">
        <v>42</v>
      </c>
      <c r="B18" s="143"/>
      <c r="C18" s="143" t="s">
        <v>43</v>
      </c>
      <c r="D18" s="143"/>
      <c r="E18" s="143"/>
      <c r="F18" s="143"/>
      <c r="G18" s="130"/>
      <c r="H18" s="130"/>
      <c r="I18" s="130"/>
      <c r="J18" s="130"/>
      <c r="K18" s="130"/>
      <c r="L18" s="130"/>
    </row>
    <row r="19" s="110" customFormat="1" ht="26.1" customHeight="1" spans="1:12">
      <c r="A19" s="143"/>
      <c r="B19" s="143"/>
      <c r="C19" s="143"/>
      <c r="D19" s="143"/>
      <c r="E19" s="143"/>
      <c r="F19" s="143"/>
      <c r="G19" s="130"/>
      <c r="H19" s="130"/>
      <c r="I19" s="130"/>
      <c r="J19" s="130"/>
      <c r="K19" s="130"/>
      <c r="L19" s="130"/>
    </row>
    <row r="34" ht="43.5" customHeight="1"/>
  </sheetData>
  <mergeCells count="3">
    <mergeCell ref="A1:F1"/>
    <mergeCell ref="A18:B19"/>
    <mergeCell ref="C18:F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" workbookViewId="0">
      <selection activeCell="M16" sqref="M16"/>
    </sheetView>
  </sheetViews>
  <sheetFormatPr defaultColWidth="9" defaultRowHeight="14.25" outlineLevelCol="7"/>
  <cols>
    <col min="1" max="2" width="9" style="110"/>
    <col min="3" max="3" width="3.25" style="110" customWidth="1"/>
    <col min="4" max="4" width="9.25" style="110" customWidth="1"/>
    <col min="5" max="5" width="13.875" style="110" customWidth="1"/>
    <col min="6" max="6" width="12" style="110" customWidth="1"/>
    <col min="7" max="7" width="15" style="110" customWidth="1"/>
    <col min="8" max="8" width="14.75" style="110" customWidth="1"/>
    <col min="9" max="16384" width="9" style="110"/>
  </cols>
  <sheetData>
    <row r="1" s="110" customFormat="1" ht="37.5" customHeight="1" spans="1:8">
      <c r="A1" s="111" t="s">
        <v>44</v>
      </c>
      <c r="B1" s="111"/>
      <c r="C1" s="111"/>
      <c r="D1" s="111"/>
      <c r="E1" s="111"/>
      <c r="F1" s="111"/>
      <c r="G1" s="111"/>
      <c r="H1" s="111"/>
    </row>
    <row r="2" s="110" customFormat="1" ht="31.9" customHeight="1" spans="1:8">
      <c r="A2" s="112" t="s">
        <v>45</v>
      </c>
      <c r="B2" s="112"/>
      <c r="C2" s="112"/>
      <c r="D2" s="112"/>
      <c r="E2" s="112"/>
      <c r="F2" s="112"/>
      <c r="G2" s="112"/>
      <c r="H2" s="112"/>
    </row>
    <row r="3" s="110" customFormat="1" ht="23.25" customHeight="1" spans="1:8">
      <c r="A3" s="112" t="s">
        <v>46</v>
      </c>
      <c r="B3" s="112"/>
      <c r="C3" s="112"/>
      <c r="D3" s="112"/>
      <c r="E3" s="112"/>
      <c r="F3" s="112"/>
      <c r="G3" s="112"/>
      <c r="H3" s="112"/>
    </row>
    <row r="4" s="110" customFormat="1" ht="25.5" customHeight="1" spans="1:8">
      <c r="A4" s="112" t="s">
        <v>47</v>
      </c>
      <c r="B4" s="112"/>
      <c r="C4" s="112"/>
      <c r="D4" s="112"/>
      <c r="E4" s="112"/>
      <c r="F4" s="112"/>
      <c r="G4" s="112"/>
      <c r="H4" s="112"/>
    </row>
    <row r="5" s="110" customFormat="1" ht="30" customHeight="1" spans="1:8">
      <c r="A5" s="113" t="s">
        <v>48</v>
      </c>
      <c r="B5" s="113"/>
      <c r="C5" s="113"/>
      <c r="D5" s="113"/>
      <c r="E5" s="113"/>
      <c r="F5" s="113"/>
      <c r="G5" s="113"/>
      <c r="H5" s="113"/>
    </row>
    <row r="6" s="110" customFormat="1" ht="20.25" customHeight="1" spans="1:8">
      <c r="A6" s="114" t="s">
        <v>1</v>
      </c>
      <c r="B6" s="115" t="s">
        <v>49</v>
      </c>
      <c r="C6" s="115"/>
      <c r="D6" s="115"/>
      <c r="E6" s="115" t="s">
        <v>50</v>
      </c>
      <c r="F6" s="115" t="s">
        <v>51</v>
      </c>
      <c r="G6" s="115" t="s">
        <v>52</v>
      </c>
      <c r="H6" s="115" t="s">
        <v>53</v>
      </c>
    </row>
    <row r="7" s="110" customFormat="1" ht="20.25" customHeight="1" spans="1:8">
      <c r="A7" s="116" t="s">
        <v>54</v>
      </c>
      <c r="B7" s="117" t="s">
        <v>55</v>
      </c>
      <c r="C7" s="117"/>
      <c r="D7" s="117"/>
      <c r="E7" s="118">
        <f>E8+E9+E10+E11</f>
        <v>0</v>
      </c>
      <c r="F7" s="118">
        <v>0</v>
      </c>
      <c r="G7" s="118">
        <f>G8+G9+G10+G11</f>
        <v>0</v>
      </c>
      <c r="H7" s="118">
        <f>H8+H102+H10+H9+H11+H12</f>
        <v>498000</v>
      </c>
    </row>
    <row r="8" s="110" customFormat="1" ht="20.25" customHeight="1" spans="1:8">
      <c r="A8" s="118">
        <v>1.1</v>
      </c>
      <c r="B8" s="119" t="s">
        <v>56</v>
      </c>
      <c r="C8" s="119"/>
      <c r="D8" s="119"/>
      <c r="E8" s="118">
        <v>0</v>
      </c>
      <c r="F8" s="118">
        <v>0</v>
      </c>
      <c r="G8" s="118">
        <v>0</v>
      </c>
      <c r="H8" s="118">
        <f>结算明细表!H19</f>
        <v>485135.723167107</v>
      </c>
    </row>
    <row r="9" s="110" customFormat="1" ht="20.25" customHeight="1" spans="1:8">
      <c r="A9" s="118">
        <v>1.2</v>
      </c>
      <c r="B9" s="119" t="s">
        <v>57</v>
      </c>
      <c r="C9" s="119"/>
      <c r="D9" s="119"/>
      <c r="E9" s="118">
        <v>0</v>
      </c>
      <c r="F9" s="118">
        <v>0</v>
      </c>
      <c r="G9" s="118">
        <v>0</v>
      </c>
      <c r="H9" s="118">
        <f>结算明细表!H20</f>
        <v>15141.158949475</v>
      </c>
    </row>
    <row r="10" s="110" customFormat="1" ht="20.25" customHeight="1" spans="1:8">
      <c r="A10" s="118">
        <v>1.3</v>
      </c>
      <c r="B10" s="119" t="s">
        <v>58</v>
      </c>
      <c r="C10" s="119"/>
      <c r="D10" s="119"/>
      <c r="E10" s="118">
        <v>0</v>
      </c>
      <c r="F10" s="118">
        <v>0</v>
      </c>
      <c r="G10" s="118">
        <v>0</v>
      </c>
      <c r="H10" s="119"/>
    </row>
    <row r="11" s="110" customFormat="1" ht="20.25" customHeight="1" spans="1:8">
      <c r="A11" s="118">
        <v>1.4</v>
      </c>
      <c r="B11" s="119" t="s">
        <v>59</v>
      </c>
      <c r="C11" s="119"/>
      <c r="D11" s="119"/>
      <c r="E11" s="118">
        <v>0</v>
      </c>
      <c r="F11" s="118">
        <v>0</v>
      </c>
      <c r="G11" s="118">
        <v>0</v>
      </c>
      <c r="H11" s="118">
        <f>结算明细表!H23</f>
        <v>-2148.72</v>
      </c>
    </row>
    <row r="12" s="110" customFormat="1" ht="20.25" customHeight="1" spans="1:8">
      <c r="A12" s="118">
        <v>1.5</v>
      </c>
      <c r="B12" s="119" t="s">
        <v>60</v>
      </c>
      <c r="C12" s="119"/>
      <c r="D12" s="119"/>
      <c r="E12" s="119"/>
      <c r="F12" s="119"/>
      <c r="G12" s="119"/>
      <c r="H12" s="118">
        <f>结算明细表!H25-结算明细表!H24</f>
        <v>-128.162116582331</v>
      </c>
    </row>
    <row r="13" s="110" customFormat="1" ht="20.25" customHeight="1" spans="1:8">
      <c r="A13" s="116" t="s">
        <v>61</v>
      </c>
      <c r="B13" s="117" t="s">
        <v>62</v>
      </c>
      <c r="C13" s="117"/>
      <c r="D13" s="117"/>
      <c r="E13" s="118">
        <v>0</v>
      </c>
      <c r="F13" s="118"/>
      <c r="G13" s="118">
        <v>0</v>
      </c>
      <c r="H13" s="118">
        <v>0</v>
      </c>
    </row>
    <row r="14" s="110" customFormat="1" ht="20.25" customHeight="1" spans="1:8">
      <c r="A14" s="118">
        <v>2.1</v>
      </c>
      <c r="B14" s="119" t="s">
        <v>63</v>
      </c>
      <c r="C14" s="119"/>
      <c r="D14" s="119"/>
      <c r="E14" s="118">
        <v>0</v>
      </c>
      <c r="F14" s="118"/>
      <c r="G14" s="118">
        <v>0</v>
      </c>
      <c r="H14" s="118">
        <v>0</v>
      </c>
    </row>
    <row r="15" s="110" customFormat="1" ht="20.25" customHeight="1" spans="1:8">
      <c r="A15" s="118">
        <v>2.2</v>
      </c>
      <c r="B15" s="119" t="s">
        <v>63</v>
      </c>
      <c r="C15" s="119"/>
      <c r="D15" s="119"/>
      <c r="E15" s="118">
        <v>0</v>
      </c>
      <c r="F15" s="118"/>
      <c r="G15" s="118">
        <v>0</v>
      </c>
      <c r="H15" s="118">
        <v>0</v>
      </c>
    </row>
    <row r="16" s="110" customFormat="1" ht="20.25" customHeight="1" spans="1:8">
      <c r="A16" s="116" t="s">
        <v>64</v>
      </c>
      <c r="B16" s="117" t="s">
        <v>65</v>
      </c>
      <c r="C16" s="117"/>
      <c r="D16" s="119" t="s">
        <v>66</v>
      </c>
      <c r="E16" s="120">
        <f>H7</f>
        <v>498000</v>
      </c>
      <c r="F16" s="120"/>
      <c r="G16" s="120"/>
      <c r="H16" s="120"/>
    </row>
    <row r="17" s="110" customFormat="1" ht="20.25" customHeight="1" spans="1:8">
      <c r="A17" s="116"/>
      <c r="B17" s="117"/>
      <c r="C17" s="117"/>
      <c r="D17" s="119" t="s">
        <v>67</v>
      </c>
      <c r="E17" s="121">
        <f>E16</f>
        <v>498000</v>
      </c>
      <c r="F17" s="121"/>
      <c r="G17" s="121"/>
      <c r="H17" s="121"/>
    </row>
    <row r="18" s="110" customFormat="1" ht="20.25" customHeight="1" spans="1:8">
      <c r="A18" s="116" t="s">
        <v>68</v>
      </c>
      <c r="B18" s="117" t="s">
        <v>69</v>
      </c>
      <c r="C18" s="117"/>
      <c r="D18" s="117"/>
      <c r="E18" s="118">
        <v>0</v>
      </c>
      <c r="F18" s="118"/>
      <c r="G18" s="118"/>
      <c r="H18" s="118"/>
    </row>
    <row r="19" s="110" customFormat="1" ht="20.25" customHeight="1" spans="1:8">
      <c r="A19" s="118">
        <v>4.1</v>
      </c>
      <c r="B19" s="119" t="s">
        <v>70</v>
      </c>
      <c r="C19" s="119"/>
      <c r="D19" s="119"/>
      <c r="E19" s="118">
        <v>0</v>
      </c>
      <c r="F19" s="118"/>
      <c r="G19" s="118"/>
      <c r="H19" s="118"/>
    </row>
    <row r="20" s="110" customFormat="1" ht="20.25" customHeight="1" spans="1:8">
      <c r="A20" s="118">
        <v>4.2</v>
      </c>
      <c r="B20" s="119" t="s">
        <v>71</v>
      </c>
      <c r="C20" s="119"/>
      <c r="D20" s="119"/>
      <c r="E20" s="118">
        <v>0</v>
      </c>
      <c r="F20" s="118"/>
      <c r="G20" s="118"/>
      <c r="H20" s="118"/>
    </row>
    <row r="21" s="110" customFormat="1" ht="20.25" customHeight="1" spans="1:8">
      <c r="A21" s="116" t="s">
        <v>72</v>
      </c>
      <c r="B21" s="117" t="s">
        <v>73</v>
      </c>
      <c r="C21" s="117"/>
      <c r="D21" s="117"/>
      <c r="E21" s="118">
        <v>0</v>
      </c>
      <c r="F21" s="118"/>
      <c r="G21" s="118"/>
      <c r="H21" s="118"/>
    </row>
    <row r="22" s="110" customFormat="1" ht="20.25" customHeight="1" spans="1:8">
      <c r="A22" s="118">
        <v>5.1</v>
      </c>
      <c r="B22" s="119" t="s">
        <v>74</v>
      </c>
      <c r="C22" s="119"/>
      <c r="D22" s="119"/>
      <c r="E22" s="119" t="s">
        <v>75</v>
      </c>
      <c r="F22" s="119"/>
      <c r="G22" s="119"/>
      <c r="H22" s="119"/>
    </row>
    <row r="23" s="110" customFormat="1" ht="20.25" customHeight="1" spans="1:8">
      <c r="A23" s="118">
        <v>5.2</v>
      </c>
      <c r="B23" s="119" t="s">
        <v>76</v>
      </c>
      <c r="C23" s="119"/>
      <c r="D23" s="119"/>
      <c r="E23" s="119" t="s">
        <v>75</v>
      </c>
      <c r="F23" s="119"/>
      <c r="G23" s="119"/>
      <c r="H23" s="119"/>
    </row>
    <row r="24" s="110" customFormat="1" ht="20.25" customHeight="1" spans="1:8">
      <c r="A24" s="116" t="s">
        <v>77</v>
      </c>
      <c r="B24" s="117" t="s">
        <v>78</v>
      </c>
      <c r="C24" s="119" t="s">
        <v>66</v>
      </c>
      <c r="D24" s="119"/>
      <c r="E24" s="120">
        <f>E16</f>
        <v>498000</v>
      </c>
      <c r="F24" s="120"/>
      <c r="G24" s="120"/>
      <c r="H24" s="120"/>
    </row>
    <row r="25" s="110" customFormat="1" ht="20.25" customHeight="1" spans="1:8">
      <c r="A25" s="116"/>
      <c r="B25" s="117"/>
      <c r="C25" s="119" t="s">
        <v>67</v>
      </c>
      <c r="D25" s="119"/>
      <c r="E25" s="121">
        <f>E17</f>
        <v>498000</v>
      </c>
      <c r="F25" s="121"/>
      <c r="G25" s="121"/>
      <c r="H25" s="121"/>
    </row>
    <row r="26" s="110" customFormat="1" ht="20.25" customHeight="1" spans="1:8">
      <c r="A26" s="116" t="s">
        <v>79</v>
      </c>
      <c r="B26" s="117" t="s">
        <v>80</v>
      </c>
      <c r="C26" s="119" t="s">
        <v>66</v>
      </c>
      <c r="D26" s="119"/>
      <c r="E26" s="120">
        <f>E24</f>
        <v>498000</v>
      </c>
      <c r="F26" s="120"/>
      <c r="G26" s="120"/>
      <c r="H26" s="120"/>
    </row>
    <row r="27" s="110" customFormat="1" ht="20.25" customHeight="1" spans="1:8">
      <c r="A27" s="116"/>
      <c r="B27" s="117"/>
      <c r="C27" s="119" t="s">
        <v>67</v>
      </c>
      <c r="D27" s="119"/>
      <c r="E27" s="121">
        <f>E17</f>
        <v>498000</v>
      </c>
      <c r="F27" s="121"/>
      <c r="G27" s="121"/>
      <c r="H27" s="121"/>
    </row>
    <row r="28" s="110" customFormat="1" spans="1:8">
      <c r="A28" s="122"/>
      <c r="B28" s="122"/>
      <c r="C28" s="122"/>
      <c r="D28" s="122"/>
      <c r="E28" s="122"/>
      <c r="F28" s="122"/>
      <c r="G28" s="122"/>
      <c r="H28" s="122"/>
    </row>
    <row r="29" s="110" customFormat="1" spans="1:8">
      <c r="A29" s="123" t="s">
        <v>81</v>
      </c>
      <c r="B29" s="123"/>
      <c r="C29" s="123"/>
      <c r="D29" s="123"/>
      <c r="E29" s="123"/>
      <c r="F29" s="123"/>
      <c r="G29" s="123"/>
      <c r="H29" s="123"/>
    </row>
    <row r="30" s="110" customFormat="1" spans="1:1">
      <c r="A30" s="124"/>
    </row>
    <row r="31" s="110" customFormat="1" spans="1:1">
      <c r="A31" s="124"/>
    </row>
    <row r="32" s="110" customFormat="1" spans="1:8">
      <c r="A32" s="123" t="s">
        <v>82</v>
      </c>
      <c r="B32" s="123"/>
      <c r="C32" s="123"/>
      <c r="D32" s="123"/>
      <c r="E32" s="123"/>
      <c r="F32" s="123"/>
      <c r="G32" s="123"/>
      <c r="H32" s="123"/>
    </row>
    <row r="33" s="110" customFormat="1" spans="1:1">
      <c r="A33" s="124"/>
    </row>
    <row r="34" s="110" customFormat="1" ht="27" customHeight="1" spans="1:8">
      <c r="A34" s="125"/>
      <c r="B34" s="125"/>
      <c r="C34" s="125"/>
      <c r="D34" s="125"/>
      <c r="E34" s="125"/>
      <c r="F34" s="125"/>
      <c r="G34" s="125"/>
      <c r="H34" s="125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85" zoomScaleNormal="85" topLeftCell="A6" workbookViewId="0">
      <selection activeCell="G10" sqref="G10"/>
    </sheetView>
  </sheetViews>
  <sheetFormatPr defaultColWidth="9" defaultRowHeight="13.5"/>
  <cols>
    <col min="1" max="1" width="5.125" style="86" customWidth="1"/>
    <col min="2" max="2" width="18.3833333333333" style="86" customWidth="1"/>
    <col min="3" max="3" width="4.85" style="86" customWidth="1"/>
    <col min="4" max="4" width="8.375" style="86" customWidth="1"/>
    <col min="5" max="5" width="8.525" style="87" customWidth="1"/>
    <col min="6" max="6" width="6.90833333333333" style="88" customWidth="1"/>
    <col min="7" max="7" width="8.08333333333333" style="87" customWidth="1"/>
    <col min="8" max="8" width="12.6416666666667" style="89" customWidth="1"/>
    <col min="9" max="9" width="33.375" style="86" customWidth="1"/>
    <col min="10" max="10" width="9" style="86"/>
    <col min="11" max="11" width="12.625" style="86"/>
    <col min="12" max="16384" width="9" style="86"/>
  </cols>
  <sheetData>
    <row r="1" ht="40" customHeight="1" spans="1:9">
      <c r="A1" s="90" t="s">
        <v>83</v>
      </c>
      <c r="B1" s="91"/>
      <c r="C1" s="91"/>
      <c r="D1" s="91"/>
      <c r="E1" s="92"/>
      <c r="F1" s="93"/>
      <c r="G1" s="92"/>
      <c r="H1" s="92"/>
      <c r="I1" s="106"/>
    </row>
    <row r="2" ht="47" customHeight="1" spans="1:9">
      <c r="A2" s="94" t="s">
        <v>1</v>
      </c>
      <c r="B2" s="94" t="s">
        <v>2</v>
      </c>
      <c r="C2" s="94" t="s">
        <v>84</v>
      </c>
      <c r="D2" s="94" t="s">
        <v>85</v>
      </c>
      <c r="E2" s="95" t="s">
        <v>86</v>
      </c>
      <c r="F2" s="96" t="s">
        <v>87</v>
      </c>
      <c r="G2" s="97" t="s">
        <v>88</v>
      </c>
      <c r="H2" s="97" t="s">
        <v>89</v>
      </c>
      <c r="I2" s="94" t="s">
        <v>6</v>
      </c>
    </row>
    <row r="3" ht="47" customHeight="1" spans="1:9">
      <c r="A3" s="94" t="s">
        <v>54</v>
      </c>
      <c r="B3" s="94" t="s">
        <v>90</v>
      </c>
      <c r="C3" s="94"/>
      <c r="D3" s="94"/>
      <c r="E3" s="95"/>
      <c r="F3" s="96"/>
      <c r="G3" s="97"/>
      <c r="H3" s="97"/>
      <c r="I3" s="94"/>
    </row>
    <row r="4" ht="48" spans="1:9">
      <c r="A4" s="98">
        <v>1</v>
      </c>
      <c r="B4" s="98" t="s">
        <v>91</v>
      </c>
      <c r="C4" s="98" t="s">
        <v>92</v>
      </c>
      <c r="D4" s="95">
        <f>栏杆明细计算书!H15+栏杆明细计算书!H16+栏杆明细计算书!H39+栏杆明细计算书!H40+栏杆明细计算书!H77+栏杆明细计算书!H78</f>
        <v>94.75</v>
      </c>
      <c r="E4" s="99">
        <f>'栏杆综合单价分析表 '!H19</f>
        <v>142.90445</v>
      </c>
      <c r="F4" s="100">
        <v>0.13</v>
      </c>
      <c r="G4" s="95">
        <f t="shared" ref="G4:G10" si="0">E4*(1+F4)</f>
        <v>161.4820285</v>
      </c>
      <c r="H4" s="95">
        <f t="shared" ref="H4:H10" si="1">SUM(D4*G4)</f>
        <v>15300.422200375</v>
      </c>
      <c r="I4" s="107" t="s">
        <v>93</v>
      </c>
    </row>
    <row r="5" ht="48" spans="1:9">
      <c r="A5" s="98">
        <v>2</v>
      </c>
      <c r="B5" s="98" t="s">
        <v>94</v>
      </c>
      <c r="C5" s="98" t="s">
        <v>92</v>
      </c>
      <c r="D5" s="95">
        <f>栏杆明细计算书!H76</f>
        <v>2.68</v>
      </c>
      <c r="E5" s="95">
        <f>'栏杆综合单价分析表 '!H41</f>
        <v>142.90445</v>
      </c>
      <c r="F5" s="100">
        <v>0.13</v>
      </c>
      <c r="G5" s="95">
        <f t="shared" si="0"/>
        <v>161.4820285</v>
      </c>
      <c r="H5" s="95">
        <f t="shared" si="1"/>
        <v>432.77183638</v>
      </c>
      <c r="I5" s="107" t="s">
        <v>95</v>
      </c>
    </row>
    <row r="6" ht="53" customHeight="1" spans="1:9">
      <c r="A6" s="98">
        <v>3</v>
      </c>
      <c r="B6" s="98" t="s">
        <v>96</v>
      </c>
      <c r="C6" s="98" t="s">
        <v>92</v>
      </c>
      <c r="D6" s="95">
        <f>栏杆明细计算书!H17+栏杆明细计算书!H41</f>
        <v>11.32</v>
      </c>
      <c r="E6" s="95">
        <f>E9</f>
        <v>107.04345</v>
      </c>
      <c r="F6" s="100">
        <v>0.13</v>
      </c>
      <c r="G6" s="95">
        <f t="shared" si="0"/>
        <v>120.9590985</v>
      </c>
      <c r="H6" s="95">
        <f t="shared" si="1"/>
        <v>1369.25699502</v>
      </c>
      <c r="I6" s="108" t="s">
        <v>97</v>
      </c>
    </row>
    <row r="7" ht="64" customHeight="1" spans="1:9">
      <c r="A7" s="98">
        <v>4</v>
      </c>
      <c r="B7" s="98" t="s">
        <v>98</v>
      </c>
      <c r="C7" s="98" t="s">
        <v>92</v>
      </c>
      <c r="D7" s="98">
        <f>栏杆明细计算书!H3+栏杆明细计算书!H19+栏杆明细计算书!H27+栏杆明细计算书!H43+栏杆明细计算书!H50+栏杆明细计算书!H59+栏杆明细计算书!H61+栏杆明细计算书!H67</f>
        <v>1252.92</v>
      </c>
      <c r="E7" s="99">
        <f>'栏杆综合单价分析表 '!H63</f>
        <v>110.63064</v>
      </c>
      <c r="F7" s="100">
        <v>0.13</v>
      </c>
      <c r="G7" s="95">
        <f t="shared" si="0"/>
        <v>125.0126232</v>
      </c>
      <c r="H7" s="95">
        <f t="shared" si="1"/>
        <v>156630.815859744</v>
      </c>
      <c r="I7" s="107" t="s">
        <v>99</v>
      </c>
    </row>
    <row r="8" ht="64" customHeight="1" spans="1:9">
      <c r="A8" s="98">
        <v>5</v>
      </c>
      <c r="B8" s="98" t="s">
        <v>100</v>
      </c>
      <c r="C8" s="98" t="s">
        <v>92</v>
      </c>
      <c r="D8" s="98">
        <f>栏杆明细计算书!H4+栏杆明细计算书!H20+栏杆明细计算书!H28+栏杆明细计算书!H44+栏杆明细计算书!H51+栏杆明细计算书!H60+栏杆明细计算书!H62+栏杆明细计算书!H68</f>
        <v>276.71</v>
      </c>
      <c r="E8" s="99">
        <f>E7-'栏杆综合单价分析表 '!K63</f>
        <v>90.4222381818182</v>
      </c>
      <c r="F8" s="100">
        <v>0.13</v>
      </c>
      <c r="G8" s="95">
        <f t="shared" si="0"/>
        <v>102.177129145455</v>
      </c>
      <c r="H8" s="95">
        <f t="shared" si="1"/>
        <v>28273.4334058387</v>
      </c>
      <c r="I8" s="108" t="s">
        <v>101</v>
      </c>
    </row>
    <row r="9" ht="73" customHeight="1" spans="1:9">
      <c r="A9" s="98">
        <v>6</v>
      </c>
      <c r="B9" s="98" t="s">
        <v>102</v>
      </c>
      <c r="C9" s="98" t="s">
        <v>92</v>
      </c>
      <c r="D9" s="98">
        <f>栏杆明细计算书!H5+栏杆明细计算书!H6+栏杆明细计算书!H29+栏杆明细计算书!H30+栏杆明细计算书!H45+栏杆明细计算书!H46+栏杆明细计算书!H47+栏杆明细计算书!H48+栏杆明细计算书!H49+栏杆明细计算书!H52+栏杆明细计算书!H54+栏杆明细计算书!H55+栏杆明细计算书!H57+栏杆明细计算书!H63+栏杆明细计算书!H65</f>
        <v>552.64</v>
      </c>
      <c r="E9" s="95">
        <f>'栏杆综合单价分析表 '!H85</f>
        <v>107.04345</v>
      </c>
      <c r="F9" s="100">
        <v>0.13</v>
      </c>
      <c r="G9" s="95">
        <f t="shared" si="0"/>
        <v>120.9590985</v>
      </c>
      <c r="H9" s="95">
        <f t="shared" si="1"/>
        <v>66846.83619504</v>
      </c>
      <c r="I9" s="107" t="s">
        <v>95</v>
      </c>
    </row>
    <row r="10" ht="73" customHeight="1" spans="1:9">
      <c r="A10" s="98">
        <v>7</v>
      </c>
      <c r="B10" s="98" t="s">
        <v>103</v>
      </c>
      <c r="C10" s="98" t="s">
        <v>92</v>
      </c>
      <c r="D10" s="98">
        <f>栏杆明细计算书!H7+栏杆明细计算书!H31+栏杆明细计算书!H53+栏杆明细计算书!H56+栏杆明细计算书!H58+栏杆明细计算书!H64</f>
        <v>67.84</v>
      </c>
      <c r="E10" s="95">
        <f>E9-'栏杆综合单价分析表 '!K85</f>
        <v>87.8133727272727</v>
      </c>
      <c r="F10" s="100">
        <v>0.13</v>
      </c>
      <c r="G10" s="95">
        <f t="shared" si="0"/>
        <v>99.2291111818182</v>
      </c>
      <c r="H10" s="95">
        <f t="shared" si="1"/>
        <v>6731.70290257455</v>
      </c>
      <c r="I10" s="108" t="s">
        <v>104</v>
      </c>
    </row>
    <row r="11" ht="53" customHeight="1" spans="1:9">
      <c r="A11" s="98">
        <v>8</v>
      </c>
      <c r="B11" s="98" t="s">
        <v>105</v>
      </c>
      <c r="C11" s="98" t="s">
        <v>92</v>
      </c>
      <c r="D11" s="98">
        <f>栏杆明细计算书!H8+栏杆明细计算书!H21+栏杆明细计算书!H32+栏杆明细计算书!H66</f>
        <v>0</v>
      </c>
      <c r="E11" s="95">
        <f>'栏杆综合单价分析表 '!H106</f>
        <v>80.25234</v>
      </c>
      <c r="F11" s="100">
        <v>0.13</v>
      </c>
      <c r="G11" s="95">
        <f t="shared" ref="G11:G24" si="2">E11*(1+F11)</f>
        <v>90.6851442</v>
      </c>
      <c r="H11" s="95">
        <f t="shared" ref="H11:H24" si="3">SUM(D11*G11)</f>
        <v>0</v>
      </c>
      <c r="I11" s="107" t="s">
        <v>106</v>
      </c>
    </row>
    <row r="12" ht="36" spans="1:9">
      <c r="A12" s="98">
        <v>9</v>
      </c>
      <c r="B12" s="98" t="s">
        <v>107</v>
      </c>
      <c r="C12" s="98" t="s">
        <v>92</v>
      </c>
      <c r="D12" s="95">
        <f>栏杆明细计算书!H9+栏杆明细计算书!H10+栏杆明细计算书!H22+栏杆明细计算书!H23+栏杆明细计算书!H33+栏杆明细计算书!H34+栏杆明细计算书!H72+栏杆明细计算书!H73</f>
        <v>416.83</v>
      </c>
      <c r="E12" s="95">
        <f>'栏杆综合单价分析表 '!H127</f>
        <v>80.25234</v>
      </c>
      <c r="F12" s="100">
        <v>0.13</v>
      </c>
      <c r="G12" s="95">
        <f t="shared" si="2"/>
        <v>90.6851442</v>
      </c>
      <c r="H12" s="95">
        <f t="shared" si="3"/>
        <v>37800.288656886</v>
      </c>
      <c r="I12" s="107" t="s">
        <v>108</v>
      </c>
    </row>
    <row r="13" ht="48" spans="1:9">
      <c r="A13" s="98">
        <v>10</v>
      </c>
      <c r="B13" s="98" t="s">
        <v>109</v>
      </c>
      <c r="C13" s="98" t="s">
        <v>92</v>
      </c>
      <c r="D13" s="95">
        <f>栏杆明细计算书!H11+栏杆明细计算书!H12+栏杆明细计算书!H24+栏杆明细计算书!H35+栏杆明细计算书!H36+栏杆明细计算书!H70+栏杆明细计算书!H71</f>
        <v>75.36</v>
      </c>
      <c r="E13" s="95">
        <f>'栏杆综合单价分析表 '!H148</f>
        <v>69.09074</v>
      </c>
      <c r="F13" s="100">
        <v>0.13</v>
      </c>
      <c r="G13" s="95">
        <f t="shared" si="2"/>
        <v>78.0725362</v>
      </c>
      <c r="H13" s="95">
        <f t="shared" si="3"/>
        <v>5883.546328032</v>
      </c>
      <c r="I13" s="107" t="s">
        <v>110</v>
      </c>
    </row>
    <row r="14" ht="48" spans="1:9">
      <c r="A14" s="98">
        <v>11</v>
      </c>
      <c r="B14" s="98" t="s">
        <v>111</v>
      </c>
      <c r="C14" s="98" t="s">
        <v>92</v>
      </c>
      <c r="D14" s="95">
        <f>栏杆明细计算书!H13+栏杆明细计算书!H25+栏杆明细计算书!H74+栏杆明细计算书!H37</f>
        <v>534.852</v>
      </c>
      <c r="E14" s="95">
        <f>'栏杆综合单价分析表 '!H172</f>
        <v>177.43347</v>
      </c>
      <c r="F14" s="100">
        <v>0.13</v>
      </c>
      <c r="G14" s="95">
        <f t="shared" si="2"/>
        <v>200.4998211</v>
      </c>
      <c r="H14" s="95">
        <f>G14*D14</f>
        <v>107237.730314977</v>
      </c>
      <c r="I14" s="107" t="s">
        <v>112</v>
      </c>
    </row>
    <row r="15" ht="48" spans="1:9">
      <c r="A15" s="98">
        <v>12</v>
      </c>
      <c r="B15" s="98" t="s">
        <v>113</v>
      </c>
      <c r="C15" s="98" t="s">
        <v>92</v>
      </c>
      <c r="D15" s="95">
        <f>栏杆明细计算书!H18+栏杆明细计算书!H42+栏杆明细计算书!H79</f>
        <v>94.24</v>
      </c>
      <c r="E15" s="95">
        <f>'栏杆综合单价分析表 '!H194</f>
        <v>156.71475</v>
      </c>
      <c r="F15" s="100">
        <v>0.13</v>
      </c>
      <c r="G15" s="95">
        <f t="shared" si="2"/>
        <v>177.0876675</v>
      </c>
      <c r="H15" s="95">
        <f t="shared" si="3"/>
        <v>16688.7417852</v>
      </c>
      <c r="I15" s="107" t="s">
        <v>114</v>
      </c>
    </row>
    <row r="16" ht="24" spans="1:9">
      <c r="A16" s="98">
        <v>13</v>
      </c>
      <c r="B16" s="98" t="s">
        <v>115</v>
      </c>
      <c r="C16" s="98" t="s">
        <v>92</v>
      </c>
      <c r="D16" s="95">
        <f>栏杆明细计算书!H14+栏杆明细计算书!H26+栏杆明细计算书!H38+栏杆明细计算书!H75</f>
        <v>6</v>
      </c>
      <c r="E16" s="95">
        <f>'栏杆综合单价分析表 '!H215</f>
        <v>46.216</v>
      </c>
      <c r="F16" s="100">
        <v>0.13</v>
      </c>
      <c r="G16" s="95">
        <f t="shared" si="2"/>
        <v>52.22408</v>
      </c>
      <c r="H16" s="95">
        <f t="shared" si="3"/>
        <v>313.34448</v>
      </c>
      <c r="I16" s="107" t="s">
        <v>116</v>
      </c>
    </row>
    <row r="17" ht="36" spans="1:9">
      <c r="A17" s="98">
        <v>14</v>
      </c>
      <c r="B17" s="98" t="s">
        <v>117</v>
      </c>
      <c r="C17" s="98" t="s">
        <v>92</v>
      </c>
      <c r="D17" s="95">
        <f>栏杆明细计算书!H69</f>
        <v>31.2</v>
      </c>
      <c r="E17" s="95">
        <f>'栏杆综合单价分析表 '!H236</f>
        <v>80.25234</v>
      </c>
      <c r="F17" s="100">
        <v>0.13</v>
      </c>
      <c r="G17" s="95">
        <f t="shared" si="2"/>
        <v>90.6851442</v>
      </c>
      <c r="H17" s="95">
        <f t="shared" si="3"/>
        <v>2829.37649904</v>
      </c>
      <c r="I17" s="107" t="s">
        <v>106</v>
      </c>
    </row>
    <row r="18" ht="68" customHeight="1" spans="1:9">
      <c r="A18" s="98">
        <v>15</v>
      </c>
      <c r="B18" s="98" t="s">
        <v>118</v>
      </c>
      <c r="C18" s="98" t="s">
        <v>119</v>
      </c>
      <c r="D18" s="95">
        <f>百叶明细计算书!H12</f>
        <v>160.4394</v>
      </c>
      <c r="E18" s="95">
        <v>214</v>
      </c>
      <c r="F18" s="100">
        <v>0.13</v>
      </c>
      <c r="G18" s="95">
        <f t="shared" si="2"/>
        <v>241.82</v>
      </c>
      <c r="H18" s="95">
        <f t="shared" si="3"/>
        <v>38797.455708</v>
      </c>
      <c r="I18" s="107" t="s">
        <v>120</v>
      </c>
    </row>
    <row r="19" s="85" customFormat="1" ht="44" customHeight="1" spans="1:9">
      <c r="A19" s="98">
        <v>16</v>
      </c>
      <c r="B19" s="101" t="s">
        <v>121</v>
      </c>
      <c r="C19" s="101"/>
      <c r="D19" s="101"/>
      <c r="E19" s="102"/>
      <c r="F19" s="103"/>
      <c r="G19" s="102"/>
      <c r="H19" s="104">
        <f>SUM(H4:H18)</f>
        <v>485135.723167107</v>
      </c>
      <c r="I19" s="101"/>
    </row>
    <row r="20" s="85" customFormat="1" ht="44" customHeight="1" spans="1:9">
      <c r="A20" s="98" t="s">
        <v>61</v>
      </c>
      <c r="B20" s="101" t="s">
        <v>122</v>
      </c>
      <c r="C20" s="101"/>
      <c r="D20" s="101"/>
      <c r="E20" s="102"/>
      <c r="F20" s="103"/>
      <c r="G20" s="102"/>
      <c r="H20" s="104">
        <f>H21+H22</f>
        <v>15141.158949475</v>
      </c>
      <c r="I20" s="101"/>
    </row>
    <row r="21" s="85" customFormat="1" ht="44" customHeight="1" spans="1:9">
      <c r="A21" s="98"/>
      <c r="B21" s="101" t="s">
        <v>123</v>
      </c>
      <c r="C21" s="101" t="s">
        <v>119</v>
      </c>
      <c r="D21" s="101">
        <v>17.42</v>
      </c>
      <c r="E21" s="95">
        <v>214</v>
      </c>
      <c r="F21" s="100">
        <v>0.13</v>
      </c>
      <c r="G21" s="95">
        <f>E21*(1+F21)</f>
        <v>241.82</v>
      </c>
      <c r="H21" s="95">
        <f>SUM(D21*G21)</f>
        <v>4212.5044</v>
      </c>
      <c r="I21" s="101"/>
    </row>
    <row r="22" s="85" customFormat="1" ht="44" customHeight="1" spans="1:9">
      <c r="A22" s="98"/>
      <c r="B22" s="101" t="s">
        <v>124</v>
      </c>
      <c r="C22" s="101" t="s">
        <v>92</v>
      </c>
      <c r="D22" s="101">
        <v>90.35</v>
      </c>
      <c r="E22" s="102">
        <f>E9</f>
        <v>107.04345</v>
      </c>
      <c r="F22" s="100">
        <v>0.13</v>
      </c>
      <c r="G22" s="95">
        <f>E22*(1+F22)</f>
        <v>120.9590985</v>
      </c>
      <c r="H22" s="104">
        <f>G22*D22</f>
        <v>10928.654549475</v>
      </c>
      <c r="I22" s="101"/>
    </row>
    <row r="23" s="85" customFormat="1" ht="44" customHeight="1" spans="1:9">
      <c r="A23" s="98" t="s">
        <v>64</v>
      </c>
      <c r="B23" s="101" t="s">
        <v>125</v>
      </c>
      <c r="C23" s="101"/>
      <c r="D23" s="101"/>
      <c r="E23" s="102"/>
      <c r="F23" s="100"/>
      <c r="G23" s="95"/>
      <c r="H23" s="104">
        <v>-2148.72</v>
      </c>
      <c r="I23" s="101"/>
    </row>
    <row r="24" s="85" customFormat="1" ht="44" customHeight="1" spans="1:9">
      <c r="A24" s="105" t="s">
        <v>68</v>
      </c>
      <c r="B24" s="101" t="s">
        <v>126</v>
      </c>
      <c r="C24" s="101"/>
      <c r="D24" s="101"/>
      <c r="E24" s="102"/>
      <c r="F24" s="103"/>
      <c r="G24" s="102"/>
      <c r="H24" s="104">
        <f>H20+H19+H23</f>
        <v>498128.162116582</v>
      </c>
      <c r="I24" s="101"/>
    </row>
    <row r="25" ht="49" customHeight="1" spans="1:9">
      <c r="A25" s="105" t="s">
        <v>72</v>
      </c>
      <c r="B25" s="101" t="s">
        <v>127</v>
      </c>
      <c r="C25" s="101"/>
      <c r="D25" s="101"/>
      <c r="E25" s="102"/>
      <c r="F25" s="103"/>
      <c r="G25" s="102"/>
      <c r="H25" s="104">
        <v>498000</v>
      </c>
      <c r="I25" s="109"/>
    </row>
  </sheetData>
  <sheetProtection formatCells="0" insertHyperlinks="0" autoFilter="0"/>
  <mergeCells count="1">
    <mergeCell ref="A1:I1"/>
  </mergeCells>
  <printOptions verticalCentered="1"/>
  <pageMargins left="0.109722222222222" right="0.109722222222222" top="0.550694444444444" bottom="0.550694444444444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pane xSplit="7" ySplit="2" topLeftCell="H66" activePane="bottomRight" state="frozen"/>
      <selection/>
      <selection pane="topRight"/>
      <selection pane="bottomLeft"/>
      <selection pane="bottomRight" activeCell="H78" sqref="H78"/>
    </sheetView>
  </sheetViews>
  <sheetFormatPr defaultColWidth="9" defaultRowHeight="13.5"/>
  <cols>
    <col min="1" max="1" width="9" style="1"/>
    <col min="2" max="2" width="10" style="1" customWidth="1"/>
    <col min="3" max="3" width="23.5" style="1" customWidth="1"/>
    <col min="4" max="4" width="12.25" style="1" customWidth="1"/>
    <col min="5" max="5" width="9.25" style="1"/>
    <col min="6" max="7" width="9" style="1"/>
    <col min="8" max="8" width="13.5" style="70" customWidth="1"/>
    <col min="9" max="9" width="17.125" style="43" customWidth="1"/>
    <col min="10" max="16384" width="9" style="43"/>
  </cols>
  <sheetData>
    <row r="1" s="43" customFormat="1" ht="36" customHeight="1" spans="1:9">
      <c r="A1" s="1" t="s">
        <v>128</v>
      </c>
      <c r="B1" s="1"/>
      <c r="C1" s="1"/>
      <c r="D1" s="1"/>
      <c r="E1" s="1"/>
      <c r="F1" s="1"/>
      <c r="G1" s="1"/>
      <c r="H1" s="70"/>
      <c r="I1" s="1"/>
    </row>
    <row r="2" s="43" customFormat="1" ht="36" customHeight="1" spans="1:9">
      <c r="A2" s="3" t="s">
        <v>1</v>
      </c>
      <c r="B2" s="3" t="s">
        <v>129</v>
      </c>
      <c r="C2" s="3" t="s">
        <v>130</v>
      </c>
      <c r="D2" s="3" t="s">
        <v>2</v>
      </c>
      <c r="E2" s="3" t="s">
        <v>131</v>
      </c>
      <c r="F2" s="3" t="s">
        <v>132</v>
      </c>
      <c r="G2" s="3" t="s">
        <v>133</v>
      </c>
      <c r="H2" s="8" t="s">
        <v>134</v>
      </c>
      <c r="I2" s="3" t="s">
        <v>6</v>
      </c>
    </row>
    <row r="3" s="69" customFormat="1" ht="27" customHeight="1" spans="1:9">
      <c r="A3" s="4">
        <v>1</v>
      </c>
      <c r="B3" s="71" t="s">
        <v>135</v>
      </c>
      <c r="C3" s="71" t="s">
        <v>98</v>
      </c>
      <c r="D3" s="72" t="s">
        <v>136</v>
      </c>
      <c r="E3" s="72">
        <f>5.7-0.03</f>
        <v>5.67</v>
      </c>
      <c r="F3" s="4">
        <v>4</v>
      </c>
      <c r="G3" s="4">
        <v>10</v>
      </c>
      <c r="H3" s="73">
        <f t="shared" ref="H3:H7" si="0">E3*F3*G3</f>
        <v>226.8</v>
      </c>
      <c r="I3" s="4"/>
    </row>
    <row r="4" s="69" customFormat="1" ht="27" customHeight="1" spans="1:9">
      <c r="A4" s="4"/>
      <c r="B4" s="71" t="s">
        <v>135</v>
      </c>
      <c r="C4" s="74" t="s">
        <v>100</v>
      </c>
      <c r="D4" s="72" t="s">
        <v>136</v>
      </c>
      <c r="E4" s="72">
        <f>5.7-0.03</f>
        <v>5.67</v>
      </c>
      <c r="F4" s="4">
        <v>4</v>
      </c>
      <c r="G4" s="4">
        <v>2</v>
      </c>
      <c r="H4" s="73">
        <f t="shared" si="0"/>
        <v>45.36</v>
      </c>
      <c r="I4" s="4" t="s">
        <v>137</v>
      </c>
    </row>
    <row r="5" s="69" customFormat="1" ht="27" customHeight="1" spans="1:9">
      <c r="A5" s="4">
        <v>2</v>
      </c>
      <c r="B5" s="71" t="s">
        <v>135</v>
      </c>
      <c r="C5" s="71" t="s">
        <v>102</v>
      </c>
      <c r="D5" s="72" t="s">
        <v>138</v>
      </c>
      <c r="E5" s="72">
        <f>2.7+1.1</f>
        <v>3.8</v>
      </c>
      <c r="F5" s="4">
        <v>4</v>
      </c>
      <c r="G5" s="4">
        <v>10</v>
      </c>
      <c r="H5" s="73">
        <f t="shared" si="0"/>
        <v>152</v>
      </c>
      <c r="I5" s="4"/>
    </row>
    <row r="6" s="69" customFormat="1" ht="27" customHeight="1" spans="1:9">
      <c r="A6" s="4"/>
      <c r="B6" s="71" t="s">
        <v>135</v>
      </c>
      <c r="C6" s="71" t="s">
        <v>102</v>
      </c>
      <c r="D6" s="72" t="s">
        <v>138</v>
      </c>
      <c r="E6" s="72">
        <f>2.7+1.1</f>
        <v>3.8</v>
      </c>
      <c r="F6" s="4">
        <v>2</v>
      </c>
      <c r="G6" s="4">
        <v>2</v>
      </c>
      <c r="H6" s="73">
        <f t="shared" si="0"/>
        <v>15.2</v>
      </c>
      <c r="I6" s="4" t="s">
        <v>139</v>
      </c>
    </row>
    <row r="7" s="69" customFormat="1" ht="27" customHeight="1" spans="1:9">
      <c r="A7" s="4"/>
      <c r="B7" s="71" t="s">
        <v>135</v>
      </c>
      <c r="C7" s="74" t="s">
        <v>103</v>
      </c>
      <c r="D7" s="72" t="s">
        <v>138</v>
      </c>
      <c r="E7" s="72">
        <f>2.7+1.1</f>
        <v>3.8</v>
      </c>
      <c r="F7" s="4">
        <v>2</v>
      </c>
      <c r="G7" s="4">
        <v>2</v>
      </c>
      <c r="H7" s="73">
        <f t="shared" si="0"/>
        <v>15.2</v>
      </c>
      <c r="I7" s="4" t="s">
        <v>137</v>
      </c>
    </row>
    <row r="8" s="69" customFormat="1" ht="27" customHeight="1" spans="1:9">
      <c r="A8" s="4">
        <v>3</v>
      </c>
      <c r="B8" s="71" t="s">
        <v>135</v>
      </c>
      <c r="C8" s="71" t="s">
        <v>105</v>
      </c>
      <c r="D8" s="4" t="s">
        <v>140</v>
      </c>
      <c r="E8" s="4"/>
      <c r="F8" s="4">
        <v>4</v>
      </c>
      <c r="G8" s="4">
        <v>12</v>
      </c>
      <c r="H8" s="73">
        <f t="shared" ref="H8:H15" si="1">E8*F8*G8</f>
        <v>0</v>
      </c>
      <c r="I8" s="79" t="s">
        <v>141</v>
      </c>
    </row>
    <row r="9" s="69" customFormat="1" ht="27" customHeight="1" spans="1:9">
      <c r="A9" s="4">
        <v>4</v>
      </c>
      <c r="B9" s="71" t="s">
        <v>135</v>
      </c>
      <c r="C9" s="75" t="s">
        <v>107</v>
      </c>
      <c r="D9" s="72" t="s">
        <v>142</v>
      </c>
      <c r="E9" s="72">
        <f>2.4+0.6</f>
        <v>3</v>
      </c>
      <c r="F9" s="72">
        <v>2</v>
      </c>
      <c r="G9" s="72">
        <v>12</v>
      </c>
      <c r="H9" s="73">
        <f t="shared" si="1"/>
        <v>72</v>
      </c>
      <c r="I9" s="80"/>
    </row>
    <row r="10" s="69" customFormat="1" ht="27" customHeight="1" spans="1:9">
      <c r="A10" s="4">
        <v>5</v>
      </c>
      <c r="B10" s="71" t="s">
        <v>135</v>
      </c>
      <c r="C10" s="71" t="s">
        <v>107</v>
      </c>
      <c r="D10" s="72" t="s">
        <v>143</v>
      </c>
      <c r="E10" s="72">
        <f>2-0.03</f>
        <v>1.97</v>
      </c>
      <c r="F10" s="72">
        <v>2</v>
      </c>
      <c r="G10" s="72">
        <v>12</v>
      </c>
      <c r="H10" s="73">
        <f t="shared" si="1"/>
        <v>47.28</v>
      </c>
      <c r="I10" s="4"/>
    </row>
    <row r="11" s="69" customFormat="1" ht="27" customHeight="1" spans="1:9">
      <c r="A11" s="4">
        <v>6</v>
      </c>
      <c r="B11" s="71" t="s">
        <v>135</v>
      </c>
      <c r="C11" s="71" t="s">
        <v>109</v>
      </c>
      <c r="D11" s="4" t="s">
        <v>144</v>
      </c>
      <c r="E11" s="4"/>
      <c r="F11" s="4">
        <v>4</v>
      </c>
      <c r="G11" s="4">
        <v>10</v>
      </c>
      <c r="H11" s="73">
        <f t="shared" si="1"/>
        <v>0</v>
      </c>
      <c r="I11" s="79" t="s">
        <v>141</v>
      </c>
    </row>
    <row r="12" s="69" customFormat="1" ht="27" customHeight="1" spans="1:9">
      <c r="A12" s="4">
        <v>7</v>
      </c>
      <c r="B12" s="71" t="s">
        <v>135</v>
      </c>
      <c r="C12" s="71" t="s">
        <v>109</v>
      </c>
      <c r="D12" s="4" t="s">
        <v>145</v>
      </c>
      <c r="E12" s="4"/>
      <c r="F12" s="4">
        <v>4</v>
      </c>
      <c r="G12" s="4">
        <v>2</v>
      </c>
      <c r="H12" s="73">
        <f t="shared" si="1"/>
        <v>0</v>
      </c>
      <c r="I12" s="79" t="s">
        <v>141</v>
      </c>
    </row>
    <row r="13" s="69" customFormat="1" ht="32" customHeight="1" spans="1:9">
      <c r="A13" s="4">
        <v>8</v>
      </c>
      <c r="B13" s="71" t="s">
        <v>135</v>
      </c>
      <c r="C13" s="71" t="s">
        <v>111</v>
      </c>
      <c r="D13" s="71" t="s">
        <v>146</v>
      </c>
      <c r="E13" s="5">
        <f>1.82*2*1.25+1.63+2.08*2*11*1.25+1.15+(1.82*1.25+1.93)</f>
        <v>68.735</v>
      </c>
      <c r="F13" s="4">
        <v>2</v>
      </c>
      <c r="G13" s="4">
        <v>1</v>
      </c>
      <c r="H13" s="73">
        <f t="shared" si="1"/>
        <v>137.47</v>
      </c>
      <c r="I13" s="4"/>
    </row>
    <row r="14" s="69" customFormat="1" ht="32" customHeight="1" spans="1:9">
      <c r="A14" s="4">
        <v>9</v>
      </c>
      <c r="B14" s="71" t="s">
        <v>135</v>
      </c>
      <c r="C14" s="71" t="s">
        <v>115</v>
      </c>
      <c r="D14" s="71" t="s">
        <v>147</v>
      </c>
      <c r="E14" s="5"/>
      <c r="F14" s="4">
        <v>2</v>
      </c>
      <c r="G14" s="4">
        <v>1</v>
      </c>
      <c r="H14" s="73">
        <f t="shared" si="1"/>
        <v>0</v>
      </c>
      <c r="I14" s="79" t="s">
        <v>141</v>
      </c>
    </row>
    <row r="15" s="69" customFormat="1" ht="32" customHeight="1" spans="1:9">
      <c r="A15" s="4">
        <v>10</v>
      </c>
      <c r="B15" s="71" t="s">
        <v>135</v>
      </c>
      <c r="C15" s="75" t="s">
        <v>91</v>
      </c>
      <c r="D15" s="71" t="s">
        <v>148</v>
      </c>
      <c r="E15" s="76">
        <f>4.3+4.2+4.2</f>
        <v>12.7</v>
      </c>
      <c r="F15" s="4">
        <v>1</v>
      </c>
      <c r="G15" s="4">
        <v>1</v>
      </c>
      <c r="H15" s="73">
        <f t="shared" si="1"/>
        <v>12.7</v>
      </c>
      <c r="I15" s="81"/>
    </row>
    <row r="16" s="69" customFormat="1" ht="32" customHeight="1" spans="1:9">
      <c r="A16" s="4">
        <v>11</v>
      </c>
      <c r="B16" s="71" t="s">
        <v>135</v>
      </c>
      <c r="C16" s="75" t="s">
        <v>91</v>
      </c>
      <c r="D16" s="75" t="s">
        <v>149</v>
      </c>
      <c r="E16" s="76">
        <v>9.7</v>
      </c>
      <c r="F16" s="4">
        <v>1</v>
      </c>
      <c r="G16" s="4">
        <v>1</v>
      </c>
      <c r="H16" s="73">
        <f t="shared" ref="H16:H19" si="2">E16*F16*G16</f>
        <v>9.7</v>
      </c>
      <c r="I16" s="81"/>
    </row>
    <row r="17" s="69" customFormat="1" ht="32" customHeight="1" spans="1:9">
      <c r="A17" s="4">
        <v>12</v>
      </c>
      <c r="B17" s="71" t="s">
        <v>135</v>
      </c>
      <c r="C17" s="74" t="s">
        <v>96</v>
      </c>
      <c r="D17" s="75" t="s">
        <v>150</v>
      </c>
      <c r="E17" s="76">
        <f>2.83</f>
        <v>2.83</v>
      </c>
      <c r="F17" s="4">
        <v>2</v>
      </c>
      <c r="G17" s="4">
        <v>1</v>
      </c>
      <c r="H17" s="73">
        <f t="shared" si="2"/>
        <v>5.66</v>
      </c>
      <c r="I17" s="81"/>
    </row>
    <row r="18" s="69" customFormat="1" ht="32" customHeight="1" spans="1:9">
      <c r="A18" s="4">
        <v>13</v>
      </c>
      <c r="B18" s="71" t="s">
        <v>135</v>
      </c>
      <c r="C18" s="74" t="s">
        <v>151</v>
      </c>
      <c r="D18" s="71" t="s">
        <v>152</v>
      </c>
      <c r="E18" s="76">
        <f>3.65*2*2</f>
        <v>14.6</v>
      </c>
      <c r="F18" s="4">
        <v>2</v>
      </c>
      <c r="G18" s="4">
        <v>1</v>
      </c>
      <c r="H18" s="73">
        <f t="shared" si="2"/>
        <v>29.2</v>
      </c>
      <c r="I18" s="81"/>
    </row>
    <row r="19" s="69" customFormat="1" ht="27" customHeight="1" spans="1:9">
      <c r="A19" s="4">
        <v>14</v>
      </c>
      <c r="B19" s="71" t="s">
        <v>153</v>
      </c>
      <c r="C19" s="71" t="s">
        <v>98</v>
      </c>
      <c r="D19" s="75" t="s">
        <v>154</v>
      </c>
      <c r="E19" s="72">
        <v>6.37</v>
      </c>
      <c r="F19" s="4">
        <v>6</v>
      </c>
      <c r="G19" s="4">
        <v>6</v>
      </c>
      <c r="H19" s="73">
        <f t="shared" si="2"/>
        <v>229.32</v>
      </c>
      <c r="I19" s="4"/>
    </row>
    <row r="20" s="69" customFormat="1" ht="27" customHeight="1" spans="1:9">
      <c r="A20" s="4"/>
      <c r="B20" s="71" t="s">
        <v>153</v>
      </c>
      <c r="C20" s="71" t="s">
        <v>100</v>
      </c>
      <c r="D20" s="75" t="s">
        <v>154</v>
      </c>
      <c r="E20" s="72">
        <v>6.37</v>
      </c>
      <c r="F20" s="4">
        <v>6</v>
      </c>
      <c r="G20" s="4">
        <v>2</v>
      </c>
      <c r="H20" s="73">
        <f>E20*F20*G20-E20</f>
        <v>70.07</v>
      </c>
      <c r="I20" s="81" t="s">
        <v>155</v>
      </c>
    </row>
    <row r="21" s="69" customFormat="1" ht="27" customHeight="1" spans="1:9">
      <c r="A21" s="4">
        <v>15</v>
      </c>
      <c r="B21" s="71" t="s">
        <v>153</v>
      </c>
      <c r="C21" s="71" t="s">
        <v>105</v>
      </c>
      <c r="D21" s="71" t="s">
        <v>156</v>
      </c>
      <c r="E21" s="4"/>
      <c r="F21" s="4">
        <v>6</v>
      </c>
      <c r="G21" s="4">
        <v>8</v>
      </c>
      <c r="H21" s="73">
        <f t="shared" ref="H21:H42" si="3">E21*F21*G21</f>
        <v>0</v>
      </c>
      <c r="I21" s="79" t="s">
        <v>157</v>
      </c>
    </row>
    <row r="22" s="69" customFormat="1" ht="27" customHeight="1" spans="1:9">
      <c r="A22" s="4">
        <v>16</v>
      </c>
      <c r="B22" s="71" t="s">
        <v>153</v>
      </c>
      <c r="C22" s="71" t="s">
        <v>107</v>
      </c>
      <c r="D22" s="75" t="s">
        <v>158</v>
      </c>
      <c r="E22" s="72">
        <f>2.3+0.57</f>
        <v>2.87</v>
      </c>
      <c r="F22" s="4">
        <v>2</v>
      </c>
      <c r="G22" s="4">
        <v>8</v>
      </c>
      <c r="H22" s="73">
        <f t="shared" si="3"/>
        <v>45.92</v>
      </c>
      <c r="I22" s="4"/>
    </row>
    <row r="23" s="69" customFormat="1" ht="27" customHeight="1" spans="1:10">
      <c r="A23" s="4">
        <v>17</v>
      </c>
      <c r="B23" s="71" t="s">
        <v>153</v>
      </c>
      <c r="C23" s="71" t="s">
        <v>107</v>
      </c>
      <c r="D23" s="75" t="s">
        <v>159</v>
      </c>
      <c r="E23" s="72">
        <v>2.07</v>
      </c>
      <c r="F23" s="4">
        <v>4</v>
      </c>
      <c r="G23" s="4">
        <v>8</v>
      </c>
      <c r="H23" s="73">
        <f>E23*F23*G23-E23</f>
        <v>64.17</v>
      </c>
      <c r="I23" s="4" t="s">
        <v>160</v>
      </c>
      <c r="J23" s="69" t="s">
        <v>161</v>
      </c>
    </row>
    <row r="24" s="69" customFormat="1" ht="27" customHeight="1" spans="1:9">
      <c r="A24" s="4">
        <v>18</v>
      </c>
      <c r="B24" s="71" t="s">
        <v>153</v>
      </c>
      <c r="C24" s="71" t="s">
        <v>109</v>
      </c>
      <c r="D24" s="71" t="s">
        <v>162</v>
      </c>
      <c r="E24" s="4"/>
      <c r="F24" s="4">
        <v>6</v>
      </c>
      <c r="G24" s="4">
        <v>1</v>
      </c>
      <c r="H24" s="73">
        <f t="shared" si="3"/>
        <v>0</v>
      </c>
      <c r="I24" s="4" t="s">
        <v>157</v>
      </c>
    </row>
    <row r="25" s="69" customFormat="1" ht="32" customHeight="1" spans="1:9">
      <c r="A25" s="4">
        <v>19</v>
      </c>
      <c r="B25" s="71" t="s">
        <v>153</v>
      </c>
      <c r="C25" s="77" t="s">
        <v>111</v>
      </c>
      <c r="D25" s="71" t="s">
        <v>146</v>
      </c>
      <c r="E25" s="5">
        <f>(0.8+2.3+1.3)*1.25+2.08*2*6*1.25+1.2</f>
        <v>37.9</v>
      </c>
      <c r="F25" s="4">
        <v>3</v>
      </c>
      <c r="G25" s="4">
        <v>1</v>
      </c>
      <c r="H25" s="73">
        <f t="shared" si="3"/>
        <v>113.7</v>
      </c>
      <c r="I25" s="4"/>
    </row>
    <row r="26" s="69" customFormat="1" ht="32" customHeight="1" spans="1:9">
      <c r="A26" s="4">
        <v>20</v>
      </c>
      <c r="B26" s="71" t="s">
        <v>153</v>
      </c>
      <c r="C26" s="71" t="s">
        <v>115</v>
      </c>
      <c r="D26" s="71" t="s">
        <v>147</v>
      </c>
      <c r="E26" s="5"/>
      <c r="F26" s="4">
        <v>3</v>
      </c>
      <c r="G26" s="4">
        <v>1</v>
      </c>
      <c r="H26" s="73">
        <f t="shared" si="3"/>
        <v>0</v>
      </c>
      <c r="I26" s="4" t="s">
        <v>157</v>
      </c>
    </row>
    <row r="27" s="69" customFormat="1" ht="29.1" customHeight="1" spans="1:9">
      <c r="A27" s="4">
        <v>21</v>
      </c>
      <c r="B27" s="71" t="s">
        <v>163</v>
      </c>
      <c r="C27" s="71" t="s">
        <v>98</v>
      </c>
      <c r="D27" s="72" t="s">
        <v>136</v>
      </c>
      <c r="E27" s="72">
        <f>5.7-0.03</f>
        <v>5.67</v>
      </c>
      <c r="F27" s="4">
        <v>4</v>
      </c>
      <c r="G27" s="4">
        <v>10</v>
      </c>
      <c r="H27" s="73">
        <f t="shared" si="3"/>
        <v>226.8</v>
      </c>
      <c r="I27" s="4"/>
    </row>
    <row r="28" s="69" customFormat="1" ht="29.1" customHeight="1" spans="1:9">
      <c r="A28" s="4">
        <v>22</v>
      </c>
      <c r="B28" s="71" t="s">
        <v>163</v>
      </c>
      <c r="C28" s="74" t="s">
        <v>100</v>
      </c>
      <c r="D28" s="72" t="s">
        <v>136</v>
      </c>
      <c r="E28" s="72">
        <f>5.7-0.03</f>
        <v>5.67</v>
      </c>
      <c r="F28" s="4">
        <v>4</v>
      </c>
      <c r="G28" s="4">
        <v>2</v>
      </c>
      <c r="H28" s="73">
        <f t="shared" si="3"/>
        <v>45.36</v>
      </c>
      <c r="I28" s="4" t="s">
        <v>137</v>
      </c>
    </row>
    <row r="29" s="69" customFormat="1" ht="29.1" customHeight="1" spans="1:9">
      <c r="A29" s="4">
        <v>23</v>
      </c>
      <c r="B29" s="71" t="s">
        <v>163</v>
      </c>
      <c r="C29" s="71" t="s">
        <v>102</v>
      </c>
      <c r="D29" s="72" t="s">
        <v>138</v>
      </c>
      <c r="E29" s="72">
        <f t="shared" ref="E29:E31" si="4">2.7+1.1</f>
        <v>3.8</v>
      </c>
      <c r="F29" s="4">
        <v>4</v>
      </c>
      <c r="G29" s="4">
        <v>10</v>
      </c>
      <c r="H29" s="73">
        <f t="shared" si="3"/>
        <v>152</v>
      </c>
      <c r="I29" s="4"/>
    </row>
    <row r="30" s="69" customFormat="1" ht="29.1" customHeight="1" spans="1:9">
      <c r="A30" s="4">
        <v>24</v>
      </c>
      <c r="B30" s="71" t="s">
        <v>163</v>
      </c>
      <c r="C30" s="71" t="s">
        <v>102</v>
      </c>
      <c r="D30" s="72" t="s">
        <v>138</v>
      </c>
      <c r="E30" s="72">
        <f t="shared" si="4"/>
        <v>3.8</v>
      </c>
      <c r="F30" s="4">
        <v>2</v>
      </c>
      <c r="G30" s="4">
        <v>2</v>
      </c>
      <c r="H30" s="73">
        <f t="shared" si="3"/>
        <v>15.2</v>
      </c>
      <c r="I30" s="4" t="s">
        <v>139</v>
      </c>
    </row>
    <row r="31" s="69" customFormat="1" ht="29.1" customHeight="1" spans="1:9">
      <c r="A31" s="4">
        <v>25</v>
      </c>
      <c r="B31" s="71" t="s">
        <v>163</v>
      </c>
      <c r="C31" s="74" t="s">
        <v>103</v>
      </c>
      <c r="D31" s="72" t="s">
        <v>138</v>
      </c>
      <c r="E31" s="72">
        <f t="shared" si="4"/>
        <v>3.8</v>
      </c>
      <c r="F31" s="4">
        <v>2</v>
      </c>
      <c r="G31" s="4">
        <v>2</v>
      </c>
      <c r="H31" s="73">
        <f t="shared" si="3"/>
        <v>15.2</v>
      </c>
      <c r="I31" s="4" t="s">
        <v>137</v>
      </c>
    </row>
    <row r="32" s="69" customFormat="1" ht="29.1" customHeight="1" spans="1:9">
      <c r="A32" s="4">
        <v>26</v>
      </c>
      <c r="B32" s="71" t="s">
        <v>163</v>
      </c>
      <c r="C32" s="71" t="s">
        <v>105</v>
      </c>
      <c r="D32" s="4" t="s">
        <v>140</v>
      </c>
      <c r="E32" s="4"/>
      <c r="F32" s="4">
        <v>4</v>
      </c>
      <c r="G32" s="4">
        <v>12</v>
      </c>
      <c r="H32" s="73">
        <f t="shared" si="3"/>
        <v>0</v>
      </c>
      <c r="I32" s="79" t="s">
        <v>141</v>
      </c>
    </row>
    <row r="33" s="69" customFormat="1" ht="29.1" customHeight="1" spans="1:9">
      <c r="A33" s="4">
        <v>27</v>
      </c>
      <c r="B33" s="71" t="s">
        <v>163</v>
      </c>
      <c r="C33" s="75" t="s">
        <v>107</v>
      </c>
      <c r="D33" s="72" t="s">
        <v>142</v>
      </c>
      <c r="E33" s="72">
        <f>2.4+0.6</f>
        <v>3</v>
      </c>
      <c r="F33" s="72">
        <v>2</v>
      </c>
      <c r="G33" s="72">
        <v>12</v>
      </c>
      <c r="H33" s="73">
        <f t="shared" si="3"/>
        <v>72</v>
      </c>
      <c r="I33" s="80"/>
    </row>
    <row r="34" s="69" customFormat="1" ht="32" customHeight="1" spans="1:9">
      <c r="A34" s="4">
        <v>28</v>
      </c>
      <c r="B34" s="71" t="s">
        <v>163</v>
      </c>
      <c r="C34" s="71" t="s">
        <v>107</v>
      </c>
      <c r="D34" s="72" t="s">
        <v>143</v>
      </c>
      <c r="E34" s="72">
        <f>2-0.03</f>
        <v>1.97</v>
      </c>
      <c r="F34" s="72">
        <v>2</v>
      </c>
      <c r="G34" s="72">
        <v>12</v>
      </c>
      <c r="H34" s="73">
        <f t="shared" si="3"/>
        <v>47.28</v>
      </c>
      <c r="I34" s="4"/>
    </row>
    <row r="35" s="69" customFormat="1" ht="32" customHeight="1" spans="1:9">
      <c r="A35" s="4">
        <v>29</v>
      </c>
      <c r="B35" s="71" t="s">
        <v>163</v>
      </c>
      <c r="C35" s="71" t="s">
        <v>109</v>
      </c>
      <c r="D35" s="4" t="s">
        <v>144</v>
      </c>
      <c r="E35" s="4"/>
      <c r="F35" s="4">
        <v>4</v>
      </c>
      <c r="G35" s="4">
        <v>10</v>
      </c>
      <c r="H35" s="73">
        <f t="shared" si="3"/>
        <v>0</v>
      </c>
      <c r="I35" s="79" t="s">
        <v>141</v>
      </c>
    </row>
    <row r="36" s="69" customFormat="1" ht="32" customHeight="1" spans="1:9">
      <c r="A36" s="4">
        <v>30</v>
      </c>
      <c r="B36" s="71" t="s">
        <v>163</v>
      </c>
      <c r="C36" s="71" t="s">
        <v>109</v>
      </c>
      <c r="D36" s="4" t="s">
        <v>145</v>
      </c>
      <c r="E36" s="4"/>
      <c r="F36" s="4">
        <v>4</v>
      </c>
      <c r="G36" s="4">
        <v>2</v>
      </c>
      <c r="H36" s="73">
        <f t="shared" si="3"/>
        <v>0</v>
      </c>
      <c r="I36" s="79" t="s">
        <v>141</v>
      </c>
    </row>
    <row r="37" s="69" customFormat="1" ht="32" customHeight="1" spans="1:9">
      <c r="A37" s="4">
        <v>31</v>
      </c>
      <c r="B37" s="71" t="s">
        <v>163</v>
      </c>
      <c r="C37" s="71" t="s">
        <v>111</v>
      </c>
      <c r="D37" s="71" t="s">
        <v>146</v>
      </c>
      <c r="E37" s="5">
        <f>1.82*2*1.25+1.63+2.08*2*11*1.25+1.15+(1.82*1.25+1.93)</f>
        <v>68.735</v>
      </c>
      <c r="F37" s="4">
        <v>2</v>
      </c>
      <c r="G37" s="4">
        <v>1</v>
      </c>
      <c r="H37" s="73">
        <f t="shared" si="3"/>
        <v>137.47</v>
      </c>
      <c r="I37" s="4"/>
    </row>
    <row r="38" s="69" customFormat="1" ht="32" customHeight="1" spans="1:9">
      <c r="A38" s="4">
        <v>32</v>
      </c>
      <c r="B38" s="71" t="s">
        <v>163</v>
      </c>
      <c r="C38" s="71" t="s">
        <v>115</v>
      </c>
      <c r="D38" s="71" t="s">
        <v>147</v>
      </c>
      <c r="E38" s="5"/>
      <c r="F38" s="4">
        <v>2</v>
      </c>
      <c r="G38" s="4">
        <v>1</v>
      </c>
      <c r="H38" s="73">
        <f t="shared" si="3"/>
        <v>0</v>
      </c>
      <c r="I38" s="79" t="s">
        <v>141</v>
      </c>
    </row>
    <row r="39" s="69" customFormat="1" ht="32" customHeight="1" spans="1:9">
      <c r="A39" s="4">
        <v>33</v>
      </c>
      <c r="B39" s="71" t="s">
        <v>163</v>
      </c>
      <c r="C39" s="75" t="s">
        <v>91</v>
      </c>
      <c r="D39" s="71" t="s">
        <v>148</v>
      </c>
      <c r="E39" s="76">
        <f>4.3+4.2+4.2</f>
        <v>12.7</v>
      </c>
      <c r="F39" s="4">
        <v>1</v>
      </c>
      <c r="G39" s="4">
        <v>1</v>
      </c>
      <c r="H39" s="73">
        <f t="shared" si="3"/>
        <v>12.7</v>
      </c>
      <c r="I39" s="81"/>
    </row>
    <row r="40" s="69" customFormat="1" ht="32" customHeight="1" spans="1:9">
      <c r="A40" s="4"/>
      <c r="B40" s="71" t="s">
        <v>163</v>
      </c>
      <c r="C40" s="75" t="s">
        <v>91</v>
      </c>
      <c r="D40" s="75" t="s">
        <v>149</v>
      </c>
      <c r="E40" s="76">
        <v>9.7</v>
      </c>
      <c r="F40" s="4">
        <v>1</v>
      </c>
      <c r="G40" s="4">
        <v>1</v>
      </c>
      <c r="H40" s="73">
        <f t="shared" si="3"/>
        <v>9.7</v>
      </c>
      <c r="I40" s="81"/>
    </row>
    <row r="41" s="69" customFormat="1" ht="32" customHeight="1" spans="1:9">
      <c r="A41" s="4"/>
      <c r="B41" s="71" t="s">
        <v>163</v>
      </c>
      <c r="C41" s="74" t="s">
        <v>96</v>
      </c>
      <c r="D41" s="75" t="s">
        <v>150</v>
      </c>
      <c r="E41" s="76">
        <f>2.83</f>
        <v>2.83</v>
      </c>
      <c r="F41" s="4">
        <v>2</v>
      </c>
      <c r="G41" s="4">
        <v>1</v>
      </c>
      <c r="H41" s="73">
        <f t="shared" si="3"/>
        <v>5.66</v>
      </c>
      <c r="I41" s="81"/>
    </row>
    <row r="42" s="69" customFormat="1" ht="32" customHeight="1" spans="1:9">
      <c r="A42" s="4"/>
      <c r="B42" s="71" t="s">
        <v>163</v>
      </c>
      <c r="C42" s="74" t="s">
        <v>151</v>
      </c>
      <c r="D42" s="78" t="s">
        <v>152</v>
      </c>
      <c r="E42" s="76">
        <f>3.65*2*2</f>
        <v>14.6</v>
      </c>
      <c r="F42" s="4">
        <v>2</v>
      </c>
      <c r="G42" s="4">
        <v>1</v>
      </c>
      <c r="H42" s="73">
        <f t="shared" si="3"/>
        <v>29.2</v>
      </c>
      <c r="I42" s="81"/>
    </row>
    <row r="43" s="69" customFormat="1" ht="29.1" customHeight="1" spans="1:9">
      <c r="A43" s="4">
        <v>34</v>
      </c>
      <c r="B43" s="71" t="s">
        <v>164</v>
      </c>
      <c r="C43" s="71" t="s">
        <v>98</v>
      </c>
      <c r="D43" s="75" t="s">
        <v>165</v>
      </c>
      <c r="E43" s="72">
        <v>4.8</v>
      </c>
      <c r="F43" s="4">
        <v>2</v>
      </c>
      <c r="G43" s="4">
        <v>9</v>
      </c>
      <c r="H43" s="73">
        <f t="shared" ref="H43:H46" si="5">E43*F43*G43</f>
        <v>86.4</v>
      </c>
      <c r="I43" s="4"/>
    </row>
    <row r="44" s="69" customFormat="1" ht="29.1" customHeight="1" spans="1:9">
      <c r="A44" s="4"/>
      <c r="B44" s="71" t="s">
        <v>164</v>
      </c>
      <c r="C44" s="71" t="s">
        <v>100</v>
      </c>
      <c r="D44" s="75" t="s">
        <v>165</v>
      </c>
      <c r="E44" s="72">
        <v>4.8</v>
      </c>
      <c r="F44" s="4">
        <v>2</v>
      </c>
      <c r="G44" s="4">
        <v>2</v>
      </c>
      <c r="H44" s="73">
        <f t="shared" si="5"/>
        <v>19.2</v>
      </c>
      <c r="I44" s="4" t="s">
        <v>137</v>
      </c>
    </row>
    <row r="45" s="69" customFormat="1" ht="29.1" customHeight="1" spans="1:9">
      <c r="A45" s="4">
        <v>35</v>
      </c>
      <c r="B45" s="71" t="s">
        <v>164</v>
      </c>
      <c r="C45" s="75" t="s">
        <v>102</v>
      </c>
      <c r="D45" s="75" t="s">
        <v>166</v>
      </c>
      <c r="E45" s="72">
        <v>1.27</v>
      </c>
      <c r="F45" s="4">
        <v>2</v>
      </c>
      <c r="G45" s="4">
        <v>9</v>
      </c>
      <c r="H45" s="73">
        <f t="shared" si="5"/>
        <v>22.86</v>
      </c>
      <c r="I45" s="4"/>
    </row>
    <row r="46" s="69" customFormat="1" ht="29.1" customHeight="1" spans="1:9">
      <c r="A46" s="4"/>
      <c r="B46" s="71" t="s">
        <v>164</v>
      </c>
      <c r="C46" s="75" t="s">
        <v>102</v>
      </c>
      <c r="D46" s="75" t="s">
        <v>166</v>
      </c>
      <c r="E46" s="72">
        <v>1.27</v>
      </c>
      <c r="F46" s="4">
        <v>2</v>
      </c>
      <c r="G46" s="4">
        <v>2</v>
      </c>
      <c r="H46" s="73">
        <f t="shared" si="5"/>
        <v>5.08</v>
      </c>
      <c r="I46" s="4" t="s">
        <v>137</v>
      </c>
    </row>
    <row r="47" s="69" customFormat="1" ht="29.1" customHeight="1" spans="1:9">
      <c r="A47" s="4">
        <v>36</v>
      </c>
      <c r="B47" s="71" t="s">
        <v>164</v>
      </c>
      <c r="C47" s="71" t="s">
        <v>102</v>
      </c>
      <c r="D47" s="71" t="s">
        <v>167</v>
      </c>
      <c r="E47" s="4">
        <v>1.3</v>
      </c>
      <c r="F47" s="4"/>
      <c r="G47" s="4">
        <v>11</v>
      </c>
      <c r="H47" s="73">
        <f t="shared" ref="H47:H51" si="6">E47*F47*G47</f>
        <v>0</v>
      </c>
      <c r="I47" s="4" t="s">
        <v>157</v>
      </c>
    </row>
    <row r="48" s="69" customFormat="1" ht="29.1" customHeight="1" spans="1:9">
      <c r="A48" s="4">
        <v>37</v>
      </c>
      <c r="B48" s="71" t="s">
        <v>164</v>
      </c>
      <c r="C48" s="71" t="s">
        <v>102</v>
      </c>
      <c r="D48" s="71" t="s">
        <v>167</v>
      </c>
      <c r="E48" s="4">
        <v>1.3</v>
      </c>
      <c r="F48" s="4"/>
      <c r="G48" s="4">
        <v>1</v>
      </c>
      <c r="H48" s="73">
        <f t="shared" si="6"/>
        <v>0</v>
      </c>
      <c r="I48" s="4" t="s">
        <v>157</v>
      </c>
    </row>
    <row r="49" s="69" customFormat="1" ht="29.1" customHeight="1" spans="1:9">
      <c r="A49" s="4">
        <v>38</v>
      </c>
      <c r="B49" s="71" t="s">
        <v>164</v>
      </c>
      <c r="C49" s="71" t="s">
        <v>102</v>
      </c>
      <c r="D49" s="75" t="s">
        <v>168</v>
      </c>
      <c r="E49" s="72">
        <v>1.55</v>
      </c>
      <c r="F49" s="4">
        <v>2</v>
      </c>
      <c r="G49" s="4">
        <v>1</v>
      </c>
      <c r="H49" s="73">
        <f t="shared" si="6"/>
        <v>3.1</v>
      </c>
      <c r="I49" s="4"/>
    </row>
    <row r="50" s="69" customFormat="1" ht="29.1" customHeight="1" spans="1:9">
      <c r="A50" s="4">
        <v>39</v>
      </c>
      <c r="B50" s="71" t="s">
        <v>164</v>
      </c>
      <c r="C50" s="71" t="s">
        <v>98</v>
      </c>
      <c r="D50" s="75" t="s">
        <v>169</v>
      </c>
      <c r="E50" s="72">
        <v>5.27</v>
      </c>
      <c r="F50" s="4">
        <v>2</v>
      </c>
      <c r="G50" s="4">
        <v>10</v>
      </c>
      <c r="H50" s="73">
        <f t="shared" si="6"/>
        <v>105.4</v>
      </c>
      <c r="I50" s="4"/>
    </row>
    <row r="51" s="69" customFormat="1" ht="29.1" customHeight="1" spans="1:9">
      <c r="A51" s="4"/>
      <c r="B51" s="71" t="s">
        <v>164</v>
      </c>
      <c r="C51" s="71" t="s">
        <v>100</v>
      </c>
      <c r="D51" s="75" t="s">
        <v>169</v>
      </c>
      <c r="E51" s="72">
        <v>5.27</v>
      </c>
      <c r="F51" s="4">
        <v>2</v>
      </c>
      <c r="G51" s="4">
        <v>2</v>
      </c>
      <c r="H51" s="73">
        <f t="shared" si="6"/>
        <v>21.08</v>
      </c>
      <c r="I51" s="4" t="s">
        <v>137</v>
      </c>
    </row>
    <row r="52" s="69" customFormat="1" ht="29.1" customHeight="1" spans="1:9">
      <c r="A52" s="4">
        <v>40</v>
      </c>
      <c r="B52" s="71" t="s">
        <v>164</v>
      </c>
      <c r="C52" s="71" t="s">
        <v>102</v>
      </c>
      <c r="D52" s="75" t="s">
        <v>170</v>
      </c>
      <c r="E52" s="72">
        <v>1.58</v>
      </c>
      <c r="F52" s="4">
        <v>4</v>
      </c>
      <c r="G52" s="4">
        <v>10</v>
      </c>
      <c r="H52" s="73">
        <f t="shared" ref="H52:H56" si="7">E52*F52*G52</f>
        <v>63.2</v>
      </c>
      <c r="I52" s="4"/>
    </row>
    <row r="53" s="69" customFormat="1" ht="29.1" customHeight="1" spans="1:9">
      <c r="A53" s="4"/>
      <c r="B53" s="71" t="s">
        <v>164</v>
      </c>
      <c r="C53" s="71" t="s">
        <v>103</v>
      </c>
      <c r="D53" s="75" t="s">
        <v>170</v>
      </c>
      <c r="E53" s="72">
        <v>1.58</v>
      </c>
      <c r="F53" s="4">
        <v>4</v>
      </c>
      <c r="G53" s="4">
        <v>2</v>
      </c>
      <c r="H53" s="73">
        <f t="shared" si="7"/>
        <v>12.64</v>
      </c>
      <c r="I53" s="4" t="s">
        <v>137</v>
      </c>
    </row>
    <row r="54" s="69" customFormat="1" ht="29.1" customHeight="1" spans="1:9">
      <c r="A54" s="4">
        <v>41</v>
      </c>
      <c r="B54" s="71" t="s">
        <v>164</v>
      </c>
      <c r="C54" s="71" t="s">
        <v>102</v>
      </c>
      <c r="D54" s="71" t="s">
        <v>171</v>
      </c>
      <c r="E54" s="4">
        <v>0</v>
      </c>
      <c r="F54" s="4">
        <v>4</v>
      </c>
      <c r="G54" s="4">
        <v>12</v>
      </c>
      <c r="H54" s="73">
        <f t="shared" si="7"/>
        <v>0</v>
      </c>
      <c r="I54" s="4" t="s">
        <v>141</v>
      </c>
    </row>
    <row r="55" s="69" customFormat="1" ht="29.1" customHeight="1" spans="1:9">
      <c r="A55" s="4">
        <v>42</v>
      </c>
      <c r="B55" s="71" t="s">
        <v>164</v>
      </c>
      <c r="C55" s="71" t="s">
        <v>102</v>
      </c>
      <c r="D55" s="75" t="s">
        <v>172</v>
      </c>
      <c r="E55" s="72">
        <v>1.26</v>
      </c>
      <c r="F55" s="4">
        <v>2</v>
      </c>
      <c r="G55" s="4">
        <v>10</v>
      </c>
      <c r="H55" s="73">
        <f t="shared" si="7"/>
        <v>25.2</v>
      </c>
      <c r="I55" s="4"/>
    </row>
    <row r="56" s="69" customFormat="1" ht="29.1" customHeight="1" spans="1:9">
      <c r="A56" s="4"/>
      <c r="B56" s="71" t="s">
        <v>164</v>
      </c>
      <c r="C56" s="71" t="s">
        <v>103</v>
      </c>
      <c r="D56" s="75" t="s">
        <v>172</v>
      </c>
      <c r="E56" s="72">
        <v>1.26</v>
      </c>
      <c r="F56" s="4">
        <v>2</v>
      </c>
      <c r="G56" s="4">
        <v>2</v>
      </c>
      <c r="H56" s="73">
        <f t="shared" si="7"/>
        <v>5.04</v>
      </c>
      <c r="I56" s="4" t="s">
        <v>137</v>
      </c>
    </row>
    <row r="57" s="69" customFormat="1" ht="29.1" customHeight="1" spans="1:9">
      <c r="A57" s="4">
        <v>43</v>
      </c>
      <c r="B57" s="71" t="s">
        <v>164</v>
      </c>
      <c r="C57" s="71" t="s">
        <v>102</v>
      </c>
      <c r="D57" s="75" t="s">
        <v>173</v>
      </c>
      <c r="E57" s="72">
        <f>1.97+1.4</f>
        <v>3.37</v>
      </c>
      <c r="F57" s="4">
        <v>2</v>
      </c>
      <c r="G57" s="4">
        <v>10</v>
      </c>
      <c r="H57" s="73">
        <f t="shared" ref="H57:H60" si="8">E57*F57*G57</f>
        <v>67.4</v>
      </c>
      <c r="I57" s="4"/>
    </row>
    <row r="58" s="69" customFormat="1" ht="29.1" customHeight="1" spans="1:9">
      <c r="A58" s="4"/>
      <c r="B58" s="71" t="s">
        <v>164</v>
      </c>
      <c r="C58" s="71" t="s">
        <v>103</v>
      </c>
      <c r="D58" s="75" t="s">
        <v>173</v>
      </c>
      <c r="E58" s="72">
        <f>1.97+1.4</f>
        <v>3.37</v>
      </c>
      <c r="F58" s="4">
        <v>2</v>
      </c>
      <c r="G58" s="4">
        <v>2</v>
      </c>
      <c r="H58" s="73">
        <f t="shared" si="8"/>
        <v>13.48</v>
      </c>
      <c r="I58" s="4" t="s">
        <v>137</v>
      </c>
    </row>
    <row r="59" s="69" customFormat="1" ht="29.1" customHeight="1" spans="1:9">
      <c r="A59" s="4">
        <v>44</v>
      </c>
      <c r="B59" s="71" t="s">
        <v>164</v>
      </c>
      <c r="C59" s="71" t="s">
        <v>98</v>
      </c>
      <c r="D59" s="75" t="s">
        <v>174</v>
      </c>
      <c r="E59" s="72">
        <f>3.2+1.2*2</f>
        <v>5.6</v>
      </c>
      <c r="F59" s="4">
        <v>2</v>
      </c>
      <c r="G59" s="4">
        <v>10</v>
      </c>
      <c r="H59" s="73">
        <f t="shared" si="8"/>
        <v>112</v>
      </c>
      <c r="I59" s="4"/>
    </row>
    <row r="60" s="69" customFormat="1" ht="29.1" customHeight="1" spans="1:9">
      <c r="A60" s="4"/>
      <c r="B60" s="71" t="s">
        <v>164</v>
      </c>
      <c r="C60" s="71" t="s">
        <v>100</v>
      </c>
      <c r="D60" s="75" t="s">
        <v>174</v>
      </c>
      <c r="E60" s="72">
        <f>3.2+1.2*2</f>
        <v>5.6</v>
      </c>
      <c r="F60" s="4">
        <v>2</v>
      </c>
      <c r="G60" s="4">
        <v>2</v>
      </c>
      <c r="H60" s="73">
        <f t="shared" si="8"/>
        <v>22.4</v>
      </c>
      <c r="I60" s="4" t="s">
        <v>137</v>
      </c>
    </row>
    <row r="61" s="69" customFormat="1" ht="29.1" customHeight="1" spans="1:9">
      <c r="A61" s="4">
        <v>45</v>
      </c>
      <c r="B61" s="71" t="s">
        <v>164</v>
      </c>
      <c r="C61" s="71" t="s">
        <v>98</v>
      </c>
      <c r="D61" s="75" t="s">
        <v>175</v>
      </c>
      <c r="E61" s="72">
        <v>5.95</v>
      </c>
      <c r="F61" s="4">
        <v>2</v>
      </c>
      <c r="G61" s="4">
        <v>10</v>
      </c>
      <c r="H61" s="73">
        <f t="shared" ref="H61:H64" si="9">E61*F61*G61</f>
        <v>119</v>
      </c>
      <c r="I61" s="4"/>
    </row>
    <row r="62" s="69" customFormat="1" ht="29.1" customHeight="1" spans="1:9">
      <c r="A62" s="4"/>
      <c r="B62" s="71" t="s">
        <v>164</v>
      </c>
      <c r="C62" s="71" t="s">
        <v>100</v>
      </c>
      <c r="D62" s="75" t="s">
        <v>175</v>
      </c>
      <c r="E62" s="72">
        <v>5.95</v>
      </c>
      <c r="F62" s="4">
        <v>2</v>
      </c>
      <c r="G62" s="4">
        <v>2</v>
      </c>
      <c r="H62" s="73">
        <f t="shared" si="9"/>
        <v>23.8</v>
      </c>
      <c r="I62" s="4" t="s">
        <v>137</v>
      </c>
    </row>
    <row r="63" s="69" customFormat="1" ht="29.1" customHeight="1" spans="1:9">
      <c r="A63" s="4">
        <v>46</v>
      </c>
      <c r="B63" s="71" t="s">
        <v>164</v>
      </c>
      <c r="C63" s="71" t="s">
        <v>102</v>
      </c>
      <c r="D63" s="75" t="s">
        <v>176</v>
      </c>
      <c r="E63" s="72">
        <v>1.57</v>
      </c>
      <c r="F63" s="4">
        <v>2</v>
      </c>
      <c r="G63" s="4">
        <v>10</v>
      </c>
      <c r="H63" s="73">
        <f t="shared" si="9"/>
        <v>31.4</v>
      </c>
      <c r="I63" s="4"/>
    </row>
    <row r="64" s="69" customFormat="1" ht="29.1" customHeight="1" spans="1:9">
      <c r="A64" s="4"/>
      <c r="B64" s="71" t="s">
        <v>164</v>
      </c>
      <c r="C64" s="71" t="s">
        <v>103</v>
      </c>
      <c r="D64" s="75" t="s">
        <v>176</v>
      </c>
      <c r="E64" s="72">
        <v>1.57</v>
      </c>
      <c r="F64" s="4">
        <v>2</v>
      </c>
      <c r="G64" s="4">
        <v>2</v>
      </c>
      <c r="H64" s="73">
        <f t="shared" si="9"/>
        <v>6.28</v>
      </c>
      <c r="I64" s="4" t="s">
        <v>137</v>
      </c>
    </row>
    <row r="65" s="69" customFormat="1" ht="29.1" customHeight="1" spans="1:9">
      <c r="A65" s="4">
        <v>47</v>
      </c>
      <c r="B65" s="71" t="s">
        <v>164</v>
      </c>
      <c r="C65" s="71" t="s">
        <v>102</v>
      </c>
      <c r="D65" s="75" t="s">
        <v>177</v>
      </c>
      <c r="E65" s="72">
        <v>0</v>
      </c>
      <c r="F65" s="4">
        <v>2</v>
      </c>
      <c r="G65" s="4">
        <v>12</v>
      </c>
      <c r="H65" s="73">
        <f t="shared" ref="H65:H68" si="10">E65*F65*G65</f>
        <v>0</v>
      </c>
      <c r="I65" s="4" t="s">
        <v>157</v>
      </c>
    </row>
    <row r="66" s="69" customFormat="1" ht="29.1" customHeight="1" spans="1:9">
      <c r="A66" s="4">
        <v>48</v>
      </c>
      <c r="B66" s="71" t="s">
        <v>164</v>
      </c>
      <c r="C66" s="71" t="s">
        <v>105</v>
      </c>
      <c r="D66" s="75" t="s">
        <v>178</v>
      </c>
      <c r="E66" s="72">
        <v>0</v>
      </c>
      <c r="F66" s="4">
        <v>2</v>
      </c>
      <c r="G66" s="4">
        <v>12</v>
      </c>
      <c r="H66" s="73">
        <f t="shared" si="10"/>
        <v>0</v>
      </c>
      <c r="I66" s="79" t="s">
        <v>157</v>
      </c>
    </row>
    <row r="67" s="69" customFormat="1" ht="29.1" customHeight="1" spans="1:9">
      <c r="A67" s="4">
        <v>49</v>
      </c>
      <c r="B67" s="71" t="s">
        <v>164</v>
      </c>
      <c r="C67" s="71" t="s">
        <v>98</v>
      </c>
      <c r="D67" s="75" t="s">
        <v>179</v>
      </c>
      <c r="E67" s="72">
        <f>6+1.36</f>
        <v>7.36</v>
      </c>
      <c r="F67" s="4">
        <v>2</v>
      </c>
      <c r="G67" s="4">
        <v>10</v>
      </c>
      <c r="H67" s="73">
        <f t="shared" si="10"/>
        <v>147.2</v>
      </c>
      <c r="I67" s="4"/>
    </row>
    <row r="68" s="69" customFormat="1" ht="29.1" customHeight="1" spans="1:9">
      <c r="A68" s="4"/>
      <c r="B68" s="71" t="s">
        <v>164</v>
      </c>
      <c r="C68" s="71" t="s">
        <v>100</v>
      </c>
      <c r="D68" s="75" t="s">
        <v>179</v>
      </c>
      <c r="E68" s="72">
        <f>6+1.36</f>
        <v>7.36</v>
      </c>
      <c r="F68" s="4">
        <v>2</v>
      </c>
      <c r="G68" s="4">
        <v>2</v>
      </c>
      <c r="H68" s="73">
        <f t="shared" si="10"/>
        <v>29.44</v>
      </c>
      <c r="I68" s="4" t="s">
        <v>137</v>
      </c>
    </row>
    <row r="69" s="69" customFormat="1" ht="29.1" customHeight="1" spans="1:9">
      <c r="A69" s="4">
        <v>50</v>
      </c>
      <c r="B69" s="71" t="s">
        <v>164</v>
      </c>
      <c r="C69" s="71" t="s">
        <v>117</v>
      </c>
      <c r="D69" s="75" t="s">
        <v>180</v>
      </c>
      <c r="E69" s="72">
        <v>1.3</v>
      </c>
      <c r="F69" s="4">
        <v>2</v>
      </c>
      <c r="G69" s="4">
        <v>12</v>
      </c>
      <c r="H69" s="73">
        <f t="shared" ref="H69:H80" si="11">E69*F69*G69</f>
        <v>31.2</v>
      </c>
      <c r="I69" s="4"/>
    </row>
    <row r="70" s="69" customFormat="1" ht="29.1" customHeight="1" spans="1:9">
      <c r="A70" s="4">
        <v>51</v>
      </c>
      <c r="B70" s="71" t="s">
        <v>164</v>
      </c>
      <c r="C70" s="77" t="s">
        <v>109</v>
      </c>
      <c r="D70" s="75" t="s">
        <v>181</v>
      </c>
      <c r="E70" s="72">
        <v>1.47</v>
      </c>
      <c r="F70" s="4">
        <v>2</v>
      </c>
      <c r="G70" s="4">
        <v>12</v>
      </c>
      <c r="H70" s="73">
        <f t="shared" si="11"/>
        <v>35.28</v>
      </c>
      <c r="I70" s="4"/>
    </row>
    <row r="71" s="69" customFormat="1" ht="29.1" customHeight="1" spans="1:9">
      <c r="A71" s="4">
        <v>52</v>
      </c>
      <c r="B71" s="71" t="s">
        <v>164</v>
      </c>
      <c r="C71" s="77" t="s">
        <v>109</v>
      </c>
      <c r="D71" s="75" t="s">
        <v>182</v>
      </c>
      <c r="E71" s="72">
        <v>1.67</v>
      </c>
      <c r="F71" s="4">
        <v>2</v>
      </c>
      <c r="G71" s="4">
        <v>12</v>
      </c>
      <c r="H71" s="73">
        <f t="shared" si="11"/>
        <v>40.08</v>
      </c>
      <c r="I71" s="4"/>
    </row>
    <row r="72" s="69" customFormat="1" ht="29.1" customHeight="1" spans="1:9">
      <c r="A72" s="4">
        <v>53</v>
      </c>
      <c r="B72" s="71" t="s">
        <v>164</v>
      </c>
      <c r="C72" s="77" t="s">
        <v>107</v>
      </c>
      <c r="D72" s="75" t="s">
        <v>183</v>
      </c>
      <c r="E72" s="72">
        <v>1.43</v>
      </c>
      <c r="F72" s="4">
        <v>2</v>
      </c>
      <c r="G72" s="4">
        <v>11</v>
      </c>
      <c r="H72" s="73">
        <f t="shared" si="11"/>
        <v>31.46</v>
      </c>
      <c r="I72" s="4"/>
    </row>
    <row r="73" s="69" customFormat="1" ht="29.1" customHeight="1" spans="1:9">
      <c r="A73" s="4">
        <v>54</v>
      </c>
      <c r="B73" s="71" t="s">
        <v>164</v>
      </c>
      <c r="C73" s="77" t="s">
        <v>107</v>
      </c>
      <c r="D73" s="75" t="s">
        <v>184</v>
      </c>
      <c r="E73" s="72">
        <v>1.53</v>
      </c>
      <c r="F73" s="4">
        <v>2</v>
      </c>
      <c r="G73" s="4">
        <v>12</v>
      </c>
      <c r="H73" s="73">
        <f t="shared" si="11"/>
        <v>36.72</v>
      </c>
      <c r="I73" s="4"/>
    </row>
    <row r="74" s="69" customFormat="1" ht="32" customHeight="1" spans="1:9">
      <c r="A74" s="4">
        <v>55</v>
      </c>
      <c r="B74" s="71" t="s">
        <v>164</v>
      </c>
      <c r="C74" s="71" t="s">
        <v>111</v>
      </c>
      <c r="D74" s="71" t="s">
        <v>146</v>
      </c>
      <c r="E74" s="5">
        <f>(1.82*2+1.56)*1.25+(2.08+2.08*2*11)*1.25+1.15+(1.3+2.08)*1.2+1.6</f>
        <v>73.106</v>
      </c>
      <c r="F74" s="4">
        <v>2</v>
      </c>
      <c r="G74" s="4">
        <v>1</v>
      </c>
      <c r="H74" s="73">
        <f t="shared" si="11"/>
        <v>146.212</v>
      </c>
      <c r="I74" s="81"/>
    </row>
    <row r="75" s="69" customFormat="1" ht="32" customHeight="1" spans="1:9">
      <c r="A75" s="4">
        <v>56</v>
      </c>
      <c r="B75" s="71" t="s">
        <v>164</v>
      </c>
      <c r="C75" s="71" t="s">
        <v>115</v>
      </c>
      <c r="D75" s="75" t="s">
        <v>147</v>
      </c>
      <c r="E75" s="76">
        <v>3</v>
      </c>
      <c r="F75" s="4">
        <v>2</v>
      </c>
      <c r="G75" s="4">
        <v>1</v>
      </c>
      <c r="H75" s="73">
        <f t="shared" si="11"/>
        <v>6</v>
      </c>
      <c r="I75" s="4"/>
    </row>
    <row r="76" s="69" customFormat="1" ht="32" customHeight="1" spans="1:9">
      <c r="A76" s="4">
        <v>57</v>
      </c>
      <c r="B76" s="71" t="s">
        <v>164</v>
      </c>
      <c r="C76" s="77" t="s">
        <v>94</v>
      </c>
      <c r="D76" s="82" t="s">
        <v>185</v>
      </c>
      <c r="E76" s="76">
        <v>1.34</v>
      </c>
      <c r="F76" s="4">
        <v>2</v>
      </c>
      <c r="G76" s="4">
        <v>1</v>
      </c>
      <c r="H76" s="73">
        <f t="shared" si="11"/>
        <v>2.68</v>
      </c>
      <c r="I76" s="81"/>
    </row>
    <row r="77" s="69" customFormat="1" ht="32" customHeight="1" spans="1:9">
      <c r="A77" s="4">
        <v>58</v>
      </c>
      <c r="B77" s="71" t="s">
        <v>164</v>
      </c>
      <c r="C77" s="77" t="s">
        <v>91</v>
      </c>
      <c r="D77" s="82" t="s">
        <v>186</v>
      </c>
      <c r="E77" s="76">
        <f>2.13+3.62+4.5+4*4+3.9+2.4</f>
        <v>32.55</v>
      </c>
      <c r="F77" s="4">
        <v>1</v>
      </c>
      <c r="G77" s="4">
        <v>1</v>
      </c>
      <c r="H77" s="73">
        <f t="shared" si="11"/>
        <v>32.55</v>
      </c>
      <c r="I77" s="81"/>
    </row>
    <row r="78" s="69" customFormat="1" ht="32" customHeight="1" spans="1:9">
      <c r="A78" s="4">
        <v>59</v>
      </c>
      <c r="B78" s="71" t="s">
        <v>164</v>
      </c>
      <c r="C78" s="77" t="s">
        <v>91</v>
      </c>
      <c r="D78" s="82" t="s">
        <v>187</v>
      </c>
      <c r="E78" s="76">
        <v>17.4</v>
      </c>
      <c r="F78" s="4">
        <v>1</v>
      </c>
      <c r="G78" s="4">
        <v>1</v>
      </c>
      <c r="H78" s="73">
        <f t="shared" si="11"/>
        <v>17.4</v>
      </c>
      <c r="I78" s="81"/>
    </row>
    <row r="79" s="69" customFormat="1" ht="32" customHeight="1" spans="1:9">
      <c r="A79" s="4">
        <v>60</v>
      </c>
      <c r="B79" s="71" t="s">
        <v>164</v>
      </c>
      <c r="C79" s="77" t="s">
        <v>113</v>
      </c>
      <c r="D79" s="72" t="s">
        <v>188</v>
      </c>
      <c r="E79" s="76">
        <f>(2.08+0.3+1.1+0.2+0.1+1.2+1.18)*2+(1.3+1.5)*2*1</f>
        <v>17.92</v>
      </c>
      <c r="F79" s="4">
        <v>2</v>
      </c>
      <c r="G79" s="4">
        <v>1</v>
      </c>
      <c r="H79" s="73">
        <f t="shared" si="11"/>
        <v>35.84</v>
      </c>
      <c r="I79" s="81"/>
    </row>
    <row r="80" s="69" customFormat="1" ht="30" customHeight="1" spans="1:9">
      <c r="A80" s="83" t="s">
        <v>189</v>
      </c>
      <c r="B80" s="83"/>
      <c r="C80" s="83"/>
      <c r="D80" s="83"/>
      <c r="E80" s="83"/>
      <c r="F80" s="83"/>
      <c r="G80" s="83"/>
      <c r="H80" s="84">
        <f>SUM(H3:H79)</f>
        <v>3417.342</v>
      </c>
      <c r="I80" s="83"/>
    </row>
  </sheetData>
  <sheetProtection formatCells="0" insertHyperlinks="0" autoFilter="0"/>
  <autoFilter xmlns:etc="http://www.wps.cn/officeDocument/2017/etCustomData" ref="A2:I80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topLeftCell="A70" workbookViewId="0">
      <selection activeCell="K85" sqref="K85"/>
    </sheetView>
  </sheetViews>
  <sheetFormatPr defaultColWidth="9" defaultRowHeight="13.5"/>
  <cols>
    <col min="1" max="1" width="3.25" style="44" customWidth="1"/>
    <col min="2" max="2" width="6.5" style="44" customWidth="1"/>
    <col min="3" max="3" width="9.25" style="44" customWidth="1"/>
    <col min="4" max="4" width="21.375" style="44" customWidth="1"/>
    <col min="5" max="5" width="9.75" style="44" customWidth="1"/>
    <col min="6" max="6" width="8.125" style="44" customWidth="1"/>
    <col min="7" max="7" width="14" style="44" customWidth="1"/>
    <col min="8" max="8" width="13.625" style="45" customWidth="1"/>
    <col min="9" max="9" width="15.25" style="44" customWidth="1"/>
    <col min="10" max="10" width="9.375"/>
    <col min="11" max="14" width="29.875" customWidth="1"/>
  </cols>
  <sheetData>
    <row r="1" ht="42" customHeight="1" spans="1:9">
      <c r="A1" s="46" t="s">
        <v>190</v>
      </c>
      <c r="B1" s="46"/>
      <c r="C1" s="46"/>
      <c r="D1" s="46"/>
      <c r="E1" s="46"/>
      <c r="F1" s="46"/>
      <c r="G1" s="46"/>
      <c r="H1" s="47"/>
      <c r="I1" s="46"/>
    </row>
    <row r="2" ht="33" customHeight="1" spans="1:9">
      <c r="A2" s="48" t="s">
        <v>1</v>
      </c>
      <c r="B2" s="48" t="s">
        <v>191</v>
      </c>
      <c r="C2" s="48" t="s">
        <v>192</v>
      </c>
      <c r="D2" s="48"/>
      <c r="E2" s="48"/>
      <c r="F2" s="48"/>
      <c r="G2" s="48"/>
      <c r="H2" s="49"/>
      <c r="I2" s="48"/>
    </row>
    <row r="3" ht="28" customHeight="1" spans="1:9">
      <c r="A3" s="48"/>
      <c r="B3" s="48"/>
      <c r="C3" s="48" t="s">
        <v>193</v>
      </c>
      <c r="D3" s="48"/>
      <c r="E3" s="48" t="s">
        <v>84</v>
      </c>
      <c r="F3" s="48" t="s">
        <v>194</v>
      </c>
      <c r="G3" s="48" t="s">
        <v>195</v>
      </c>
      <c r="H3" s="49" t="s">
        <v>196</v>
      </c>
      <c r="I3" s="48" t="s">
        <v>6</v>
      </c>
    </row>
    <row r="4" ht="28" customHeight="1" spans="1:9">
      <c r="A4" s="50">
        <v>1</v>
      </c>
      <c r="B4" s="51" t="s">
        <v>197</v>
      </c>
      <c r="C4" s="51" t="s">
        <v>198</v>
      </c>
      <c r="D4" s="52" t="s">
        <v>199</v>
      </c>
      <c r="E4" s="51" t="s">
        <v>92</v>
      </c>
      <c r="F4" s="51">
        <v>1</v>
      </c>
      <c r="G4" s="53">
        <v>21</v>
      </c>
      <c r="H4" s="53">
        <f>SUM(F4*G4)</f>
        <v>21</v>
      </c>
      <c r="I4" s="51"/>
    </row>
    <row r="5" ht="28" customHeight="1" spans="1:9">
      <c r="A5" s="50"/>
      <c r="B5" s="51"/>
      <c r="C5" s="51" t="s">
        <v>200</v>
      </c>
      <c r="D5" s="52" t="s">
        <v>201</v>
      </c>
      <c r="E5" s="51" t="s">
        <v>92</v>
      </c>
      <c r="F5" s="51">
        <v>1</v>
      </c>
      <c r="G5" s="53">
        <v>21</v>
      </c>
      <c r="H5" s="53">
        <f t="shared" ref="H5:H10" si="0">SUM(F5*G5)</f>
        <v>21</v>
      </c>
      <c r="I5" s="51"/>
    </row>
    <row r="6" ht="28" customHeight="1" spans="1:9">
      <c r="A6" s="50"/>
      <c r="B6" s="51"/>
      <c r="C6" s="51" t="s">
        <v>202</v>
      </c>
      <c r="D6" s="52" t="s">
        <v>203</v>
      </c>
      <c r="E6" s="51" t="s">
        <v>92</v>
      </c>
      <c r="F6" s="51">
        <v>1</v>
      </c>
      <c r="G6" s="53">
        <v>6</v>
      </c>
      <c r="H6" s="53">
        <f t="shared" si="0"/>
        <v>6</v>
      </c>
      <c r="I6" s="51"/>
    </row>
    <row r="7" ht="28" customHeight="1" spans="1:9">
      <c r="A7" s="50"/>
      <c r="B7" s="51"/>
      <c r="C7" s="51" t="s">
        <v>204</v>
      </c>
      <c r="D7" s="52" t="s">
        <v>205</v>
      </c>
      <c r="E7" s="51" t="s">
        <v>206</v>
      </c>
      <c r="F7" s="53">
        <v>5.47</v>
      </c>
      <c r="G7" s="53">
        <v>4.7</v>
      </c>
      <c r="H7" s="53">
        <f t="shared" si="0"/>
        <v>25.709</v>
      </c>
      <c r="I7" s="53" t="s">
        <v>207</v>
      </c>
    </row>
    <row r="8" ht="28" customHeight="1" spans="1:9">
      <c r="A8" s="50"/>
      <c r="B8" s="51"/>
      <c r="C8" s="51"/>
      <c r="D8" s="52" t="s">
        <v>208</v>
      </c>
      <c r="E8" s="51" t="s">
        <v>206</v>
      </c>
      <c r="F8" s="53">
        <v>2.2</v>
      </c>
      <c r="G8" s="53">
        <v>4.7</v>
      </c>
      <c r="H8" s="53">
        <f t="shared" si="0"/>
        <v>10.34</v>
      </c>
      <c r="I8" s="53" t="s">
        <v>207</v>
      </c>
    </row>
    <row r="9" ht="28" customHeight="1" spans="1:9">
      <c r="A9" s="50"/>
      <c r="B9" s="51"/>
      <c r="C9" s="51"/>
      <c r="D9" s="52" t="s">
        <v>209</v>
      </c>
      <c r="E9" s="51" t="s">
        <v>206</v>
      </c>
      <c r="F9" s="53">
        <v>4.47</v>
      </c>
      <c r="G9" s="53">
        <v>4.8</v>
      </c>
      <c r="H9" s="53">
        <f t="shared" si="0"/>
        <v>21.456</v>
      </c>
      <c r="I9" s="53" t="s">
        <v>207</v>
      </c>
    </row>
    <row r="10" ht="26" customHeight="1" spans="1:9">
      <c r="A10" s="50"/>
      <c r="B10" s="51"/>
      <c r="C10" s="51"/>
      <c r="D10" s="52" t="s">
        <v>210</v>
      </c>
      <c r="E10" s="51" t="s">
        <v>92</v>
      </c>
      <c r="F10" s="53">
        <v>1</v>
      </c>
      <c r="G10" s="53">
        <v>21</v>
      </c>
      <c r="H10" s="53">
        <f t="shared" si="0"/>
        <v>21</v>
      </c>
      <c r="I10" s="53"/>
    </row>
    <row r="11" ht="31" customHeight="1" spans="1:9">
      <c r="A11" s="50"/>
      <c r="B11" s="51"/>
      <c r="C11" s="51"/>
      <c r="D11" s="52" t="s">
        <v>63</v>
      </c>
      <c r="E11" s="51"/>
      <c r="F11" s="51"/>
      <c r="G11" s="53"/>
      <c r="H11" s="53"/>
      <c r="I11" s="51"/>
    </row>
    <row r="12" ht="28" customHeight="1" spans="1:9">
      <c r="A12" s="50"/>
      <c r="B12" s="51"/>
      <c r="C12" s="51" t="s">
        <v>211</v>
      </c>
      <c r="D12" s="52" t="s">
        <v>212</v>
      </c>
      <c r="E12" s="51" t="s">
        <v>213</v>
      </c>
      <c r="F12" s="51">
        <v>4</v>
      </c>
      <c r="G12" s="53">
        <v>0.3</v>
      </c>
      <c r="H12" s="53">
        <f>SUM(F12*G12)</f>
        <v>1.2</v>
      </c>
      <c r="I12" s="53" t="s">
        <v>207</v>
      </c>
    </row>
    <row r="13" ht="28" customHeight="1" spans="1:9">
      <c r="A13" s="50"/>
      <c r="B13" s="51"/>
      <c r="C13" s="51"/>
      <c r="D13" s="52" t="s">
        <v>214</v>
      </c>
      <c r="E13" s="51" t="s">
        <v>215</v>
      </c>
      <c r="F13" s="51">
        <v>2</v>
      </c>
      <c r="G13" s="53">
        <v>0.2</v>
      </c>
      <c r="H13" s="53">
        <f>SUM(F13*G13)</f>
        <v>0.4</v>
      </c>
      <c r="I13" s="53" t="s">
        <v>207</v>
      </c>
    </row>
    <row r="14" ht="28" customHeight="1" spans="1:9">
      <c r="A14" s="50"/>
      <c r="B14" s="51"/>
      <c r="C14" s="51"/>
      <c r="D14" s="52" t="s">
        <v>216</v>
      </c>
      <c r="E14" s="51" t="s">
        <v>213</v>
      </c>
      <c r="F14" s="51">
        <v>1.5</v>
      </c>
      <c r="G14" s="53">
        <v>0.5</v>
      </c>
      <c r="H14" s="53">
        <f>SUM(F14*G14)</f>
        <v>0.75</v>
      </c>
      <c r="I14" s="51"/>
    </row>
    <row r="15" ht="27" customHeight="1" spans="1:9">
      <c r="A15" s="50"/>
      <c r="B15" s="51"/>
      <c r="C15" s="51"/>
      <c r="D15" s="52" t="s">
        <v>217</v>
      </c>
      <c r="E15" s="51" t="s">
        <v>213</v>
      </c>
      <c r="F15" s="51">
        <v>4.5</v>
      </c>
      <c r="G15" s="53">
        <v>0.5</v>
      </c>
      <c r="H15" s="53">
        <f>SUM(F15*G15)</f>
        <v>2.25</v>
      </c>
      <c r="I15" s="51"/>
    </row>
    <row r="16" ht="42" customHeight="1" spans="1:9">
      <c r="A16" s="50"/>
      <c r="B16" s="51"/>
      <c r="C16" s="51"/>
      <c r="D16" s="52" t="s">
        <v>218</v>
      </c>
      <c r="E16" s="51" t="s">
        <v>92</v>
      </c>
      <c r="F16" s="51">
        <v>1</v>
      </c>
      <c r="G16" s="53">
        <v>0</v>
      </c>
      <c r="H16" s="53">
        <f>F16*G16</f>
        <v>0</v>
      </c>
      <c r="I16" s="51" t="s">
        <v>219</v>
      </c>
    </row>
    <row r="17" ht="25" customHeight="1" spans="1:10">
      <c r="A17" s="50"/>
      <c r="B17" s="51"/>
      <c r="C17" s="51"/>
      <c r="D17" s="52" t="s">
        <v>63</v>
      </c>
      <c r="E17" s="52"/>
      <c r="F17" s="51"/>
      <c r="G17" s="53"/>
      <c r="H17" s="53"/>
      <c r="I17" s="51"/>
      <c r="J17">
        <f>SUM(H4:H15)</f>
        <v>131.105</v>
      </c>
    </row>
    <row r="18" ht="27" customHeight="1" spans="1:9">
      <c r="A18" s="50"/>
      <c r="B18" s="51"/>
      <c r="C18" s="51" t="s">
        <v>220</v>
      </c>
      <c r="D18" s="52" t="s">
        <v>221</v>
      </c>
      <c r="E18" s="51" t="s">
        <v>92</v>
      </c>
      <c r="F18" s="54">
        <v>1</v>
      </c>
      <c r="G18" s="53"/>
      <c r="H18" s="53">
        <f>SUM(H4:H16)*9%</f>
        <v>11.79945</v>
      </c>
      <c r="I18" s="51"/>
    </row>
    <row r="19" ht="27" customHeight="1" spans="1:9">
      <c r="A19" s="50"/>
      <c r="B19" s="51"/>
      <c r="C19" s="55" t="s">
        <v>222</v>
      </c>
      <c r="D19" s="56" t="s">
        <v>223</v>
      </c>
      <c r="E19" s="55"/>
      <c r="F19" s="57"/>
      <c r="G19" s="58"/>
      <c r="H19" s="58">
        <f>SUM(H4:H18)</f>
        <v>142.90445</v>
      </c>
      <c r="I19" s="57"/>
    </row>
    <row r="20" ht="27" customHeight="1" spans="1:9">
      <c r="A20" s="50"/>
      <c r="B20" s="51"/>
      <c r="C20" s="59" t="s">
        <v>224</v>
      </c>
      <c r="D20" s="60" t="s">
        <v>225</v>
      </c>
      <c r="E20" s="59" t="s">
        <v>92</v>
      </c>
      <c r="F20" s="59"/>
      <c r="G20" s="61"/>
      <c r="H20" s="61">
        <f>SUM(H7:H15)</f>
        <v>83.105</v>
      </c>
      <c r="I20" s="59"/>
    </row>
    <row r="21" ht="27" customHeight="1" spans="1:9">
      <c r="A21" s="50"/>
      <c r="B21" s="51"/>
      <c r="C21" s="59"/>
      <c r="D21" s="60" t="s">
        <v>226</v>
      </c>
      <c r="E21" s="59" t="s">
        <v>92</v>
      </c>
      <c r="F21" s="59"/>
      <c r="G21" s="59"/>
      <c r="H21" s="61">
        <f>SUM(H19-H20)</f>
        <v>59.79945</v>
      </c>
      <c r="I21" s="59"/>
    </row>
    <row r="22" ht="38" customHeight="1" spans="1:9">
      <c r="A22" s="62" t="s">
        <v>227</v>
      </c>
      <c r="B22" s="62"/>
      <c r="C22" s="62"/>
      <c r="D22" s="62"/>
      <c r="E22" s="62"/>
      <c r="F22" s="62"/>
      <c r="G22" s="62"/>
      <c r="H22" s="63"/>
      <c r="I22" s="62"/>
    </row>
    <row r="23" ht="26" customHeight="1" spans="1:9">
      <c r="A23" s="46" t="s">
        <v>228</v>
      </c>
      <c r="B23" s="46"/>
      <c r="C23" s="46"/>
      <c r="D23" s="46"/>
      <c r="E23" s="46"/>
      <c r="F23" s="46"/>
      <c r="G23" s="46"/>
      <c r="H23" s="47"/>
      <c r="I23" s="46"/>
    </row>
    <row r="24" ht="27" customHeight="1" spans="1:9">
      <c r="A24" s="48" t="s">
        <v>1</v>
      </c>
      <c r="B24" s="48" t="s">
        <v>191</v>
      </c>
      <c r="C24" s="48" t="s">
        <v>192</v>
      </c>
      <c r="D24" s="48"/>
      <c r="E24" s="48"/>
      <c r="F24" s="48"/>
      <c r="G24" s="48"/>
      <c r="H24" s="49"/>
      <c r="I24" s="48"/>
    </row>
    <row r="25" ht="27" customHeight="1" spans="1:9">
      <c r="A25" s="48"/>
      <c r="B25" s="48"/>
      <c r="C25" s="48" t="s">
        <v>193</v>
      </c>
      <c r="D25" s="48"/>
      <c r="E25" s="48" t="s">
        <v>84</v>
      </c>
      <c r="F25" s="48" t="s">
        <v>194</v>
      </c>
      <c r="G25" s="48" t="s">
        <v>195</v>
      </c>
      <c r="H25" s="49" t="s">
        <v>196</v>
      </c>
      <c r="I25" s="48" t="s">
        <v>6</v>
      </c>
    </row>
    <row r="26" ht="27" customHeight="1" spans="1:9">
      <c r="A26" s="50">
        <v>2</v>
      </c>
      <c r="B26" s="51" t="s">
        <v>229</v>
      </c>
      <c r="C26" s="51" t="s">
        <v>198</v>
      </c>
      <c r="D26" s="52" t="s">
        <v>199</v>
      </c>
      <c r="E26" s="51" t="s">
        <v>92</v>
      </c>
      <c r="F26" s="51">
        <v>1</v>
      </c>
      <c r="G26" s="53">
        <v>21</v>
      </c>
      <c r="H26" s="53">
        <f t="shared" ref="H26:H37" si="1">SUM(F26*G26)</f>
        <v>21</v>
      </c>
      <c r="I26" s="51"/>
    </row>
    <row r="27" ht="27" customHeight="1" spans="1:9">
      <c r="A27" s="50"/>
      <c r="B27" s="51"/>
      <c r="C27" s="51" t="s">
        <v>200</v>
      </c>
      <c r="D27" s="52" t="s">
        <v>201</v>
      </c>
      <c r="E27" s="51" t="s">
        <v>92</v>
      </c>
      <c r="F27" s="51">
        <v>1</v>
      </c>
      <c r="G27" s="53">
        <v>21</v>
      </c>
      <c r="H27" s="53">
        <f t="shared" si="1"/>
        <v>21</v>
      </c>
      <c r="I27" s="51"/>
    </row>
    <row r="28" ht="27" customHeight="1" spans="1:9">
      <c r="A28" s="50"/>
      <c r="B28" s="51"/>
      <c r="C28" s="51" t="s">
        <v>202</v>
      </c>
      <c r="D28" s="52" t="s">
        <v>203</v>
      </c>
      <c r="E28" s="51" t="s">
        <v>92</v>
      </c>
      <c r="F28" s="51">
        <v>1</v>
      </c>
      <c r="G28" s="53">
        <v>6</v>
      </c>
      <c r="H28" s="53">
        <f t="shared" si="1"/>
        <v>6</v>
      </c>
      <c r="I28" s="51"/>
    </row>
    <row r="29" ht="27" customHeight="1" spans="1:9">
      <c r="A29" s="50"/>
      <c r="B29" s="51"/>
      <c r="C29" s="51" t="s">
        <v>204</v>
      </c>
      <c r="D29" s="52" t="s">
        <v>230</v>
      </c>
      <c r="E29" s="51" t="s">
        <v>206</v>
      </c>
      <c r="F29" s="53">
        <v>5.47</v>
      </c>
      <c r="G29" s="53">
        <v>4.7</v>
      </c>
      <c r="H29" s="53">
        <f t="shared" si="1"/>
        <v>25.709</v>
      </c>
      <c r="I29" s="53" t="s">
        <v>207</v>
      </c>
    </row>
    <row r="30" ht="27" customHeight="1" spans="1:9">
      <c r="A30" s="50"/>
      <c r="B30" s="51"/>
      <c r="C30" s="51"/>
      <c r="D30" s="52" t="s">
        <v>208</v>
      </c>
      <c r="E30" s="51" t="s">
        <v>206</v>
      </c>
      <c r="F30" s="53">
        <v>2.2</v>
      </c>
      <c r="G30" s="53">
        <v>4.7</v>
      </c>
      <c r="H30" s="53">
        <f t="shared" si="1"/>
        <v>10.34</v>
      </c>
      <c r="I30" s="53" t="s">
        <v>207</v>
      </c>
    </row>
    <row r="31" ht="27" customHeight="1" spans="1:9">
      <c r="A31" s="50"/>
      <c r="B31" s="51"/>
      <c r="C31" s="51"/>
      <c r="D31" s="52" t="s">
        <v>209</v>
      </c>
      <c r="E31" s="51" t="s">
        <v>206</v>
      </c>
      <c r="F31" s="53">
        <v>4.47</v>
      </c>
      <c r="G31" s="53">
        <v>4.8</v>
      </c>
      <c r="H31" s="53">
        <f t="shared" si="1"/>
        <v>21.456</v>
      </c>
      <c r="I31" s="53" t="s">
        <v>207</v>
      </c>
    </row>
    <row r="32" ht="27" customHeight="1" spans="1:9">
      <c r="A32" s="50"/>
      <c r="B32" s="51"/>
      <c r="C32" s="51"/>
      <c r="D32" s="52" t="s">
        <v>210</v>
      </c>
      <c r="E32" s="51" t="s">
        <v>92</v>
      </c>
      <c r="F32" s="53">
        <v>1</v>
      </c>
      <c r="G32" s="53">
        <v>21</v>
      </c>
      <c r="H32" s="53">
        <f t="shared" si="1"/>
        <v>21</v>
      </c>
      <c r="I32" s="53"/>
    </row>
    <row r="33" ht="27" customHeight="1" spans="1:9">
      <c r="A33" s="50"/>
      <c r="B33" s="51"/>
      <c r="C33" s="51"/>
      <c r="D33" s="52" t="s">
        <v>63</v>
      </c>
      <c r="E33" s="51"/>
      <c r="F33" s="51"/>
      <c r="G33" s="53"/>
      <c r="H33" s="53">
        <f t="shared" si="1"/>
        <v>0</v>
      </c>
      <c r="I33" s="51"/>
    </row>
    <row r="34" ht="27" customHeight="1" spans="1:9">
      <c r="A34" s="50"/>
      <c r="B34" s="51"/>
      <c r="C34" s="51" t="s">
        <v>211</v>
      </c>
      <c r="D34" s="52" t="s">
        <v>212</v>
      </c>
      <c r="E34" s="51" t="s">
        <v>213</v>
      </c>
      <c r="F34" s="51">
        <v>4</v>
      </c>
      <c r="G34" s="53">
        <v>0.3</v>
      </c>
      <c r="H34" s="53">
        <f t="shared" si="1"/>
        <v>1.2</v>
      </c>
      <c r="I34" s="53" t="s">
        <v>207</v>
      </c>
    </row>
    <row r="35" ht="27" customHeight="1" spans="1:9">
      <c r="A35" s="50"/>
      <c r="B35" s="51"/>
      <c r="C35" s="51"/>
      <c r="D35" s="52" t="s">
        <v>214</v>
      </c>
      <c r="E35" s="51" t="s">
        <v>215</v>
      </c>
      <c r="F35" s="51">
        <v>2</v>
      </c>
      <c r="G35" s="53">
        <v>0.2</v>
      </c>
      <c r="H35" s="53">
        <f t="shared" si="1"/>
        <v>0.4</v>
      </c>
      <c r="I35" s="53" t="s">
        <v>207</v>
      </c>
    </row>
    <row r="36" ht="27" customHeight="1" spans="1:9">
      <c r="A36" s="50"/>
      <c r="B36" s="51"/>
      <c r="C36" s="51"/>
      <c r="D36" s="52" t="s">
        <v>216</v>
      </c>
      <c r="E36" s="51" t="s">
        <v>213</v>
      </c>
      <c r="F36" s="51">
        <v>1.5</v>
      </c>
      <c r="G36" s="53">
        <v>0.5</v>
      </c>
      <c r="H36" s="53">
        <f t="shared" si="1"/>
        <v>0.75</v>
      </c>
      <c r="I36" s="51"/>
    </row>
    <row r="37" ht="27" customHeight="1" spans="1:9">
      <c r="A37" s="50"/>
      <c r="B37" s="51"/>
      <c r="C37" s="51"/>
      <c r="D37" s="52" t="s">
        <v>217</v>
      </c>
      <c r="E37" s="51" t="s">
        <v>213</v>
      </c>
      <c r="F37" s="51">
        <v>4.5</v>
      </c>
      <c r="G37" s="53">
        <v>0.5</v>
      </c>
      <c r="H37" s="53">
        <f t="shared" si="1"/>
        <v>2.25</v>
      </c>
      <c r="I37" s="51"/>
    </row>
    <row r="38" ht="51" customHeight="1" spans="1:9">
      <c r="A38" s="50"/>
      <c r="B38" s="51"/>
      <c r="C38" s="51"/>
      <c r="D38" s="52" t="s">
        <v>218</v>
      </c>
      <c r="E38" s="51" t="s">
        <v>92</v>
      </c>
      <c r="F38" s="51">
        <v>1</v>
      </c>
      <c r="G38" s="53">
        <v>0</v>
      </c>
      <c r="H38" s="53">
        <f>F38*G38</f>
        <v>0</v>
      </c>
      <c r="I38" s="51" t="s">
        <v>219</v>
      </c>
    </row>
    <row r="39" ht="49" customHeight="1" spans="1:10">
      <c r="A39" s="50"/>
      <c r="B39" s="51"/>
      <c r="C39" s="51"/>
      <c r="D39" s="52" t="s">
        <v>63</v>
      </c>
      <c r="E39" s="52"/>
      <c r="F39" s="51"/>
      <c r="G39" s="53"/>
      <c r="H39" s="53"/>
      <c r="I39" s="51"/>
      <c r="J39">
        <f>SUM(H27:H37)</f>
        <v>110.105</v>
      </c>
    </row>
    <row r="40" ht="30" customHeight="1" spans="1:9">
      <c r="A40" s="50"/>
      <c r="B40" s="51"/>
      <c r="C40" s="51" t="s">
        <v>220</v>
      </c>
      <c r="D40" s="52" t="s">
        <v>221</v>
      </c>
      <c r="E40" s="51" t="s">
        <v>92</v>
      </c>
      <c r="F40" s="54">
        <v>1</v>
      </c>
      <c r="G40" s="53"/>
      <c r="H40" s="53">
        <f>SUM(H26:H38)*9%</f>
        <v>11.79945</v>
      </c>
      <c r="I40" s="51"/>
    </row>
    <row r="41" ht="30" customHeight="1" spans="1:9">
      <c r="A41" s="50"/>
      <c r="B41" s="51"/>
      <c r="C41" s="55" t="s">
        <v>222</v>
      </c>
      <c r="D41" s="56" t="s">
        <v>223</v>
      </c>
      <c r="E41" s="55"/>
      <c r="F41" s="57"/>
      <c r="G41" s="58"/>
      <c r="H41" s="58">
        <f>SUM(H26:H40)</f>
        <v>142.90445</v>
      </c>
      <c r="I41" s="57"/>
    </row>
    <row r="42" ht="30" customHeight="1" spans="1:9">
      <c r="A42" s="50"/>
      <c r="B42" s="51"/>
      <c r="C42" s="59" t="s">
        <v>224</v>
      </c>
      <c r="D42" s="60" t="s">
        <v>225</v>
      </c>
      <c r="E42" s="59" t="s">
        <v>92</v>
      </c>
      <c r="F42" s="59"/>
      <c r="G42" s="61"/>
      <c r="H42" s="61">
        <f>SUM(H29:H37)</f>
        <v>83.105</v>
      </c>
      <c r="I42" s="59"/>
    </row>
    <row r="43" ht="48" customHeight="1" spans="1:9">
      <c r="A43" s="50"/>
      <c r="B43" s="51"/>
      <c r="C43" s="59"/>
      <c r="D43" s="60" t="s">
        <v>226</v>
      </c>
      <c r="E43" s="59" t="s">
        <v>92</v>
      </c>
      <c r="F43" s="59"/>
      <c r="G43" s="59"/>
      <c r="H43" s="61">
        <f>SUM(H41-H42)</f>
        <v>59.79945</v>
      </c>
      <c r="I43" s="59"/>
    </row>
    <row r="44" ht="28" customHeight="1" spans="1:9">
      <c r="A44" s="62" t="s">
        <v>227</v>
      </c>
      <c r="B44" s="62"/>
      <c r="C44" s="62"/>
      <c r="D44" s="62"/>
      <c r="E44" s="62"/>
      <c r="F44" s="62"/>
      <c r="G44" s="62"/>
      <c r="H44" s="63"/>
      <c r="I44" s="62"/>
    </row>
    <row r="45" ht="32" customHeight="1" spans="1:9">
      <c r="A45" s="46" t="s">
        <v>231</v>
      </c>
      <c r="B45" s="46"/>
      <c r="C45" s="46"/>
      <c r="D45" s="46"/>
      <c r="E45" s="46"/>
      <c r="F45" s="46"/>
      <c r="G45" s="46"/>
      <c r="H45" s="47"/>
      <c r="I45" s="46"/>
    </row>
    <row r="46" ht="30" customHeight="1" spans="1:9">
      <c r="A46" s="48" t="s">
        <v>1</v>
      </c>
      <c r="B46" s="48" t="s">
        <v>191</v>
      </c>
      <c r="C46" s="48" t="s">
        <v>192</v>
      </c>
      <c r="D46" s="48"/>
      <c r="E46" s="48"/>
      <c r="F46" s="48"/>
      <c r="G46" s="48"/>
      <c r="H46" s="49"/>
      <c r="I46" s="48"/>
    </row>
    <row r="47" ht="30" customHeight="1" spans="1:9">
      <c r="A47" s="48"/>
      <c r="B47" s="48"/>
      <c r="C47" s="48" t="s">
        <v>193</v>
      </c>
      <c r="D47" s="48"/>
      <c r="E47" s="48" t="s">
        <v>84</v>
      </c>
      <c r="F47" s="48" t="s">
        <v>194</v>
      </c>
      <c r="G47" s="48" t="s">
        <v>195</v>
      </c>
      <c r="H47" s="49" t="s">
        <v>196</v>
      </c>
      <c r="I47" s="48" t="s">
        <v>6</v>
      </c>
    </row>
    <row r="48" ht="30" customHeight="1" spans="1:11">
      <c r="A48" s="50">
        <v>3</v>
      </c>
      <c r="B48" s="51" t="s">
        <v>232</v>
      </c>
      <c r="C48" s="51" t="s">
        <v>198</v>
      </c>
      <c r="D48" s="52" t="s">
        <v>199</v>
      </c>
      <c r="E48" s="51" t="s">
        <v>92</v>
      </c>
      <c r="F48" s="51">
        <v>1</v>
      </c>
      <c r="G48" s="53">
        <v>15</v>
      </c>
      <c r="H48" s="53">
        <f t="shared" ref="H48:H54" si="2">SUM(F48*G48)</f>
        <v>15</v>
      </c>
      <c r="I48" s="51"/>
      <c r="K48">
        <v>2</v>
      </c>
    </row>
    <row r="49" ht="30" customHeight="1" spans="1:9">
      <c r="A49" s="50"/>
      <c r="B49" s="51"/>
      <c r="C49" s="51" t="s">
        <v>200</v>
      </c>
      <c r="D49" s="52" t="s">
        <v>201</v>
      </c>
      <c r="E49" s="51" t="s">
        <v>92</v>
      </c>
      <c r="F49" s="51">
        <v>1</v>
      </c>
      <c r="G49" s="53">
        <v>15</v>
      </c>
      <c r="H49" s="53">
        <f t="shared" si="2"/>
        <v>15</v>
      </c>
      <c r="I49" s="51"/>
    </row>
    <row r="50" ht="36" customHeight="1" spans="1:9">
      <c r="A50" s="50"/>
      <c r="B50" s="51"/>
      <c r="C50" s="51" t="s">
        <v>202</v>
      </c>
      <c r="D50" s="52" t="s">
        <v>203</v>
      </c>
      <c r="E50" s="51" t="s">
        <v>92</v>
      </c>
      <c r="F50" s="51">
        <v>1</v>
      </c>
      <c r="G50" s="53">
        <v>6</v>
      </c>
      <c r="H50" s="53">
        <f t="shared" si="2"/>
        <v>6</v>
      </c>
      <c r="I50" s="51"/>
    </row>
    <row r="51" s="43" customFormat="1" ht="35" customHeight="1" spans="1:11">
      <c r="A51" s="50"/>
      <c r="B51" s="51"/>
      <c r="C51" s="51" t="s">
        <v>204</v>
      </c>
      <c r="D51" s="52" t="s">
        <v>233</v>
      </c>
      <c r="E51" s="51" t="s">
        <v>206</v>
      </c>
      <c r="F51" s="53">
        <v>4.76</v>
      </c>
      <c r="G51" s="53">
        <v>4.7</v>
      </c>
      <c r="H51" s="53">
        <f t="shared" si="2"/>
        <v>22.372</v>
      </c>
      <c r="I51" s="53" t="s">
        <v>207</v>
      </c>
      <c r="K51" s="43">
        <f>H51+H52+H53+H54</f>
        <v>60.646</v>
      </c>
    </row>
    <row r="52" s="43" customFormat="1" ht="36" customHeight="1" spans="1:11">
      <c r="A52" s="50"/>
      <c r="B52" s="51"/>
      <c r="C52" s="51"/>
      <c r="D52" s="52" t="s">
        <v>208</v>
      </c>
      <c r="E52" s="51" t="s">
        <v>206</v>
      </c>
      <c r="F52" s="53">
        <v>1.98</v>
      </c>
      <c r="G52" s="53">
        <v>4.7</v>
      </c>
      <c r="H52" s="53">
        <f t="shared" si="2"/>
        <v>9.306</v>
      </c>
      <c r="I52" s="53" t="s">
        <v>207</v>
      </c>
      <c r="K52" s="43">
        <f>K51/1.1*0.8</f>
        <v>44.1061818181818</v>
      </c>
    </row>
    <row r="53" ht="32" customHeight="1" spans="1:11">
      <c r="A53" s="50"/>
      <c r="B53" s="51"/>
      <c r="C53" s="51"/>
      <c r="D53" s="52" t="s">
        <v>209</v>
      </c>
      <c r="E53" s="51" t="s">
        <v>206</v>
      </c>
      <c r="F53" s="53">
        <v>2.91</v>
      </c>
      <c r="G53" s="53">
        <v>4.8</v>
      </c>
      <c r="H53" s="53">
        <f t="shared" si="2"/>
        <v>13.968</v>
      </c>
      <c r="I53" s="53" t="s">
        <v>207</v>
      </c>
      <c r="K53">
        <f>K51-K52</f>
        <v>16.5398181818182</v>
      </c>
    </row>
    <row r="54" ht="33" customHeight="1" spans="1:9">
      <c r="A54" s="50"/>
      <c r="B54" s="51"/>
      <c r="C54" s="51"/>
      <c r="D54" s="52" t="s">
        <v>210</v>
      </c>
      <c r="E54" s="51" t="s">
        <v>92</v>
      </c>
      <c r="F54" s="53">
        <v>1</v>
      </c>
      <c r="G54" s="53">
        <v>15</v>
      </c>
      <c r="H54" s="53">
        <f t="shared" si="2"/>
        <v>15</v>
      </c>
      <c r="I54" s="53"/>
    </row>
    <row r="55" ht="24" customHeight="1" spans="1:9">
      <c r="A55" s="50"/>
      <c r="B55" s="51"/>
      <c r="C55" s="51"/>
      <c r="D55" s="52" t="s">
        <v>63</v>
      </c>
      <c r="E55" s="51"/>
      <c r="F55" s="51"/>
      <c r="G55" s="53"/>
      <c r="H55" s="53"/>
      <c r="I55" s="51"/>
    </row>
    <row r="56" ht="44" customHeight="1" spans="1:9">
      <c r="A56" s="50"/>
      <c r="B56" s="51"/>
      <c r="C56" s="51" t="s">
        <v>211</v>
      </c>
      <c r="D56" s="52" t="s">
        <v>212</v>
      </c>
      <c r="E56" s="51" t="s">
        <v>213</v>
      </c>
      <c r="F56" s="51">
        <v>4</v>
      </c>
      <c r="G56" s="53">
        <v>0.3</v>
      </c>
      <c r="H56" s="53">
        <f>SUM(F56*G56)</f>
        <v>1.2</v>
      </c>
      <c r="I56" s="53" t="s">
        <v>207</v>
      </c>
    </row>
    <row r="57" ht="44" customHeight="1" spans="1:9">
      <c r="A57" s="50"/>
      <c r="B57" s="51"/>
      <c r="C57" s="51"/>
      <c r="D57" s="52" t="s">
        <v>214</v>
      </c>
      <c r="E57" s="51" t="s">
        <v>215</v>
      </c>
      <c r="F57" s="51">
        <v>2</v>
      </c>
      <c r="G57" s="53">
        <v>0.2</v>
      </c>
      <c r="H57" s="53">
        <f>SUM(F57*G57)</f>
        <v>0.4</v>
      </c>
      <c r="I57" s="53" t="s">
        <v>207</v>
      </c>
    </row>
    <row r="58" ht="29" customHeight="1" spans="1:9">
      <c r="A58" s="50"/>
      <c r="B58" s="51"/>
      <c r="C58" s="51"/>
      <c r="D58" s="52" t="s">
        <v>216</v>
      </c>
      <c r="E58" s="51" t="s">
        <v>213</v>
      </c>
      <c r="F58" s="51">
        <v>2</v>
      </c>
      <c r="G58" s="53">
        <v>0.5</v>
      </c>
      <c r="H58" s="53">
        <f>SUM(F58*G58)</f>
        <v>1</v>
      </c>
      <c r="I58" s="51"/>
    </row>
    <row r="59" ht="32" customHeight="1" spans="1:9">
      <c r="A59" s="50"/>
      <c r="B59" s="51"/>
      <c r="C59" s="51"/>
      <c r="D59" s="52" t="s">
        <v>217</v>
      </c>
      <c r="E59" s="51" t="s">
        <v>213</v>
      </c>
      <c r="F59" s="51">
        <v>4.5</v>
      </c>
      <c r="G59" s="53">
        <v>0.5</v>
      </c>
      <c r="H59" s="53">
        <f>SUM(F59*G59)</f>
        <v>2.25</v>
      </c>
      <c r="I59" s="51"/>
    </row>
    <row r="60" ht="50" customHeight="1" spans="1:9">
      <c r="A60" s="50"/>
      <c r="B60" s="51"/>
      <c r="C60" s="51"/>
      <c r="D60" s="52" t="s">
        <v>218</v>
      </c>
      <c r="E60" s="51" t="s">
        <v>92</v>
      </c>
      <c r="F60" s="51">
        <v>1</v>
      </c>
      <c r="G60" s="53">
        <v>0</v>
      </c>
      <c r="H60" s="53">
        <f>F60*G60</f>
        <v>0</v>
      </c>
      <c r="I60" s="51" t="s">
        <v>219</v>
      </c>
    </row>
    <row r="61" ht="35" customHeight="1" spans="1:10">
      <c r="A61" s="50"/>
      <c r="B61" s="51"/>
      <c r="C61" s="51"/>
      <c r="D61" s="52" t="s">
        <v>63</v>
      </c>
      <c r="E61" s="52"/>
      <c r="F61" s="51"/>
      <c r="G61" s="53"/>
      <c r="H61" s="53"/>
      <c r="I61" s="51"/>
      <c r="J61">
        <f>SUM(H48:H59)</f>
        <v>101.496</v>
      </c>
    </row>
    <row r="62" ht="44" customHeight="1" spans="1:9">
      <c r="A62" s="50"/>
      <c r="B62" s="51"/>
      <c r="C62" s="51" t="s">
        <v>220</v>
      </c>
      <c r="D62" s="52" t="s">
        <v>221</v>
      </c>
      <c r="E62" s="51" t="s">
        <v>92</v>
      </c>
      <c r="F62" s="54">
        <v>1</v>
      </c>
      <c r="G62" s="53"/>
      <c r="H62" s="53">
        <f>SUM(H48:H60)*9%</f>
        <v>9.13464</v>
      </c>
      <c r="I62" s="51"/>
    </row>
    <row r="63" ht="33" customHeight="1" spans="1:11">
      <c r="A63" s="50"/>
      <c r="B63" s="51"/>
      <c r="C63" s="55" t="s">
        <v>222</v>
      </c>
      <c r="D63" s="56" t="s">
        <v>223</v>
      </c>
      <c r="E63" s="55"/>
      <c r="F63" s="57"/>
      <c r="G63" s="58"/>
      <c r="H63" s="58">
        <f>SUM(H48:H62)</f>
        <v>110.63064</v>
      </c>
      <c r="I63" s="57"/>
      <c r="K63">
        <f>(K53+K48)*1.09</f>
        <v>20.2084018181818</v>
      </c>
    </row>
    <row r="64" ht="27" customHeight="1" spans="1:9">
      <c r="A64" s="50"/>
      <c r="B64" s="51"/>
      <c r="C64" s="59" t="s">
        <v>224</v>
      </c>
      <c r="D64" s="60" t="s">
        <v>225</v>
      </c>
      <c r="E64" s="59" t="s">
        <v>92</v>
      </c>
      <c r="F64" s="59"/>
      <c r="G64" s="61"/>
      <c r="H64" s="61">
        <f>SUM(H51:H59)</f>
        <v>65.496</v>
      </c>
      <c r="I64" s="59"/>
    </row>
    <row r="65" ht="23" customHeight="1" spans="1:9">
      <c r="A65" s="50"/>
      <c r="B65" s="51"/>
      <c r="C65" s="59"/>
      <c r="D65" s="60" t="s">
        <v>226</v>
      </c>
      <c r="E65" s="59" t="s">
        <v>92</v>
      </c>
      <c r="F65" s="59"/>
      <c r="G65" s="59"/>
      <c r="H65" s="61">
        <f>SUM(H63-H64)</f>
        <v>45.13464</v>
      </c>
      <c r="I65" s="59"/>
    </row>
    <row r="66" ht="37" customHeight="1" spans="1:9">
      <c r="A66" s="62" t="s">
        <v>227</v>
      </c>
      <c r="B66" s="62"/>
      <c r="C66" s="62"/>
      <c r="D66" s="62"/>
      <c r="E66" s="62"/>
      <c r="F66" s="62"/>
      <c r="G66" s="62"/>
      <c r="H66" s="63"/>
      <c r="I66" s="62"/>
    </row>
    <row r="67" ht="26" customHeight="1" spans="1:9">
      <c r="A67" s="46" t="s">
        <v>234</v>
      </c>
      <c r="B67" s="46"/>
      <c r="C67" s="46"/>
      <c r="D67" s="46"/>
      <c r="E67" s="46"/>
      <c r="F67" s="46"/>
      <c r="G67" s="46"/>
      <c r="H67" s="47"/>
      <c r="I67" s="46"/>
    </row>
    <row r="68" spans="1:9">
      <c r="A68" s="48" t="s">
        <v>1</v>
      </c>
      <c r="B68" s="48" t="s">
        <v>191</v>
      </c>
      <c r="C68" s="48" t="s">
        <v>192</v>
      </c>
      <c r="D68" s="48"/>
      <c r="E68" s="48"/>
      <c r="F68" s="48"/>
      <c r="G68" s="48"/>
      <c r="H68" s="49"/>
      <c r="I68" s="48"/>
    </row>
    <row r="69" ht="22.5" spans="1:9">
      <c r="A69" s="48"/>
      <c r="B69" s="48"/>
      <c r="C69" s="48" t="s">
        <v>193</v>
      </c>
      <c r="D69" s="48"/>
      <c r="E69" s="48" t="s">
        <v>84</v>
      </c>
      <c r="F69" s="48" t="s">
        <v>194</v>
      </c>
      <c r="G69" s="48" t="s">
        <v>195</v>
      </c>
      <c r="H69" s="49" t="s">
        <v>196</v>
      </c>
      <c r="I69" s="48" t="s">
        <v>6</v>
      </c>
    </row>
    <row r="70" ht="22.5" spans="1:11">
      <c r="A70" s="50">
        <v>4</v>
      </c>
      <c r="B70" s="51" t="s">
        <v>235</v>
      </c>
      <c r="C70" s="51" t="s">
        <v>198</v>
      </c>
      <c r="D70" s="52" t="s">
        <v>199</v>
      </c>
      <c r="E70" s="51" t="s">
        <v>92</v>
      </c>
      <c r="F70" s="51">
        <v>1</v>
      </c>
      <c r="G70" s="53">
        <v>15</v>
      </c>
      <c r="H70" s="53">
        <f>SUM(F70*G70)</f>
        <v>15</v>
      </c>
      <c r="I70" s="51"/>
      <c r="K70">
        <v>2</v>
      </c>
    </row>
    <row r="71" ht="22.5" spans="1:9">
      <c r="A71" s="50"/>
      <c r="B71" s="51"/>
      <c r="C71" s="51" t="s">
        <v>200</v>
      </c>
      <c r="D71" s="52" t="s">
        <v>201</v>
      </c>
      <c r="E71" s="51" t="s">
        <v>92</v>
      </c>
      <c r="F71" s="51">
        <v>1</v>
      </c>
      <c r="G71" s="53">
        <v>15</v>
      </c>
      <c r="H71" s="53">
        <f t="shared" ref="H71:H81" si="3">SUM(F71*G71)</f>
        <v>15</v>
      </c>
      <c r="I71" s="51"/>
    </row>
    <row r="72" ht="22.5" spans="1:9">
      <c r="A72" s="50"/>
      <c r="B72" s="51"/>
      <c r="C72" s="51" t="s">
        <v>202</v>
      </c>
      <c r="D72" s="52" t="s">
        <v>203</v>
      </c>
      <c r="E72" s="51" t="s">
        <v>92</v>
      </c>
      <c r="F72" s="51">
        <v>1</v>
      </c>
      <c r="G72" s="53">
        <v>6</v>
      </c>
      <c r="H72" s="53">
        <f t="shared" si="3"/>
        <v>6</v>
      </c>
      <c r="I72" s="51"/>
    </row>
    <row r="73" spans="1:11">
      <c r="A73" s="50"/>
      <c r="B73" s="51"/>
      <c r="C73" s="51" t="s">
        <v>204</v>
      </c>
      <c r="D73" s="52" t="s">
        <v>230</v>
      </c>
      <c r="E73" s="51" t="s">
        <v>206</v>
      </c>
      <c r="F73" s="53">
        <v>4.1</v>
      </c>
      <c r="G73" s="53">
        <v>4.7</v>
      </c>
      <c r="H73" s="53">
        <f t="shared" si="3"/>
        <v>19.27</v>
      </c>
      <c r="I73" s="53" t="s">
        <v>207</v>
      </c>
      <c r="K73">
        <f>H73+H74+H75+H76</f>
        <v>57.355</v>
      </c>
    </row>
    <row r="74" spans="1:11">
      <c r="A74" s="50"/>
      <c r="B74" s="51"/>
      <c r="C74" s="51"/>
      <c r="D74" s="52" t="s">
        <v>208</v>
      </c>
      <c r="E74" s="51" t="s">
        <v>206</v>
      </c>
      <c r="F74" s="53">
        <v>1.95</v>
      </c>
      <c r="G74" s="53">
        <v>4.7</v>
      </c>
      <c r="H74" s="53">
        <f t="shared" si="3"/>
        <v>9.165</v>
      </c>
      <c r="I74" s="53" t="s">
        <v>207</v>
      </c>
      <c r="K74">
        <f>K73/1.1*0.8</f>
        <v>41.7127272727273</v>
      </c>
    </row>
    <row r="75" spans="1:11">
      <c r="A75" s="50"/>
      <c r="B75" s="51"/>
      <c r="C75" s="51"/>
      <c r="D75" s="52" t="s">
        <v>209</v>
      </c>
      <c r="E75" s="51" t="s">
        <v>206</v>
      </c>
      <c r="F75" s="53">
        <v>2.9</v>
      </c>
      <c r="G75" s="53">
        <v>4.8</v>
      </c>
      <c r="H75" s="53">
        <f t="shared" si="3"/>
        <v>13.92</v>
      </c>
      <c r="I75" s="53" t="s">
        <v>207</v>
      </c>
      <c r="K75">
        <f>K73-K74</f>
        <v>15.6422727272727</v>
      </c>
    </row>
    <row r="76" spans="1:9">
      <c r="A76" s="50"/>
      <c r="B76" s="51"/>
      <c r="C76" s="51"/>
      <c r="D76" s="52" t="s">
        <v>210</v>
      </c>
      <c r="E76" s="51" t="s">
        <v>92</v>
      </c>
      <c r="F76" s="53">
        <v>1</v>
      </c>
      <c r="G76" s="53">
        <v>15</v>
      </c>
      <c r="H76" s="53">
        <f t="shared" si="3"/>
        <v>15</v>
      </c>
      <c r="I76" s="53"/>
    </row>
    <row r="77" spans="1:9">
      <c r="A77" s="50"/>
      <c r="B77" s="51"/>
      <c r="C77" s="51"/>
      <c r="D77" s="52" t="s">
        <v>63</v>
      </c>
      <c r="E77" s="51"/>
      <c r="F77" s="51"/>
      <c r="G77" s="53"/>
      <c r="H77" s="53">
        <f t="shared" si="3"/>
        <v>0</v>
      </c>
      <c r="I77" s="51"/>
    </row>
    <row r="78" spans="1:9">
      <c r="A78" s="50"/>
      <c r="B78" s="51"/>
      <c r="C78" s="51" t="s">
        <v>211</v>
      </c>
      <c r="D78" s="52" t="s">
        <v>212</v>
      </c>
      <c r="E78" s="51" t="s">
        <v>213</v>
      </c>
      <c r="F78" s="51">
        <v>4</v>
      </c>
      <c r="G78" s="53">
        <v>0.3</v>
      </c>
      <c r="H78" s="53">
        <f t="shared" si="3"/>
        <v>1.2</v>
      </c>
      <c r="I78" s="53" t="s">
        <v>207</v>
      </c>
    </row>
    <row r="79" spans="1:9">
      <c r="A79" s="50"/>
      <c r="B79" s="51"/>
      <c r="C79" s="51"/>
      <c r="D79" s="52" t="s">
        <v>214</v>
      </c>
      <c r="E79" s="51" t="s">
        <v>215</v>
      </c>
      <c r="F79" s="51">
        <v>2</v>
      </c>
      <c r="G79" s="53">
        <v>0.2</v>
      </c>
      <c r="H79" s="53">
        <f t="shared" si="3"/>
        <v>0.4</v>
      </c>
      <c r="I79" s="53" t="s">
        <v>207</v>
      </c>
    </row>
    <row r="80" spans="1:9">
      <c r="A80" s="50"/>
      <c r="B80" s="51"/>
      <c r="C80" s="51"/>
      <c r="D80" s="52" t="s">
        <v>216</v>
      </c>
      <c r="E80" s="51" t="s">
        <v>213</v>
      </c>
      <c r="F80" s="51">
        <v>2</v>
      </c>
      <c r="G80" s="53">
        <v>0.5</v>
      </c>
      <c r="H80" s="53">
        <f t="shared" si="3"/>
        <v>1</v>
      </c>
      <c r="I80" s="51"/>
    </row>
    <row r="81" spans="1:9">
      <c r="A81" s="50"/>
      <c r="B81" s="51"/>
      <c r="C81" s="51"/>
      <c r="D81" s="52" t="s">
        <v>217</v>
      </c>
      <c r="E81" s="51" t="s">
        <v>213</v>
      </c>
      <c r="F81" s="51">
        <v>4.5</v>
      </c>
      <c r="G81" s="53">
        <v>0.5</v>
      </c>
      <c r="H81" s="53">
        <f t="shared" si="3"/>
        <v>2.25</v>
      </c>
      <c r="I81" s="51"/>
    </row>
    <row r="82" ht="33.75" spans="1:9">
      <c r="A82" s="50"/>
      <c r="B82" s="51"/>
      <c r="C82" s="51"/>
      <c r="D82" s="52" t="s">
        <v>218</v>
      </c>
      <c r="E82" s="51" t="s">
        <v>92</v>
      </c>
      <c r="F82" s="51">
        <v>1</v>
      </c>
      <c r="G82" s="53">
        <v>0</v>
      </c>
      <c r="H82" s="53">
        <f>F82*G82</f>
        <v>0</v>
      </c>
      <c r="I82" s="51" t="s">
        <v>219</v>
      </c>
    </row>
    <row r="83" ht="21" customHeight="1" spans="1:10">
      <c r="A83" s="50"/>
      <c r="B83" s="51"/>
      <c r="C83" s="51"/>
      <c r="D83" s="52" t="s">
        <v>63</v>
      </c>
      <c r="E83" s="52"/>
      <c r="F83" s="51"/>
      <c r="G83" s="53"/>
      <c r="H83" s="53"/>
      <c r="I83" s="51"/>
      <c r="J83">
        <f>SUM(H70:H81)</f>
        <v>98.205</v>
      </c>
    </row>
    <row r="84" ht="22.5" spans="1:9">
      <c r="A84" s="50"/>
      <c r="B84" s="51"/>
      <c r="C84" s="51" t="s">
        <v>220</v>
      </c>
      <c r="D84" s="52" t="s">
        <v>221</v>
      </c>
      <c r="E84" s="51" t="s">
        <v>92</v>
      </c>
      <c r="F84" s="54">
        <v>1</v>
      </c>
      <c r="G84" s="53"/>
      <c r="H84" s="53">
        <f>SUM(H70:H82)*9%</f>
        <v>8.83845</v>
      </c>
      <c r="I84" s="51"/>
    </row>
    <row r="85" ht="22.5" spans="1:11">
      <c r="A85" s="50"/>
      <c r="B85" s="51"/>
      <c r="C85" s="55" t="s">
        <v>222</v>
      </c>
      <c r="D85" s="56" t="s">
        <v>223</v>
      </c>
      <c r="E85" s="55"/>
      <c r="F85" s="57"/>
      <c r="G85" s="58"/>
      <c r="H85" s="58">
        <f>SUM(H70:H84)</f>
        <v>107.04345</v>
      </c>
      <c r="I85" s="57"/>
      <c r="K85">
        <f>(K75+K70)*1.09</f>
        <v>19.2300772727273</v>
      </c>
    </row>
    <row r="86" ht="29" customHeight="1" spans="1:9">
      <c r="A86" s="50"/>
      <c r="B86" s="51"/>
      <c r="C86" s="59" t="s">
        <v>224</v>
      </c>
      <c r="D86" s="60" t="s">
        <v>225</v>
      </c>
      <c r="E86" s="59" t="s">
        <v>92</v>
      </c>
      <c r="F86" s="59"/>
      <c r="G86" s="61"/>
      <c r="H86" s="61">
        <f>SUM(H73:H81)</f>
        <v>62.205</v>
      </c>
      <c r="I86" s="59"/>
    </row>
    <row r="87" ht="34" customHeight="1" spans="1:9">
      <c r="A87" s="50"/>
      <c r="B87" s="51"/>
      <c r="C87" s="59"/>
      <c r="D87" s="60" t="s">
        <v>226</v>
      </c>
      <c r="E87" s="59" t="s">
        <v>92</v>
      </c>
      <c r="F87" s="59"/>
      <c r="G87" s="59"/>
      <c r="H87" s="61">
        <f>SUM(H85-H86)</f>
        <v>44.83845</v>
      </c>
      <c r="I87" s="59"/>
    </row>
    <row r="88" ht="28" customHeight="1" spans="1:9">
      <c r="A88" s="62" t="s">
        <v>227</v>
      </c>
      <c r="B88" s="62"/>
      <c r="C88" s="62"/>
      <c r="D88" s="62"/>
      <c r="E88" s="62"/>
      <c r="F88" s="62"/>
      <c r="G88" s="62"/>
      <c r="H88" s="63"/>
      <c r="I88" s="62"/>
    </row>
    <row r="89" ht="33" customHeight="1" spans="1:9">
      <c r="A89" s="46" t="s">
        <v>236</v>
      </c>
      <c r="B89" s="46"/>
      <c r="C89" s="46"/>
      <c r="D89" s="46"/>
      <c r="E89" s="46"/>
      <c r="F89" s="46"/>
      <c r="G89" s="46"/>
      <c r="H89" s="47"/>
      <c r="I89" s="46"/>
    </row>
    <row r="90" spans="1:9">
      <c r="A90" s="48" t="s">
        <v>1</v>
      </c>
      <c r="B90" s="48" t="s">
        <v>191</v>
      </c>
      <c r="C90" s="48" t="s">
        <v>192</v>
      </c>
      <c r="D90" s="48"/>
      <c r="E90" s="48"/>
      <c r="F90" s="48"/>
      <c r="G90" s="48"/>
      <c r="H90" s="49"/>
      <c r="I90" s="48"/>
    </row>
    <row r="91" ht="22.5" spans="1:9">
      <c r="A91" s="48"/>
      <c r="B91" s="48"/>
      <c r="C91" s="48" t="s">
        <v>193</v>
      </c>
      <c r="D91" s="48"/>
      <c r="E91" s="48" t="s">
        <v>84</v>
      </c>
      <c r="F91" s="48" t="s">
        <v>194</v>
      </c>
      <c r="G91" s="48" t="s">
        <v>195</v>
      </c>
      <c r="H91" s="49" t="s">
        <v>196</v>
      </c>
      <c r="I91" s="48" t="s">
        <v>6</v>
      </c>
    </row>
    <row r="92" ht="22.5" spans="1:9">
      <c r="A92" s="50">
        <v>5</v>
      </c>
      <c r="B92" s="51" t="s">
        <v>105</v>
      </c>
      <c r="C92" s="51" t="s">
        <v>198</v>
      </c>
      <c r="D92" s="52" t="s">
        <v>199</v>
      </c>
      <c r="E92" s="51" t="s">
        <v>92</v>
      </c>
      <c r="F92" s="51">
        <v>1</v>
      </c>
      <c r="G92" s="53">
        <v>15</v>
      </c>
      <c r="H92" s="64">
        <f>SUM(F92*G92)</f>
        <v>15</v>
      </c>
      <c r="I92" s="51"/>
    </row>
    <row r="93" ht="22.5" spans="1:9">
      <c r="A93" s="50"/>
      <c r="B93" s="51"/>
      <c r="C93" s="51" t="s">
        <v>200</v>
      </c>
      <c r="D93" s="52" t="s">
        <v>201</v>
      </c>
      <c r="E93" s="51" t="s">
        <v>92</v>
      </c>
      <c r="F93" s="51">
        <v>1</v>
      </c>
      <c r="G93" s="53">
        <v>15</v>
      </c>
      <c r="H93" s="64">
        <f>SUM(F93*G93)</f>
        <v>15</v>
      </c>
      <c r="I93" s="51"/>
    </row>
    <row r="94" ht="22.5" spans="1:9">
      <c r="A94" s="50"/>
      <c r="B94" s="51"/>
      <c r="C94" s="51" t="s">
        <v>202</v>
      </c>
      <c r="D94" s="52" t="s">
        <v>203</v>
      </c>
      <c r="E94" s="51" t="s">
        <v>92</v>
      </c>
      <c r="F94" s="51">
        <v>1</v>
      </c>
      <c r="G94" s="53">
        <v>6</v>
      </c>
      <c r="H94" s="64">
        <f>SUM(F94*G94)</f>
        <v>6</v>
      </c>
      <c r="I94" s="51"/>
    </row>
    <row r="95" spans="1:9">
      <c r="A95" s="50"/>
      <c r="B95" s="51"/>
      <c r="C95" s="51" t="s">
        <v>204</v>
      </c>
      <c r="D95" s="52" t="s">
        <v>237</v>
      </c>
      <c r="E95" s="51" t="s">
        <v>206</v>
      </c>
      <c r="F95" s="53">
        <v>1.62</v>
      </c>
      <c r="G95" s="53">
        <v>4.8</v>
      </c>
      <c r="H95" s="64">
        <f>SUM(F95*G95)</f>
        <v>7.776</v>
      </c>
      <c r="I95" s="53" t="s">
        <v>207</v>
      </c>
    </row>
    <row r="96" spans="1:9">
      <c r="A96" s="50"/>
      <c r="B96" s="51"/>
      <c r="C96" s="51"/>
      <c r="D96" s="52" t="s">
        <v>238</v>
      </c>
      <c r="E96" s="51" t="s">
        <v>206</v>
      </c>
      <c r="F96" s="53">
        <v>2.5</v>
      </c>
      <c r="G96" s="53">
        <v>4.8</v>
      </c>
      <c r="H96" s="64">
        <f t="shared" ref="H96:H102" si="4">SUM(F96*G96)</f>
        <v>12</v>
      </c>
      <c r="I96" s="53" t="s">
        <v>207</v>
      </c>
    </row>
    <row r="97" spans="1:9">
      <c r="A97" s="50"/>
      <c r="B97" s="51"/>
      <c r="C97" s="51"/>
      <c r="D97" s="52" t="s">
        <v>210</v>
      </c>
      <c r="E97" s="51" t="s">
        <v>92</v>
      </c>
      <c r="F97" s="53">
        <v>1</v>
      </c>
      <c r="G97" s="53">
        <v>13</v>
      </c>
      <c r="H97" s="64">
        <f t="shared" si="4"/>
        <v>13</v>
      </c>
      <c r="I97" s="53"/>
    </row>
    <row r="98" spans="1:9">
      <c r="A98" s="50"/>
      <c r="B98" s="51"/>
      <c r="C98" s="51"/>
      <c r="D98" s="52" t="s">
        <v>63</v>
      </c>
      <c r="E98" s="51"/>
      <c r="F98" s="51"/>
      <c r="G98" s="53"/>
      <c r="H98" s="64">
        <f t="shared" si="4"/>
        <v>0</v>
      </c>
      <c r="I98" s="51"/>
    </row>
    <row r="99" spans="1:9">
      <c r="A99" s="50"/>
      <c r="B99" s="51"/>
      <c r="C99" s="51" t="s">
        <v>211</v>
      </c>
      <c r="D99" s="52" t="s">
        <v>212</v>
      </c>
      <c r="E99" s="51" t="s">
        <v>213</v>
      </c>
      <c r="F99" s="51">
        <v>4</v>
      </c>
      <c r="G99" s="53">
        <v>0.3</v>
      </c>
      <c r="H99" s="64">
        <f t="shared" si="4"/>
        <v>1.2</v>
      </c>
      <c r="I99" s="53" t="s">
        <v>207</v>
      </c>
    </row>
    <row r="100" spans="1:9">
      <c r="A100" s="50"/>
      <c r="B100" s="51"/>
      <c r="C100" s="51"/>
      <c r="D100" s="52" t="s">
        <v>214</v>
      </c>
      <c r="E100" s="51" t="s">
        <v>215</v>
      </c>
      <c r="F100" s="51">
        <v>2</v>
      </c>
      <c r="G100" s="53">
        <v>0.2</v>
      </c>
      <c r="H100" s="64">
        <f t="shared" si="4"/>
        <v>0.4</v>
      </c>
      <c r="I100" s="53" t="s">
        <v>207</v>
      </c>
    </row>
    <row r="101" spans="1:9">
      <c r="A101" s="50"/>
      <c r="B101" s="51"/>
      <c r="C101" s="51"/>
      <c r="D101" s="52" t="s">
        <v>216</v>
      </c>
      <c r="E101" s="51" t="s">
        <v>213</v>
      </c>
      <c r="F101" s="51">
        <v>2</v>
      </c>
      <c r="G101" s="53">
        <v>0.5</v>
      </c>
      <c r="H101" s="64">
        <f t="shared" si="4"/>
        <v>1</v>
      </c>
      <c r="I101" s="51"/>
    </row>
    <row r="102" spans="1:9">
      <c r="A102" s="50"/>
      <c r="B102" s="51"/>
      <c r="C102" s="51"/>
      <c r="D102" s="52" t="s">
        <v>217</v>
      </c>
      <c r="E102" s="51" t="s">
        <v>213</v>
      </c>
      <c r="F102" s="51">
        <v>4.5</v>
      </c>
      <c r="G102" s="53">
        <v>0.5</v>
      </c>
      <c r="H102" s="64">
        <f t="shared" si="4"/>
        <v>2.25</v>
      </c>
      <c r="I102" s="51"/>
    </row>
    <row r="103" ht="33.75" spans="1:9">
      <c r="A103" s="50"/>
      <c r="B103" s="51"/>
      <c r="C103" s="51"/>
      <c r="D103" s="52" t="s">
        <v>218</v>
      </c>
      <c r="E103" s="51" t="s">
        <v>92</v>
      </c>
      <c r="F103" s="51">
        <v>1</v>
      </c>
      <c r="G103" s="53">
        <v>0</v>
      </c>
      <c r="H103" s="53">
        <f>F103*G103</f>
        <v>0</v>
      </c>
      <c r="I103" s="51" t="s">
        <v>219</v>
      </c>
    </row>
    <row r="104" spans="1:10">
      <c r="A104" s="50"/>
      <c r="B104" s="51"/>
      <c r="C104" s="51"/>
      <c r="D104" s="52" t="s">
        <v>63</v>
      </c>
      <c r="E104" s="52"/>
      <c r="F104" s="51"/>
      <c r="G104" s="53"/>
      <c r="H104" s="53"/>
      <c r="I104" s="51"/>
      <c r="J104">
        <f>SUM(H92:H102)</f>
        <v>73.626</v>
      </c>
    </row>
    <row r="105" ht="33" customHeight="1" spans="1:9">
      <c r="A105" s="50"/>
      <c r="B105" s="51"/>
      <c r="C105" s="51" t="s">
        <v>220</v>
      </c>
      <c r="D105" s="52" t="s">
        <v>221</v>
      </c>
      <c r="E105" s="51" t="s">
        <v>92</v>
      </c>
      <c r="F105" s="54">
        <v>1</v>
      </c>
      <c r="G105" s="53"/>
      <c r="H105" s="53">
        <f>SUM(H92:H103)*9%</f>
        <v>6.62634</v>
      </c>
      <c r="I105" s="51"/>
    </row>
    <row r="106" ht="22.5" spans="1:9">
      <c r="A106" s="50"/>
      <c r="B106" s="51"/>
      <c r="C106" s="55" t="s">
        <v>222</v>
      </c>
      <c r="D106" s="56" t="s">
        <v>223</v>
      </c>
      <c r="E106" s="55"/>
      <c r="F106" s="57"/>
      <c r="G106" s="58"/>
      <c r="H106" s="58">
        <f>SUM(H92:H105)</f>
        <v>80.25234</v>
      </c>
      <c r="I106" s="57"/>
    </row>
    <row r="107" ht="35" customHeight="1" spans="1:9">
      <c r="A107" s="50"/>
      <c r="B107" s="51"/>
      <c r="C107" s="59" t="s">
        <v>224</v>
      </c>
      <c r="D107" s="60" t="s">
        <v>225</v>
      </c>
      <c r="E107" s="59" t="s">
        <v>92</v>
      </c>
      <c r="F107" s="59"/>
      <c r="G107" s="61"/>
      <c r="H107" s="61">
        <f>SUM(H95:H102)</f>
        <v>37.626</v>
      </c>
      <c r="I107" s="59"/>
    </row>
    <row r="108" ht="42" customHeight="1" spans="1:9">
      <c r="A108" s="50"/>
      <c r="B108" s="51"/>
      <c r="C108" s="59"/>
      <c r="D108" s="60" t="s">
        <v>226</v>
      </c>
      <c r="E108" s="59" t="s">
        <v>92</v>
      </c>
      <c r="F108" s="59"/>
      <c r="G108" s="59"/>
      <c r="H108" s="61">
        <f>SUM(H106-H107)</f>
        <v>42.62634</v>
      </c>
      <c r="I108" s="59"/>
    </row>
    <row r="109" ht="27" customHeight="1" spans="1:9">
      <c r="A109" s="62" t="s">
        <v>227</v>
      </c>
      <c r="B109" s="62"/>
      <c r="C109" s="62"/>
      <c r="D109" s="62"/>
      <c r="E109" s="62"/>
      <c r="F109" s="62"/>
      <c r="G109" s="62"/>
      <c r="H109" s="63"/>
      <c r="I109" s="62"/>
    </row>
    <row r="110" ht="24" customHeight="1" spans="1:9">
      <c r="A110" s="46" t="s">
        <v>239</v>
      </c>
      <c r="B110" s="46"/>
      <c r="C110" s="46"/>
      <c r="D110" s="46"/>
      <c r="E110" s="46"/>
      <c r="F110" s="46"/>
      <c r="G110" s="46"/>
      <c r="H110" s="47"/>
      <c r="I110" s="46"/>
    </row>
    <row r="111" spans="1:9">
      <c r="A111" s="48" t="s">
        <v>1</v>
      </c>
      <c r="B111" s="48" t="s">
        <v>191</v>
      </c>
      <c r="C111" s="48" t="s">
        <v>192</v>
      </c>
      <c r="D111" s="48"/>
      <c r="E111" s="48"/>
      <c r="F111" s="48"/>
      <c r="G111" s="48"/>
      <c r="H111" s="49"/>
      <c r="I111" s="48"/>
    </row>
    <row r="112" ht="22.5" spans="1:9">
      <c r="A112" s="48"/>
      <c r="B112" s="48"/>
      <c r="C112" s="48" t="s">
        <v>193</v>
      </c>
      <c r="D112" s="48"/>
      <c r="E112" s="48" t="s">
        <v>84</v>
      </c>
      <c r="F112" s="48" t="s">
        <v>194</v>
      </c>
      <c r="G112" s="48" t="s">
        <v>195</v>
      </c>
      <c r="H112" s="49" t="s">
        <v>196</v>
      </c>
      <c r="I112" s="48" t="s">
        <v>6</v>
      </c>
    </row>
    <row r="113" ht="22.5" spans="1:9">
      <c r="A113" s="50">
        <v>6</v>
      </c>
      <c r="B113" s="51" t="s">
        <v>105</v>
      </c>
      <c r="C113" s="51" t="s">
        <v>198</v>
      </c>
      <c r="D113" s="52" t="s">
        <v>199</v>
      </c>
      <c r="E113" s="51" t="s">
        <v>92</v>
      </c>
      <c r="F113" s="51">
        <v>1</v>
      </c>
      <c r="G113" s="53">
        <v>15</v>
      </c>
      <c r="H113" s="64">
        <f t="shared" ref="H113:H123" si="5">SUM(F113*G113)</f>
        <v>15</v>
      </c>
      <c r="I113" s="51"/>
    </row>
    <row r="114" ht="22.5" spans="1:9">
      <c r="A114" s="50"/>
      <c r="B114" s="51"/>
      <c r="C114" s="51" t="s">
        <v>200</v>
      </c>
      <c r="D114" s="52" t="s">
        <v>201</v>
      </c>
      <c r="E114" s="51" t="s">
        <v>92</v>
      </c>
      <c r="F114" s="51">
        <v>1</v>
      </c>
      <c r="G114" s="53">
        <v>15</v>
      </c>
      <c r="H114" s="64">
        <f t="shared" si="5"/>
        <v>15</v>
      </c>
      <c r="I114" s="51"/>
    </row>
    <row r="115" ht="22.5" spans="1:9">
      <c r="A115" s="50"/>
      <c r="B115" s="51"/>
      <c r="C115" s="51" t="s">
        <v>202</v>
      </c>
      <c r="D115" s="52" t="s">
        <v>203</v>
      </c>
      <c r="E115" s="51" t="s">
        <v>92</v>
      </c>
      <c r="F115" s="51">
        <v>1</v>
      </c>
      <c r="G115" s="53">
        <v>6</v>
      </c>
      <c r="H115" s="64">
        <f t="shared" si="5"/>
        <v>6</v>
      </c>
      <c r="I115" s="51"/>
    </row>
    <row r="116" spans="1:9">
      <c r="A116" s="50"/>
      <c r="B116" s="51"/>
      <c r="C116" s="51" t="s">
        <v>204</v>
      </c>
      <c r="D116" s="52" t="s">
        <v>237</v>
      </c>
      <c r="E116" s="51" t="s">
        <v>206</v>
      </c>
      <c r="F116" s="53">
        <v>1.62</v>
      </c>
      <c r="G116" s="53">
        <v>4.8</v>
      </c>
      <c r="H116" s="64">
        <f t="shared" si="5"/>
        <v>7.776</v>
      </c>
      <c r="I116" s="53" t="s">
        <v>207</v>
      </c>
    </row>
    <row r="117" spans="1:9">
      <c r="A117" s="50"/>
      <c r="B117" s="51"/>
      <c r="C117" s="51"/>
      <c r="D117" s="52" t="s">
        <v>238</v>
      </c>
      <c r="E117" s="51" t="s">
        <v>206</v>
      </c>
      <c r="F117" s="53">
        <v>2.5</v>
      </c>
      <c r="G117" s="53">
        <v>4.8</v>
      </c>
      <c r="H117" s="64">
        <f t="shared" si="5"/>
        <v>12</v>
      </c>
      <c r="I117" s="53" t="s">
        <v>207</v>
      </c>
    </row>
    <row r="118" spans="1:9">
      <c r="A118" s="50"/>
      <c r="B118" s="51"/>
      <c r="C118" s="51"/>
      <c r="D118" s="52" t="s">
        <v>210</v>
      </c>
      <c r="E118" s="51" t="s">
        <v>92</v>
      </c>
      <c r="F118" s="53">
        <v>1</v>
      </c>
      <c r="G118" s="53">
        <v>13</v>
      </c>
      <c r="H118" s="64">
        <f t="shared" si="5"/>
        <v>13</v>
      </c>
      <c r="I118" s="53"/>
    </row>
    <row r="119" spans="1:9">
      <c r="A119" s="50"/>
      <c r="B119" s="51"/>
      <c r="C119" s="51"/>
      <c r="D119" s="52" t="s">
        <v>63</v>
      </c>
      <c r="E119" s="51"/>
      <c r="F119" s="51"/>
      <c r="G119" s="53"/>
      <c r="H119" s="64">
        <f t="shared" si="5"/>
        <v>0</v>
      </c>
      <c r="I119" s="51"/>
    </row>
    <row r="120" spans="1:9">
      <c r="A120" s="50"/>
      <c r="B120" s="51"/>
      <c r="C120" s="51" t="s">
        <v>211</v>
      </c>
      <c r="D120" s="52" t="s">
        <v>212</v>
      </c>
      <c r="E120" s="51" t="s">
        <v>213</v>
      </c>
      <c r="F120" s="51">
        <v>4</v>
      </c>
      <c r="G120" s="53">
        <v>0.3</v>
      </c>
      <c r="H120" s="64">
        <f t="shared" si="5"/>
        <v>1.2</v>
      </c>
      <c r="I120" s="53" t="s">
        <v>207</v>
      </c>
    </row>
    <row r="121" spans="1:9">
      <c r="A121" s="50"/>
      <c r="B121" s="51"/>
      <c r="C121" s="51"/>
      <c r="D121" s="52" t="s">
        <v>214</v>
      </c>
      <c r="E121" s="51" t="s">
        <v>215</v>
      </c>
      <c r="F121" s="51">
        <v>2</v>
      </c>
      <c r="G121" s="53">
        <v>0.2</v>
      </c>
      <c r="H121" s="64">
        <f t="shared" si="5"/>
        <v>0.4</v>
      </c>
      <c r="I121" s="53" t="s">
        <v>207</v>
      </c>
    </row>
    <row r="122" spans="1:9">
      <c r="A122" s="50"/>
      <c r="B122" s="51"/>
      <c r="C122" s="51"/>
      <c r="D122" s="52" t="s">
        <v>216</v>
      </c>
      <c r="E122" s="51" t="s">
        <v>213</v>
      </c>
      <c r="F122" s="51">
        <v>2</v>
      </c>
      <c r="G122" s="53">
        <v>0.5</v>
      </c>
      <c r="H122" s="64">
        <f t="shared" si="5"/>
        <v>1</v>
      </c>
      <c r="I122" s="51"/>
    </row>
    <row r="123" spans="1:9">
      <c r="A123" s="50"/>
      <c r="B123" s="51"/>
      <c r="C123" s="51"/>
      <c r="D123" s="52" t="s">
        <v>217</v>
      </c>
      <c r="E123" s="51" t="s">
        <v>213</v>
      </c>
      <c r="F123" s="51">
        <v>4.5</v>
      </c>
      <c r="G123" s="53">
        <v>0.5</v>
      </c>
      <c r="H123" s="64">
        <f t="shared" si="5"/>
        <v>2.25</v>
      </c>
      <c r="I123" s="51"/>
    </row>
    <row r="124" ht="33.75" spans="1:9">
      <c r="A124" s="50"/>
      <c r="B124" s="51"/>
      <c r="C124" s="51"/>
      <c r="D124" s="52" t="s">
        <v>218</v>
      </c>
      <c r="E124" s="51" t="s">
        <v>92</v>
      </c>
      <c r="F124" s="51">
        <v>1</v>
      </c>
      <c r="G124" s="53">
        <v>0</v>
      </c>
      <c r="H124" s="53">
        <f>F124*G124</f>
        <v>0</v>
      </c>
      <c r="I124" s="51" t="s">
        <v>219</v>
      </c>
    </row>
    <row r="125" spans="1:10">
      <c r="A125" s="50"/>
      <c r="B125" s="51"/>
      <c r="C125" s="51"/>
      <c r="D125" s="52" t="s">
        <v>63</v>
      </c>
      <c r="E125" s="52"/>
      <c r="F125" s="51"/>
      <c r="G125" s="53"/>
      <c r="H125" s="53"/>
      <c r="I125" s="51"/>
      <c r="J125">
        <f>SUM(H113:H123)</f>
        <v>73.626</v>
      </c>
    </row>
    <row r="126" ht="22.5" spans="1:9">
      <c r="A126" s="50"/>
      <c r="B126" s="51"/>
      <c r="C126" s="51" t="s">
        <v>220</v>
      </c>
      <c r="D126" s="52" t="s">
        <v>221</v>
      </c>
      <c r="E126" s="51" t="s">
        <v>92</v>
      </c>
      <c r="F126" s="54">
        <v>1</v>
      </c>
      <c r="G126" s="53"/>
      <c r="H126" s="53">
        <f>SUM(H113:H124)*9%</f>
        <v>6.62634</v>
      </c>
      <c r="I126" s="51"/>
    </row>
    <row r="127" ht="22.5" spans="1:9">
      <c r="A127" s="50"/>
      <c r="B127" s="51"/>
      <c r="C127" s="55" t="s">
        <v>222</v>
      </c>
      <c r="D127" s="56" t="s">
        <v>223</v>
      </c>
      <c r="E127" s="55"/>
      <c r="F127" s="57"/>
      <c r="G127" s="58"/>
      <c r="H127" s="58">
        <f>SUM(H113:H126)</f>
        <v>80.25234</v>
      </c>
      <c r="I127" s="57"/>
    </row>
    <row r="128" ht="30" customHeight="1" spans="1:9">
      <c r="A128" s="50"/>
      <c r="B128" s="51"/>
      <c r="C128" s="59" t="s">
        <v>224</v>
      </c>
      <c r="D128" s="60" t="s">
        <v>225</v>
      </c>
      <c r="E128" s="59" t="s">
        <v>92</v>
      </c>
      <c r="F128" s="59"/>
      <c r="G128" s="61"/>
      <c r="H128" s="61">
        <f>SUM(H116:H123)</f>
        <v>37.626</v>
      </c>
      <c r="I128" s="59"/>
    </row>
    <row r="129" ht="27" customHeight="1" spans="1:9">
      <c r="A129" s="50"/>
      <c r="B129" s="51"/>
      <c r="C129" s="59"/>
      <c r="D129" s="60" t="s">
        <v>226</v>
      </c>
      <c r="E129" s="59" t="s">
        <v>92</v>
      </c>
      <c r="F129" s="59"/>
      <c r="G129" s="59"/>
      <c r="H129" s="61">
        <f>SUM(H127-H128)</f>
        <v>42.62634</v>
      </c>
      <c r="I129" s="59"/>
    </row>
    <row r="130" ht="43" customHeight="1" spans="1:9">
      <c r="A130" s="62" t="s">
        <v>227</v>
      </c>
      <c r="B130" s="62"/>
      <c r="C130" s="62"/>
      <c r="D130" s="62"/>
      <c r="E130" s="62"/>
      <c r="F130" s="62"/>
      <c r="G130" s="62"/>
      <c r="H130" s="63"/>
      <c r="I130" s="62"/>
    </row>
    <row r="131" ht="33" customHeight="1" spans="1:9">
      <c r="A131" s="46" t="s">
        <v>240</v>
      </c>
      <c r="B131" s="46"/>
      <c r="C131" s="46"/>
      <c r="D131" s="46"/>
      <c r="E131" s="46"/>
      <c r="F131" s="46"/>
      <c r="G131" s="46"/>
      <c r="H131" s="47"/>
      <c r="I131" s="46"/>
    </row>
    <row r="132" spans="1:9">
      <c r="A132" s="48" t="s">
        <v>1</v>
      </c>
      <c r="B132" s="48" t="s">
        <v>191</v>
      </c>
      <c r="C132" s="48" t="s">
        <v>192</v>
      </c>
      <c r="D132" s="48"/>
      <c r="E132" s="48"/>
      <c r="F132" s="48"/>
      <c r="G132" s="48"/>
      <c r="H132" s="49"/>
      <c r="I132" s="48"/>
    </row>
    <row r="133" ht="22.5" spans="1:9">
      <c r="A133" s="48"/>
      <c r="B133" s="48"/>
      <c r="C133" s="48" t="s">
        <v>193</v>
      </c>
      <c r="D133" s="48"/>
      <c r="E133" s="48" t="s">
        <v>84</v>
      </c>
      <c r="F133" s="48" t="s">
        <v>194</v>
      </c>
      <c r="G133" s="48" t="s">
        <v>195</v>
      </c>
      <c r="H133" s="49" t="s">
        <v>196</v>
      </c>
      <c r="I133" s="48" t="s">
        <v>6</v>
      </c>
    </row>
    <row r="134" ht="22.5" spans="1:9">
      <c r="A134" s="50">
        <v>7</v>
      </c>
      <c r="B134" s="51" t="s">
        <v>109</v>
      </c>
      <c r="C134" s="51" t="s">
        <v>198</v>
      </c>
      <c r="D134" s="52" t="s">
        <v>199</v>
      </c>
      <c r="E134" s="51" t="s">
        <v>92</v>
      </c>
      <c r="F134" s="51">
        <v>1</v>
      </c>
      <c r="G134" s="53">
        <v>10</v>
      </c>
      <c r="H134" s="53">
        <f>SUM(F134*G134)</f>
        <v>10</v>
      </c>
      <c r="I134" s="51"/>
    </row>
    <row r="135" ht="22.5" spans="1:9">
      <c r="A135" s="50"/>
      <c r="B135" s="51"/>
      <c r="C135" s="51" t="s">
        <v>200</v>
      </c>
      <c r="D135" s="52" t="s">
        <v>201</v>
      </c>
      <c r="E135" s="51" t="s">
        <v>92</v>
      </c>
      <c r="F135" s="51">
        <v>1</v>
      </c>
      <c r="G135" s="53">
        <v>18</v>
      </c>
      <c r="H135" s="53">
        <f t="shared" ref="H135:H144" si="6">SUM(F135*G135)</f>
        <v>18</v>
      </c>
      <c r="I135" s="51"/>
    </row>
    <row r="136" ht="22.5" spans="1:9">
      <c r="A136" s="50"/>
      <c r="B136" s="51"/>
      <c r="C136" s="51" t="s">
        <v>202</v>
      </c>
      <c r="D136" s="52" t="s">
        <v>203</v>
      </c>
      <c r="E136" s="51" t="s">
        <v>92</v>
      </c>
      <c r="F136" s="51">
        <v>1</v>
      </c>
      <c r="G136" s="53">
        <v>4</v>
      </c>
      <c r="H136" s="53">
        <f t="shared" si="6"/>
        <v>4</v>
      </c>
      <c r="I136" s="51"/>
    </row>
    <row r="137" spans="1:9">
      <c r="A137" s="50"/>
      <c r="B137" s="51"/>
      <c r="C137" s="51" t="s">
        <v>204</v>
      </c>
      <c r="D137" s="52" t="s">
        <v>237</v>
      </c>
      <c r="E137" s="51" t="s">
        <v>206</v>
      </c>
      <c r="F137" s="53">
        <v>1.6</v>
      </c>
      <c r="G137" s="53">
        <v>4.8</v>
      </c>
      <c r="H137" s="53">
        <f>F137*G137</f>
        <v>7.68</v>
      </c>
      <c r="I137" s="53" t="s">
        <v>207</v>
      </c>
    </row>
    <row r="138" spans="1:9">
      <c r="A138" s="50"/>
      <c r="B138" s="51"/>
      <c r="C138" s="51"/>
      <c r="D138" s="52" t="s">
        <v>238</v>
      </c>
      <c r="E138" s="51" t="s">
        <v>206</v>
      </c>
      <c r="F138" s="53">
        <v>1.22</v>
      </c>
      <c r="G138" s="53">
        <v>4.8</v>
      </c>
      <c r="H138" s="53">
        <f t="shared" si="6"/>
        <v>5.856</v>
      </c>
      <c r="I138" s="53" t="s">
        <v>207</v>
      </c>
    </row>
    <row r="139" spans="1:9">
      <c r="A139" s="50"/>
      <c r="B139" s="51"/>
      <c r="C139" s="51"/>
      <c r="D139" s="52" t="s">
        <v>210</v>
      </c>
      <c r="E139" s="51" t="s">
        <v>92</v>
      </c>
      <c r="F139" s="53">
        <v>1</v>
      </c>
      <c r="G139" s="53">
        <v>14</v>
      </c>
      <c r="H139" s="53">
        <f t="shared" si="6"/>
        <v>14</v>
      </c>
      <c r="I139" s="53"/>
    </row>
    <row r="140" spans="1:9">
      <c r="A140" s="50"/>
      <c r="B140" s="51"/>
      <c r="C140" s="51"/>
      <c r="D140" s="52" t="s">
        <v>63</v>
      </c>
      <c r="E140" s="51"/>
      <c r="F140" s="51"/>
      <c r="G140" s="53"/>
      <c r="H140" s="53">
        <f t="shared" si="6"/>
        <v>0</v>
      </c>
      <c r="I140" s="51"/>
    </row>
    <row r="141" spans="1:9">
      <c r="A141" s="50"/>
      <c r="B141" s="51"/>
      <c r="C141" s="51" t="s">
        <v>211</v>
      </c>
      <c r="D141" s="52" t="s">
        <v>212</v>
      </c>
      <c r="E141" s="51" t="s">
        <v>213</v>
      </c>
      <c r="F141" s="51">
        <v>4</v>
      </c>
      <c r="G141" s="53">
        <v>0.3</v>
      </c>
      <c r="H141" s="53">
        <f t="shared" si="6"/>
        <v>1.2</v>
      </c>
      <c r="I141" s="53" t="s">
        <v>207</v>
      </c>
    </row>
    <row r="142" spans="1:9">
      <c r="A142" s="50"/>
      <c r="B142" s="51"/>
      <c r="C142" s="51"/>
      <c r="D142" s="52" t="s">
        <v>214</v>
      </c>
      <c r="E142" s="51" t="s">
        <v>215</v>
      </c>
      <c r="F142" s="51">
        <v>2</v>
      </c>
      <c r="G142" s="53">
        <v>0.2</v>
      </c>
      <c r="H142" s="53">
        <f t="shared" si="6"/>
        <v>0.4</v>
      </c>
      <c r="I142" s="53" t="s">
        <v>207</v>
      </c>
    </row>
    <row r="143" spans="1:9">
      <c r="A143" s="50"/>
      <c r="B143" s="51"/>
      <c r="C143" s="51"/>
      <c r="D143" s="52" t="s">
        <v>216</v>
      </c>
      <c r="E143" s="51" t="s">
        <v>213</v>
      </c>
      <c r="F143" s="51"/>
      <c r="G143" s="53"/>
      <c r="H143" s="53">
        <f t="shared" si="6"/>
        <v>0</v>
      </c>
      <c r="I143" s="51"/>
    </row>
    <row r="144" spans="1:9">
      <c r="A144" s="50"/>
      <c r="B144" s="51"/>
      <c r="C144" s="51"/>
      <c r="D144" s="52" t="s">
        <v>217</v>
      </c>
      <c r="E144" s="51" t="s">
        <v>213</v>
      </c>
      <c r="F144" s="51">
        <v>4.5</v>
      </c>
      <c r="G144" s="53">
        <v>0.5</v>
      </c>
      <c r="H144" s="53">
        <f t="shared" si="6"/>
        <v>2.25</v>
      </c>
      <c r="I144" s="51"/>
    </row>
    <row r="145" ht="33.75" spans="1:9">
      <c r="A145" s="50"/>
      <c r="B145" s="51"/>
      <c r="C145" s="51"/>
      <c r="D145" s="52" t="s">
        <v>218</v>
      </c>
      <c r="E145" s="51" t="s">
        <v>92</v>
      </c>
      <c r="F145" s="51">
        <v>1</v>
      </c>
      <c r="G145" s="53">
        <v>0</v>
      </c>
      <c r="H145" s="53">
        <f>F145*G145</f>
        <v>0</v>
      </c>
      <c r="I145" s="51" t="s">
        <v>219</v>
      </c>
    </row>
    <row r="146" spans="1:10">
      <c r="A146" s="50"/>
      <c r="B146" s="51"/>
      <c r="C146" s="51"/>
      <c r="D146" s="52" t="s">
        <v>63</v>
      </c>
      <c r="E146" s="52"/>
      <c r="F146" s="51"/>
      <c r="G146" s="53"/>
      <c r="H146" s="53"/>
      <c r="I146" s="51"/>
      <c r="J146">
        <f>SUM(H134:H144)</f>
        <v>63.386</v>
      </c>
    </row>
    <row r="147" ht="22.5" spans="1:9">
      <c r="A147" s="50"/>
      <c r="B147" s="51"/>
      <c r="C147" s="51" t="s">
        <v>220</v>
      </c>
      <c r="D147" s="52" t="s">
        <v>221</v>
      </c>
      <c r="E147" s="51" t="s">
        <v>92</v>
      </c>
      <c r="F147" s="54">
        <v>1</v>
      </c>
      <c r="G147" s="53"/>
      <c r="H147" s="53">
        <f>SUM(H134:H145)*9%</f>
        <v>5.70474</v>
      </c>
      <c r="I147" s="51"/>
    </row>
    <row r="148" ht="22.5" spans="1:9">
      <c r="A148" s="50"/>
      <c r="B148" s="51"/>
      <c r="C148" s="55" t="s">
        <v>222</v>
      </c>
      <c r="D148" s="56" t="s">
        <v>223</v>
      </c>
      <c r="E148" s="55"/>
      <c r="F148" s="57"/>
      <c r="G148" s="58"/>
      <c r="H148" s="58">
        <f>SUM(H134:H147)</f>
        <v>69.09074</v>
      </c>
      <c r="I148" s="57"/>
    </row>
    <row r="149" spans="1:9">
      <c r="A149" s="50"/>
      <c r="B149" s="51"/>
      <c r="C149" s="59" t="s">
        <v>224</v>
      </c>
      <c r="D149" s="60" t="s">
        <v>225</v>
      </c>
      <c r="E149" s="59" t="s">
        <v>92</v>
      </c>
      <c r="F149" s="59"/>
      <c r="G149" s="61"/>
      <c r="H149" s="61">
        <f>SUM(H137:H144)</f>
        <v>31.386</v>
      </c>
      <c r="I149" s="59"/>
    </row>
    <row r="150" spans="1:9">
      <c r="A150" s="50"/>
      <c r="B150" s="51"/>
      <c r="C150" s="59"/>
      <c r="D150" s="60" t="s">
        <v>226</v>
      </c>
      <c r="E150" s="59" t="s">
        <v>92</v>
      </c>
      <c r="F150" s="59"/>
      <c r="G150" s="59"/>
      <c r="H150" s="61">
        <f>SUM(H148-H149)</f>
        <v>37.70474</v>
      </c>
      <c r="I150" s="59"/>
    </row>
    <row r="151" ht="37" customHeight="1" spans="1:9">
      <c r="A151" s="62" t="s">
        <v>227</v>
      </c>
      <c r="B151" s="62"/>
      <c r="C151" s="62"/>
      <c r="D151" s="62"/>
      <c r="E151" s="62"/>
      <c r="F151" s="62"/>
      <c r="G151" s="62"/>
      <c r="H151" s="63"/>
      <c r="I151" s="62"/>
    </row>
    <row r="152" ht="14" customHeight="1" spans="1:9">
      <c r="A152" s="46" t="s">
        <v>241</v>
      </c>
      <c r="B152" s="46"/>
      <c r="C152" s="46"/>
      <c r="D152" s="46"/>
      <c r="E152" s="46"/>
      <c r="F152" s="46"/>
      <c r="G152" s="46"/>
      <c r="H152" s="47"/>
      <c r="I152" s="46"/>
    </row>
    <row r="153" spans="1:9">
      <c r="A153" s="48" t="s">
        <v>1</v>
      </c>
      <c r="B153" s="48" t="s">
        <v>191</v>
      </c>
      <c r="C153" s="48" t="s">
        <v>192</v>
      </c>
      <c r="D153" s="48"/>
      <c r="E153" s="48"/>
      <c r="F153" s="48"/>
      <c r="G153" s="48"/>
      <c r="H153" s="49"/>
      <c r="I153" s="48"/>
    </row>
    <row r="154" ht="22.5" spans="1:9">
      <c r="A154" s="48"/>
      <c r="B154" s="48"/>
      <c r="C154" s="48" t="s">
        <v>193</v>
      </c>
      <c r="D154" s="48"/>
      <c r="E154" s="48" t="s">
        <v>84</v>
      </c>
      <c r="F154" s="48" t="s">
        <v>194</v>
      </c>
      <c r="G154" s="48" t="s">
        <v>195</v>
      </c>
      <c r="H154" s="49" t="s">
        <v>196</v>
      </c>
      <c r="I154" s="48" t="s">
        <v>6</v>
      </c>
    </row>
    <row r="155" ht="22.5" spans="1:9">
      <c r="A155" s="50">
        <v>8</v>
      </c>
      <c r="B155" s="51" t="s">
        <v>111</v>
      </c>
      <c r="C155" s="51" t="s">
        <v>198</v>
      </c>
      <c r="D155" s="52" t="s">
        <v>199</v>
      </c>
      <c r="E155" s="51" t="s">
        <v>92</v>
      </c>
      <c r="F155" s="51">
        <v>1</v>
      </c>
      <c r="G155" s="53">
        <v>30</v>
      </c>
      <c r="H155" s="53">
        <f>SUM(F155*G155)</f>
        <v>30</v>
      </c>
      <c r="I155" s="51"/>
    </row>
    <row r="156" ht="22.5" spans="1:9">
      <c r="A156" s="50"/>
      <c r="B156" s="51"/>
      <c r="C156" s="51" t="s">
        <v>200</v>
      </c>
      <c r="D156" s="52" t="s">
        <v>201</v>
      </c>
      <c r="E156" s="51" t="s">
        <v>92</v>
      </c>
      <c r="F156" s="51">
        <v>1</v>
      </c>
      <c r="G156" s="53">
        <v>30</v>
      </c>
      <c r="H156" s="53">
        <f t="shared" ref="H156:H168" si="7">SUM(F156*G156)</f>
        <v>30</v>
      </c>
      <c r="I156" s="51"/>
    </row>
    <row r="157" ht="22.5" spans="1:9">
      <c r="A157" s="50"/>
      <c r="B157" s="51"/>
      <c r="C157" s="51" t="s">
        <v>202</v>
      </c>
      <c r="D157" s="52" t="s">
        <v>203</v>
      </c>
      <c r="E157" s="51" t="s">
        <v>92</v>
      </c>
      <c r="F157" s="51">
        <v>1</v>
      </c>
      <c r="G157" s="53">
        <v>6</v>
      </c>
      <c r="H157" s="53">
        <f t="shared" si="7"/>
        <v>6</v>
      </c>
      <c r="I157" s="51"/>
    </row>
    <row r="158" spans="1:9">
      <c r="A158" s="50"/>
      <c r="B158" s="51"/>
      <c r="C158" s="65" t="s">
        <v>204</v>
      </c>
      <c r="D158" s="52" t="s">
        <v>242</v>
      </c>
      <c r="E158" s="51" t="s">
        <v>92</v>
      </c>
      <c r="F158" s="51">
        <v>1</v>
      </c>
      <c r="G158" s="53">
        <v>25</v>
      </c>
      <c r="H158" s="53">
        <f t="shared" si="7"/>
        <v>25</v>
      </c>
      <c r="I158" s="51" t="s">
        <v>243</v>
      </c>
    </row>
    <row r="159" spans="1:9">
      <c r="A159" s="50"/>
      <c r="B159" s="51"/>
      <c r="C159" s="66"/>
      <c r="D159" s="52" t="s">
        <v>233</v>
      </c>
      <c r="E159" s="51" t="s">
        <v>206</v>
      </c>
      <c r="F159" s="51">
        <v>4.31</v>
      </c>
      <c r="G159" s="53">
        <v>4.7</v>
      </c>
      <c r="H159" s="53">
        <f t="shared" si="7"/>
        <v>20.257</v>
      </c>
      <c r="I159" s="51"/>
    </row>
    <row r="160" spans="1:9">
      <c r="A160" s="50"/>
      <c r="B160" s="51"/>
      <c r="C160" s="66"/>
      <c r="D160" s="52" t="s">
        <v>244</v>
      </c>
      <c r="E160" s="51" t="s">
        <v>206</v>
      </c>
      <c r="F160" s="53">
        <v>1.88</v>
      </c>
      <c r="G160" s="53">
        <v>4.7</v>
      </c>
      <c r="H160" s="53">
        <f t="shared" si="7"/>
        <v>8.836</v>
      </c>
      <c r="I160" s="53" t="s">
        <v>207</v>
      </c>
    </row>
    <row r="161" spans="1:9">
      <c r="A161" s="50"/>
      <c r="B161" s="51"/>
      <c r="C161" s="66"/>
      <c r="D161" s="52" t="s">
        <v>209</v>
      </c>
      <c r="E161" s="51" t="s">
        <v>206</v>
      </c>
      <c r="F161" s="53">
        <v>3.3</v>
      </c>
      <c r="G161" s="53">
        <v>4.8</v>
      </c>
      <c r="H161" s="53">
        <f t="shared" si="7"/>
        <v>15.84</v>
      </c>
      <c r="I161" s="53" t="s">
        <v>207</v>
      </c>
    </row>
    <row r="162" spans="1:9">
      <c r="A162" s="50"/>
      <c r="B162" s="51"/>
      <c r="C162" s="66"/>
      <c r="D162" s="52" t="s">
        <v>210</v>
      </c>
      <c r="E162" s="51" t="s">
        <v>92</v>
      </c>
      <c r="F162" s="53">
        <v>1</v>
      </c>
      <c r="G162" s="53">
        <v>15</v>
      </c>
      <c r="H162" s="53">
        <f t="shared" si="7"/>
        <v>15</v>
      </c>
      <c r="I162" s="53"/>
    </row>
    <row r="163" spans="1:9">
      <c r="A163" s="50"/>
      <c r="B163" s="51"/>
      <c r="C163" s="67"/>
      <c r="D163" s="52" t="s">
        <v>245</v>
      </c>
      <c r="E163" s="51" t="s">
        <v>92</v>
      </c>
      <c r="F163" s="51">
        <v>1</v>
      </c>
      <c r="G163" s="53">
        <v>7</v>
      </c>
      <c r="H163" s="53">
        <f t="shared" si="7"/>
        <v>7</v>
      </c>
      <c r="I163" s="51"/>
    </row>
    <row r="164" spans="1:9">
      <c r="A164" s="50"/>
      <c r="B164" s="51"/>
      <c r="C164" s="67"/>
      <c r="D164" s="52"/>
      <c r="E164" s="51"/>
      <c r="F164" s="51"/>
      <c r="G164" s="53"/>
      <c r="H164" s="53">
        <f t="shared" si="7"/>
        <v>0</v>
      </c>
      <c r="I164" s="53"/>
    </row>
    <row r="165" spans="1:9">
      <c r="A165" s="50"/>
      <c r="B165" s="51"/>
      <c r="C165" s="51" t="s">
        <v>211</v>
      </c>
      <c r="D165" s="52" t="s">
        <v>212</v>
      </c>
      <c r="E165" s="51" t="s">
        <v>213</v>
      </c>
      <c r="F165" s="51">
        <v>4</v>
      </c>
      <c r="G165" s="53">
        <v>0.3</v>
      </c>
      <c r="H165" s="53">
        <f t="shared" si="7"/>
        <v>1.2</v>
      </c>
      <c r="I165" s="53" t="s">
        <v>207</v>
      </c>
    </row>
    <row r="166" spans="1:9">
      <c r="A166" s="50"/>
      <c r="B166" s="51"/>
      <c r="C166" s="51"/>
      <c r="D166" s="52" t="s">
        <v>214</v>
      </c>
      <c r="E166" s="51" t="s">
        <v>215</v>
      </c>
      <c r="F166" s="51">
        <v>2</v>
      </c>
      <c r="G166" s="53">
        <v>0.2</v>
      </c>
      <c r="H166" s="53">
        <f t="shared" si="7"/>
        <v>0.4</v>
      </c>
      <c r="I166" s="53" t="s">
        <v>207</v>
      </c>
    </row>
    <row r="167" spans="1:9">
      <c r="A167" s="50"/>
      <c r="B167" s="51"/>
      <c r="C167" s="51"/>
      <c r="D167" s="52" t="s">
        <v>216</v>
      </c>
      <c r="E167" s="51" t="s">
        <v>213</v>
      </c>
      <c r="F167" s="51">
        <v>2</v>
      </c>
      <c r="G167" s="53">
        <v>0.5</v>
      </c>
      <c r="H167" s="53">
        <f t="shared" si="7"/>
        <v>1</v>
      </c>
      <c r="I167" s="51"/>
    </row>
    <row r="168" spans="1:9">
      <c r="A168" s="50"/>
      <c r="B168" s="51"/>
      <c r="C168" s="51"/>
      <c r="D168" s="68" t="s">
        <v>246</v>
      </c>
      <c r="E168" s="51" t="s">
        <v>213</v>
      </c>
      <c r="F168" s="51">
        <v>4.5</v>
      </c>
      <c r="G168" s="53">
        <v>0.5</v>
      </c>
      <c r="H168" s="53">
        <f t="shared" si="7"/>
        <v>2.25</v>
      </c>
      <c r="I168" s="51"/>
    </row>
    <row r="169" ht="33.75" spans="1:9">
      <c r="A169" s="50"/>
      <c r="B169" s="51"/>
      <c r="C169" s="51"/>
      <c r="D169" s="52" t="s">
        <v>218</v>
      </c>
      <c r="E169" s="51" t="s">
        <v>92</v>
      </c>
      <c r="F169" s="51">
        <v>1</v>
      </c>
      <c r="G169" s="53">
        <v>0</v>
      </c>
      <c r="H169" s="53">
        <f>F169*G169</f>
        <v>0</v>
      </c>
      <c r="I169" s="51" t="s">
        <v>219</v>
      </c>
    </row>
    <row r="170" spans="1:10">
      <c r="A170" s="50"/>
      <c r="B170" s="51"/>
      <c r="C170" s="51"/>
      <c r="D170" s="52" t="s">
        <v>63</v>
      </c>
      <c r="E170" s="52"/>
      <c r="F170" s="51"/>
      <c r="G170" s="53"/>
      <c r="H170" s="53"/>
      <c r="I170" s="51"/>
      <c r="J170">
        <f>SUM(H155:H168)</f>
        <v>162.783</v>
      </c>
    </row>
    <row r="171" ht="22.5" spans="1:9">
      <c r="A171" s="50"/>
      <c r="B171" s="51"/>
      <c r="C171" s="51" t="s">
        <v>220</v>
      </c>
      <c r="D171" s="52" t="s">
        <v>221</v>
      </c>
      <c r="E171" s="51" t="s">
        <v>92</v>
      </c>
      <c r="F171" s="54">
        <v>1</v>
      </c>
      <c r="G171" s="53"/>
      <c r="H171" s="53">
        <f>SUM(H155:H169)*9%</f>
        <v>14.65047</v>
      </c>
      <c r="I171" s="51"/>
    </row>
    <row r="172" ht="22.5" spans="1:9">
      <c r="A172" s="50"/>
      <c r="B172" s="51"/>
      <c r="C172" s="55" t="s">
        <v>222</v>
      </c>
      <c r="D172" s="56" t="s">
        <v>223</v>
      </c>
      <c r="E172" s="55"/>
      <c r="F172" s="57"/>
      <c r="G172" s="58"/>
      <c r="H172" s="58">
        <f>SUM(H155:H171)</f>
        <v>177.43347</v>
      </c>
      <c r="I172" s="57"/>
    </row>
    <row r="173" spans="1:9">
      <c r="A173" s="50"/>
      <c r="B173" s="51"/>
      <c r="C173" s="59" t="s">
        <v>224</v>
      </c>
      <c r="D173" s="60" t="s">
        <v>225</v>
      </c>
      <c r="E173" s="59" t="s">
        <v>92</v>
      </c>
      <c r="F173" s="59"/>
      <c r="G173" s="61"/>
      <c r="H173" s="61">
        <f>SUM(H158:H169)</f>
        <v>96.783</v>
      </c>
      <c r="I173" s="59"/>
    </row>
    <row r="174" spans="1:9">
      <c r="A174" s="50"/>
      <c r="B174" s="51"/>
      <c r="C174" s="59"/>
      <c r="D174" s="60" t="s">
        <v>226</v>
      </c>
      <c r="E174" s="59" t="s">
        <v>92</v>
      </c>
      <c r="F174" s="59"/>
      <c r="G174" s="59"/>
      <c r="H174" s="61">
        <f>SUM(H172-H173)</f>
        <v>80.65047</v>
      </c>
      <c r="I174" s="59"/>
    </row>
    <row r="175" ht="38" customHeight="1" spans="1:9">
      <c r="A175" s="62" t="s">
        <v>227</v>
      </c>
      <c r="B175" s="62"/>
      <c r="C175" s="62"/>
      <c r="D175" s="62"/>
      <c r="E175" s="62"/>
      <c r="F175" s="62"/>
      <c r="G175" s="62"/>
      <c r="H175" s="63"/>
      <c r="I175" s="62"/>
    </row>
    <row r="176" ht="20" customHeight="1" spans="1:9">
      <c r="A176" s="46" t="s">
        <v>247</v>
      </c>
      <c r="B176" s="46"/>
      <c r="C176" s="46"/>
      <c r="D176" s="46"/>
      <c r="E176" s="46"/>
      <c r="F176" s="46"/>
      <c r="G176" s="46"/>
      <c r="H176" s="47"/>
      <c r="I176" s="46"/>
    </row>
    <row r="177" spans="1:9">
      <c r="A177" s="48" t="s">
        <v>1</v>
      </c>
      <c r="B177" s="48" t="s">
        <v>191</v>
      </c>
      <c r="C177" s="48" t="s">
        <v>192</v>
      </c>
      <c r="D177" s="48"/>
      <c r="E177" s="48"/>
      <c r="F177" s="48"/>
      <c r="G177" s="48"/>
      <c r="H177" s="49"/>
      <c r="I177" s="48"/>
    </row>
    <row r="178" ht="22.5" spans="1:9">
      <c r="A178" s="48"/>
      <c r="B178" s="48"/>
      <c r="C178" s="48" t="s">
        <v>193</v>
      </c>
      <c r="D178" s="48"/>
      <c r="E178" s="48" t="s">
        <v>84</v>
      </c>
      <c r="F178" s="48" t="s">
        <v>194</v>
      </c>
      <c r="G178" s="48" t="s">
        <v>195</v>
      </c>
      <c r="H178" s="49" t="s">
        <v>196</v>
      </c>
      <c r="I178" s="48" t="s">
        <v>6</v>
      </c>
    </row>
    <row r="179" ht="22.5" spans="1:9">
      <c r="A179" s="50">
        <v>9</v>
      </c>
      <c r="B179" s="51" t="s">
        <v>113</v>
      </c>
      <c r="C179" s="51" t="s">
        <v>198</v>
      </c>
      <c r="D179" s="52" t="s">
        <v>199</v>
      </c>
      <c r="E179" s="51" t="s">
        <v>92</v>
      </c>
      <c r="F179" s="51">
        <v>1</v>
      </c>
      <c r="G179" s="53">
        <v>30</v>
      </c>
      <c r="H179" s="53">
        <f>SUM(F179*G179)</f>
        <v>30</v>
      </c>
      <c r="I179" s="51"/>
    </row>
    <row r="180" ht="22.5" spans="1:9">
      <c r="A180" s="50"/>
      <c r="B180" s="51"/>
      <c r="C180" s="51" t="s">
        <v>200</v>
      </c>
      <c r="D180" s="52" t="s">
        <v>201</v>
      </c>
      <c r="E180" s="51" t="s">
        <v>92</v>
      </c>
      <c r="F180" s="51">
        <v>1</v>
      </c>
      <c r="G180" s="53">
        <v>30</v>
      </c>
      <c r="H180" s="53">
        <f>SUM(F180*G180)</f>
        <v>30</v>
      </c>
      <c r="I180" s="51"/>
    </row>
    <row r="181" ht="22.5" spans="1:9">
      <c r="A181" s="50"/>
      <c r="B181" s="51"/>
      <c r="C181" s="51" t="s">
        <v>202</v>
      </c>
      <c r="D181" s="52" t="s">
        <v>203</v>
      </c>
      <c r="E181" s="51" t="s">
        <v>92</v>
      </c>
      <c r="F181" s="51">
        <v>1</v>
      </c>
      <c r="G181" s="53">
        <v>6</v>
      </c>
      <c r="H181" s="53">
        <f>SUM(F181*G181)</f>
        <v>6</v>
      </c>
      <c r="I181" s="51"/>
    </row>
    <row r="182" spans="1:9">
      <c r="A182" s="50"/>
      <c r="B182" s="51"/>
      <c r="C182" s="65" t="s">
        <v>204</v>
      </c>
      <c r="D182" s="52" t="s">
        <v>233</v>
      </c>
      <c r="E182" s="51" t="s">
        <v>206</v>
      </c>
      <c r="F182" s="51">
        <v>6.8</v>
      </c>
      <c r="G182" s="53">
        <v>4.7</v>
      </c>
      <c r="H182" s="53">
        <f>SUM(F182*G182)</f>
        <v>31.96</v>
      </c>
      <c r="I182" s="51" t="s">
        <v>248</v>
      </c>
    </row>
    <row r="183" spans="1:9">
      <c r="A183" s="50"/>
      <c r="B183" s="51"/>
      <c r="C183" s="66"/>
      <c r="D183" s="52" t="s">
        <v>244</v>
      </c>
      <c r="E183" s="51" t="s">
        <v>206</v>
      </c>
      <c r="F183" s="53">
        <v>1.95</v>
      </c>
      <c r="G183" s="53">
        <v>4.7</v>
      </c>
      <c r="H183" s="53">
        <f t="shared" ref="H183:H190" si="8">SUM(F183*G183)</f>
        <v>9.165</v>
      </c>
      <c r="I183" s="51"/>
    </row>
    <row r="184" spans="1:9">
      <c r="A184" s="50"/>
      <c r="B184" s="51"/>
      <c r="C184" s="66"/>
      <c r="D184" s="52" t="s">
        <v>209</v>
      </c>
      <c r="E184" s="51" t="s">
        <v>206</v>
      </c>
      <c r="F184" s="53">
        <v>3.5</v>
      </c>
      <c r="G184" s="53">
        <v>4.8</v>
      </c>
      <c r="H184" s="53">
        <f t="shared" si="8"/>
        <v>16.8</v>
      </c>
      <c r="I184" s="53" t="s">
        <v>207</v>
      </c>
    </row>
    <row r="185" spans="1:9">
      <c r="A185" s="50"/>
      <c r="B185" s="51"/>
      <c r="C185" s="66"/>
      <c r="D185" s="52" t="s">
        <v>210</v>
      </c>
      <c r="E185" s="51" t="s">
        <v>92</v>
      </c>
      <c r="F185" s="53">
        <v>1</v>
      </c>
      <c r="G185" s="53">
        <v>15</v>
      </c>
      <c r="H185" s="53">
        <f t="shared" si="8"/>
        <v>15</v>
      </c>
      <c r="I185" s="53"/>
    </row>
    <row r="186" spans="1:9">
      <c r="A186" s="50"/>
      <c r="B186" s="51"/>
      <c r="C186" s="67"/>
      <c r="D186" s="52" t="s">
        <v>63</v>
      </c>
      <c r="E186" s="51"/>
      <c r="F186" s="51"/>
      <c r="G186" s="53"/>
      <c r="H186" s="53">
        <f t="shared" si="8"/>
        <v>0</v>
      </c>
      <c r="I186" s="51"/>
    </row>
    <row r="187" spans="1:9">
      <c r="A187" s="50"/>
      <c r="B187" s="51"/>
      <c r="C187" s="51" t="s">
        <v>211</v>
      </c>
      <c r="D187" s="52" t="s">
        <v>212</v>
      </c>
      <c r="E187" s="51" t="s">
        <v>213</v>
      </c>
      <c r="F187" s="51">
        <v>4</v>
      </c>
      <c r="G187" s="53">
        <v>0.3</v>
      </c>
      <c r="H187" s="53">
        <f t="shared" si="8"/>
        <v>1.2</v>
      </c>
      <c r="I187" s="53" t="s">
        <v>207</v>
      </c>
    </row>
    <row r="188" spans="1:9">
      <c r="A188" s="50"/>
      <c r="B188" s="51"/>
      <c r="C188" s="51"/>
      <c r="D188" s="52" t="s">
        <v>214</v>
      </c>
      <c r="E188" s="51" t="s">
        <v>215</v>
      </c>
      <c r="F188" s="51">
        <v>2</v>
      </c>
      <c r="G188" s="53">
        <v>0.2</v>
      </c>
      <c r="H188" s="53">
        <f t="shared" si="8"/>
        <v>0.4</v>
      </c>
      <c r="I188" s="53" t="s">
        <v>207</v>
      </c>
    </row>
    <row r="189" spans="1:9">
      <c r="A189" s="50"/>
      <c r="B189" s="51"/>
      <c r="C189" s="51"/>
      <c r="D189" s="52" t="s">
        <v>216</v>
      </c>
      <c r="E189" s="51" t="s">
        <v>213</v>
      </c>
      <c r="F189" s="51">
        <v>2</v>
      </c>
      <c r="G189" s="53">
        <v>0.5</v>
      </c>
      <c r="H189" s="53">
        <f t="shared" si="8"/>
        <v>1</v>
      </c>
      <c r="I189" s="51"/>
    </row>
    <row r="190" spans="1:9">
      <c r="A190" s="50"/>
      <c r="B190" s="51"/>
      <c r="C190" s="51"/>
      <c r="D190" s="68" t="s">
        <v>246</v>
      </c>
      <c r="E190" s="51" t="s">
        <v>213</v>
      </c>
      <c r="F190" s="51">
        <v>4.5</v>
      </c>
      <c r="G190" s="53">
        <v>0.5</v>
      </c>
      <c r="H190" s="53">
        <f t="shared" si="8"/>
        <v>2.25</v>
      </c>
      <c r="I190" s="51"/>
    </row>
    <row r="191" ht="33.75" spans="1:9">
      <c r="A191" s="50"/>
      <c r="B191" s="51"/>
      <c r="C191" s="51"/>
      <c r="D191" s="52" t="s">
        <v>218</v>
      </c>
      <c r="E191" s="51" t="s">
        <v>92</v>
      </c>
      <c r="F191" s="51">
        <v>1</v>
      </c>
      <c r="G191" s="53">
        <v>0</v>
      </c>
      <c r="H191" s="53">
        <f>F191*G191</f>
        <v>0</v>
      </c>
      <c r="I191" s="51" t="s">
        <v>219</v>
      </c>
    </row>
    <row r="192" spans="1:10">
      <c r="A192" s="50"/>
      <c r="B192" s="51"/>
      <c r="C192" s="51"/>
      <c r="D192" s="52" t="s">
        <v>63</v>
      </c>
      <c r="E192" s="52"/>
      <c r="F192" s="51"/>
      <c r="G192" s="53"/>
      <c r="H192" s="53"/>
      <c r="I192" s="51"/>
      <c r="J192">
        <f>SUM(H179:H190)</f>
        <v>143.775</v>
      </c>
    </row>
    <row r="193" ht="22.5" spans="1:9">
      <c r="A193" s="50"/>
      <c r="B193" s="51"/>
      <c r="C193" s="51" t="s">
        <v>220</v>
      </c>
      <c r="D193" s="52" t="s">
        <v>221</v>
      </c>
      <c r="E193" s="51" t="s">
        <v>92</v>
      </c>
      <c r="F193" s="54">
        <v>1</v>
      </c>
      <c r="G193" s="53"/>
      <c r="H193" s="53">
        <f>SUM(H179:H191)*9%</f>
        <v>12.93975</v>
      </c>
      <c r="I193" s="51"/>
    </row>
    <row r="194" ht="22.5" spans="1:9">
      <c r="A194" s="50"/>
      <c r="B194" s="51"/>
      <c r="C194" s="55" t="s">
        <v>222</v>
      </c>
      <c r="D194" s="56" t="s">
        <v>223</v>
      </c>
      <c r="E194" s="55"/>
      <c r="F194" s="57"/>
      <c r="G194" s="58"/>
      <c r="H194" s="58">
        <f>SUM(H179:H193)</f>
        <v>156.71475</v>
      </c>
      <c r="I194" s="57"/>
    </row>
    <row r="195" ht="38" customHeight="1" spans="1:9">
      <c r="A195" s="50"/>
      <c r="B195" s="51"/>
      <c r="C195" s="59" t="s">
        <v>224</v>
      </c>
      <c r="D195" s="60" t="s">
        <v>225</v>
      </c>
      <c r="E195" s="59" t="s">
        <v>92</v>
      </c>
      <c r="F195" s="59"/>
      <c r="G195" s="61"/>
      <c r="H195" s="61">
        <f>SUM(H182:H190)</f>
        <v>77.775</v>
      </c>
      <c r="I195" s="59"/>
    </row>
    <row r="196" ht="35" customHeight="1" spans="1:9">
      <c r="A196" s="50"/>
      <c r="B196" s="51"/>
      <c r="C196" s="59"/>
      <c r="D196" s="60" t="s">
        <v>226</v>
      </c>
      <c r="E196" s="59" t="s">
        <v>92</v>
      </c>
      <c r="F196" s="59"/>
      <c r="G196" s="59"/>
      <c r="H196" s="61">
        <f>SUM(H194-H195)</f>
        <v>78.93975</v>
      </c>
      <c r="I196" s="59"/>
    </row>
    <row r="197" ht="24" customHeight="1" spans="1:9">
      <c r="A197" s="62" t="s">
        <v>227</v>
      </c>
      <c r="B197" s="62"/>
      <c r="C197" s="62"/>
      <c r="D197" s="62"/>
      <c r="E197" s="62"/>
      <c r="F197" s="62"/>
      <c r="G197" s="62"/>
      <c r="H197" s="63"/>
      <c r="I197" s="62"/>
    </row>
    <row r="198" ht="23" customHeight="1" spans="1:9">
      <c r="A198" s="46" t="s">
        <v>249</v>
      </c>
      <c r="B198" s="46"/>
      <c r="C198" s="46"/>
      <c r="D198" s="46"/>
      <c r="E198" s="46"/>
      <c r="F198" s="46"/>
      <c r="G198" s="46"/>
      <c r="H198" s="47"/>
      <c r="I198" s="46"/>
    </row>
    <row r="199" spans="1:9">
      <c r="A199" s="48" t="s">
        <v>1</v>
      </c>
      <c r="B199" s="48" t="s">
        <v>191</v>
      </c>
      <c r="C199" s="48" t="s">
        <v>192</v>
      </c>
      <c r="D199" s="48"/>
      <c r="E199" s="48"/>
      <c r="F199" s="48"/>
      <c r="G199" s="48"/>
      <c r="H199" s="49"/>
      <c r="I199" s="48"/>
    </row>
    <row r="200" ht="22.5" spans="1:9">
      <c r="A200" s="48"/>
      <c r="B200" s="48"/>
      <c r="C200" s="48" t="s">
        <v>193</v>
      </c>
      <c r="D200" s="48"/>
      <c r="E200" s="48" t="s">
        <v>84</v>
      </c>
      <c r="F200" s="48" t="s">
        <v>194</v>
      </c>
      <c r="G200" s="48" t="s">
        <v>195</v>
      </c>
      <c r="H200" s="49" t="s">
        <v>196</v>
      </c>
      <c r="I200" s="48" t="s">
        <v>6</v>
      </c>
    </row>
    <row r="201" ht="22.5" spans="1:9">
      <c r="A201" s="50">
        <v>10</v>
      </c>
      <c r="B201" s="51" t="s">
        <v>115</v>
      </c>
      <c r="C201" s="51" t="s">
        <v>198</v>
      </c>
      <c r="D201" s="52" t="s">
        <v>199</v>
      </c>
      <c r="E201" s="51" t="s">
        <v>92</v>
      </c>
      <c r="F201" s="51">
        <v>1</v>
      </c>
      <c r="G201" s="53">
        <v>0</v>
      </c>
      <c r="H201" s="53">
        <f>SUM(F201*G201)</f>
        <v>0</v>
      </c>
      <c r="I201" s="51"/>
    </row>
    <row r="202" ht="22.5" spans="1:9">
      <c r="A202" s="50"/>
      <c r="B202" s="51"/>
      <c r="C202" s="51" t="s">
        <v>200</v>
      </c>
      <c r="D202" s="52" t="s">
        <v>201</v>
      </c>
      <c r="E202" s="51" t="s">
        <v>92</v>
      </c>
      <c r="F202" s="51">
        <v>1</v>
      </c>
      <c r="G202" s="53">
        <v>13</v>
      </c>
      <c r="H202" s="53">
        <f t="shared" ref="H202:H211" si="9">SUM(F202*G202)</f>
        <v>13</v>
      </c>
      <c r="I202" s="51"/>
    </row>
    <row r="203" ht="49" customHeight="1" spans="1:9">
      <c r="A203" s="50"/>
      <c r="B203" s="51"/>
      <c r="C203" s="51" t="s">
        <v>202</v>
      </c>
      <c r="D203" s="52" t="s">
        <v>203</v>
      </c>
      <c r="E203" s="51" t="s">
        <v>92</v>
      </c>
      <c r="F203" s="51">
        <v>1</v>
      </c>
      <c r="G203" s="53">
        <v>4</v>
      </c>
      <c r="H203" s="53">
        <f t="shared" si="9"/>
        <v>4</v>
      </c>
      <c r="I203" s="51"/>
    </row>
    <row r="204" spans="1:9">
      <c r="A204" s="50"/>
      <c r="B204" s="51"/>
      <c r="C204" s="65" t="s">
        <v>204</v>
      </c>
      <c r="D204" s="52" t="s">
        <v>147</v>
      </c>
      <c r="E204" s="51" t="s">
        <v>92</v>
      </c>
      <c r="F204" s="51">
        <v>1</v>
      </c>
      <c r="G204" s="53">
        <v>15</v>
      </c>
      <c r="H204" s="53">
        <f t="shared" si="9"/>
        <v>15</v>
      </c>
      <c r="I204" s="51"/>
    </row>
    <row r="205" spans="1:9">
      <c r="A205" s="50"/>
      <c r="B205" s="51"/>
      <c r="C205" s="66"/>
      <c r="D205" s="52" t="s">
        <v>250</v>
      </c>
      <c r="E205" s="51" t="s">
        <v>215</v>
      </c>
      <c r="F205" s="51">
        <v>2</v>
      </c>
      <c r="G205" s="53">
        <v>4.1</v>
      </c>
      <c r="H205" s="53">
        <f t="shared" si="9"/>
        <v>8.2</v>
      </c>
      <c r="I205" s="51"/>
    </row>
    <row r="206" spans="1:9">
      <c r="A206" s="50"/>
      <c r="B206" s="51"/>
      <c r="C206" s="66"/>
      <c r="D206" s="52" t="s">
        <v>210</v>
      </c>
      <c r="E206" s="51" t="s">
        <v>206</v>
      </c>
      <c r="F206" s="53"/>
      <c r="G206" s="53"/>
      <c r="H206" s="53"/>
      <c r="I206" s="53"/>
    </row>
    <row r="207" spans="1:9">
      <c r="A207" s="50"/>
      <c r="B207" s="51"/>
      <c r="C207" s="67"/>
      <c r="D207" s="52" t="s">
        <v>63</v>
      </c>
      <c r="E207" s="51"/>
      <c r="F207" s="51"/>
      <c r="G207" s="53"/>
      <c r="H207" s="53"/>
      <c r="I207" s="51"/>
    </row>
    <row r="208" spans="1:9">
      <c r="A208" s="50"/>
      <c r="B208" s="51"/>
      <c r="C208" s="51" t="s">
        <v>211</v>
      </c>
      <c r="D208" s="52" t="s">
        <v>212</v>
      </c>
      <c r="E208" s="51" t="s">
        <v>213</v>
      </c>
      <c r="F208" s="51">
        <v>6</v>
      </c>
      <c r="G208" s="53">
        <v>0.2</v>
      </c>
      <c r="H208" s="53">
        <f t="shared" si="9"/>
        <v>1.2</v>
      </c>
      <c r="I208" s="53" t="s">
        <v>207</v>
      </c>
    </row>
    <row r="209" spans="1:9">
      <c r="A209" s="50"/>
      <c r="B209" s="51"/>
      <c r="C209" s="51"/>
      <c r="D209" s="52" t="s">
        <v>214</v>
      </c>
      <c r="E209" s="51" t="s">
        <v>215</v>
      </c>
      <c r="F209" s="51"/>
      <c r="G209" s="53"/>
      <c r="H209" s="53"/>
      <c r="I209" s="53" t="s">
        <v>207</v>
      </c>
    </row>
    <row r="210" spans="1:9">
      <c r="A210" s="50"/>
      <c r="B210" s="51"/>
      <c r="C210" s="51"/>
      <c r="D210" s="52" t="s">
        <v>216</v>
      </c>
      <c r="E210" s="51" t="s">
        <v>213</v>
      </c>
      <c r="F210" s="51"/>
      <c r="G210" s="53"/>
      <c r="H210" s="53"/>
      <c r="I210" s="51"/>
    </row>
    <row r="211" spans="1:9">
      <c r="A211" s="50"/>
      <c r="B211" s="51"/>
      <c r="C211" s="51"/>
      <c r="D211" s="68" t="s">
        <v>246</v>
      </c>
      <c r="E211" s="51" t="s">
        <v>213</v>
      </c>
      <c r="F211" s="51">
        <v>1</v>
      </c>
      <c r="G211" s="53">
        <v>1</v>
      </c>
      <c r="H211" s="53">
        <f t="shared" si="9"/>
        <v>1</v>
      </c>
      <c r="I211" s="51"/>
    </row>
    <row r="212" ht="70" customHeight="1" spans="1:9">
      <c r="A212" s="50"/>
      <c r="B212" s="51"/>
      <c r="C212" s="51"/>
      <c r="D212" s="52" t="s">
        <v>218</v>
      </c>
      <c r="E212" s="51" t="s">
        <v>92</v>
      </c>
      <c r="F212" s="51">
        <v>1</v>
      </c>
      <c r="G212" s="53">
        <v>0</v>
      </c>
      <c r="H212" s="53">
        <f>F212*G212</f>
        <v>0</v>
      </c>
      <c r="I212" s="51" t="s">
        <v>251</v>
      </c>
    </row>
    <row r="213" spans="1:10">
      <c r="A213" s="50"/>
      <c r="B213" s="51"/>
      <c r="C213" s="51"/>
      <c r="D213" s="52" t="s">
        <v>63</v>
      </c>
      <c r="E213" s="52"/>
      <c r="F213" s="51"/>
      <c r="G213" s="53"/>
      <c r="H213" s="53"/>
      <c r="I213" s="51"/>
      <c r="J213">
        <f>SUM(H201:H212)</f>
        <v>42.4</v>
      </c>
    </row>
    <row r="214" ht="22.5" spans="1:9">
      <c r="A214" s="50"/>
      <c r="B214" s="51"/>
      <c r="C214" s="51" t="s">
        <v>220</v>
      </c>
      <c r="D214" s="52" t="s">
        <v>221</v>
      </c>
      <c r="E214" s="51" t="s">
        <v>92</v>
      </c>
      <c r="F214" s="54">
        <v>1</v>
      </c>
      <c r="G214" s="53"/>
      <c r="H214" s="53">
        <f>SUM(H201:H212)*9%</f>
        <v>3.816</v>
      </c>
      <c r="I214" s="51"/>
    </row>
    <row r="215" ht="22.5" spans="1:9">
      <c r="A215" s="50"/>
      <c r="B215" s="51"/>
      <c r="C215" s="55" t="s">
        <v>222</v>
      </c>
      <c r="D215" s="56" t="s">
        <v>223</v>
      </c>
      <c r="E215" s="55"/>
      <c r="F215" s="57"/>
      <c r="G215" s="58"/>
      <c r="H215" s="58">
        <f>SUM(H201:H214)</f>
        <v>46.216</v>
      </c>
      <c r="I215" s="57"/>
    </row>
    <row r="216" spans="1:9">
      <c r="A216" s="50"/>
      <c r="B216" s="51"/>
      <c r="C216" s="59" t="s">
        <v>224</v>
      </c>
      <c r="D216" s="60" t="s">
        <v>225</v>
      </c>
      <c r="E216" s="59" t="s">
        <v>92</v>
      </c>
      <c r="F216" s="59"/>
      <c r="G216" s="61"/>
      <c r="H216" s="61">
        <f>SUM(H204:H212)</f>
        <v>25.4</v>
      </c>
      <c r="I216" s="59"/>
    </row>
    <row r="217" ht="65" customHeight="1" spans="1:9">
      <c r="A217" s="50"/>
      <c r="B217" s="51"/>
      <c r="C217" s="59"/>
      <c r="D217" s="60" t="s">
        <v>226</v>
      </c>
      <c r="E217" s="59" t="s">
        <v>92</v>
      </c>
      <c r="F217" s="59"/>
      <c r="G217" s="59"/>
      <c r="H217" s="61">
        <f>SUM(H215-H216)</f>
        <v>20.816</v>
      </c>
      <c r="I217" s="59"/>
    </row>
    <row r="218" ht="31" customHeight="1" spans="1:9">
      <c r="A218" s="62" t="s">
        <v>227</v>
      </c>
      <c r="B218" s="62"/>
      <c r="C218" s="62"/>
      <c r="D218" s="62"/>
      <c r="E218" s="62"/>
      <c r="F218" s="62"/>
      <c r="G218" s="62"/>
      <c r="H218" s="63"/>
      <c r="I218" s="62"/>
    </row>
    <row r="219" ht="31" customHeight="1" spans="1:9">
      <c r="A219" s="46" t="s">
        <v>252</v>
      </c>
      <c r="B219" s="46"/>
      <c r="C219" s="46"/>
      <c r="D219" s="46"/>
      <c r="E219" s="46"/>
      <c r="F219" s="46"/>
      <c r="G219" s="46"/>
      <c r="H219" s="47"/>
      <c r="I219" s="46"/>
    </row>
    <row r="220" spans="1:9">
      <c r="A220" s="48" t="s">
        <v>1</v>
      </c>
      <c r="B220" s="48" t="s">
        <v>191</v>
      </c>
      <c r="C220" s="48" t="s">
        <v>192</v>
      </c>
      <c r="D220" s="48"/>
      <c r="E220" s="48"/>
      <c r="F220" s="48"/>
      <c r="G220" s="48"/>
      <c r="H220" s="49"/>
      <c r="I220" s="48"/>
    </row>
    <row r="221" ht="22.5" spans="1:9">
      <c r="A221" s="48"/>
      <c r="B221" s="48"/>
      <c r="C221" s="48" t="s">
        <v>193</v>
      </c>
      <c r="D221" s="48"/>
      <c r="E221" s="48" t="s">
        <v>84</v>
      </c>
      <c r="F221" s="48" t="s">
        <v>194</v>
      </c>
      <c r="G221" s="48" t="s">
        <v>195</v>
      </c>
      <c r="H221" s="49" t="s">
        <v>196</v>
      </c>
      <c r="I221" s="48" t="s">
        <v>6</v>
      </c>
    </row>
    <row r="222" ht="22.5" spans="1:9">
      <c r="A222" s="50">
        <v>11</v>
      </c>
      <c r="B222" s="51" t="s">
        <v>117</v>
      </c>
      <c r="C222" s="51" t="s">
        <v>198</v>
      </c>
      <c r="D222" s="52" t="s">
        <v>199</v>
      </c>
      <c r="E222" s="51" t="s">
        <v>92</v>
      </c>
      <c r="F222" s="51">
        <v>1</v>
      </c>
      <c r="G222" s="53">
        <v>15</v>
      </c>
      <c r="H222" s="64">
        <f t="shared" ref="H222:H232" si="10">SUM(F222*G222)</f>
        <v>15</v>
      </c>
      <c r="I222" s="51"/>
    </row>
    <row r="223" ht="22.5" spans="1:9">
      <c r="A223" s="50"/>
      <c r="B223" s="51"/>
      <c r="C223" s="51" t="s">
        <v>200</v>
      </c>
      <c r="D223" s="52" t="s">
        <v>201</v>
      </c>
      <c r="E223" s="51" t="s">
        <v>92</v>
      </c>
      <c r="F223" s="51">
        <v>1</v>
      </c>
      <c r="G223" s="53">
        <v>15</v>
      </c>
      <c r="H223" s="64">
        <f t="shared" si="10"/>
        <v>15</v>
      </c>
      <c r="I223" s="51"/>
    </row>
    <row r="224" ht="22.5" spans="1:9">
      <c r="A224" s="50"/>
      <c r="B224" s="51"/>
      <c r="C224" s="51" t="s">
        <v>202</v>
      </c>
      <c r="D224" s="52" t="s">
        <v>203</v>
      </c>
      <c r="E224" s="51" t="s">
        <v>92</v>
      </c>
      <c r="F224" s="51">
        <v>1</v>
      </c>
      <c r="G224" s="53">
        <v>6</v>
      </c>
      <c r="H224" s="64">
        <f t="shared" si="10"/>
        <v>6</v>
      </c>
      <c r="I224" s="51"/>
    </row>
    <row r="225" spans="1:9">
      <c r="A225" s="50"/>
      <c r="B225" s="51"/>
      <c r="C225" s="65" t="s">
        <v>204</v>
      </c>
      <c r="D225" s="52" t="s">
        <v>237</v>
      </c>
      <c r="E225" s="51" t="s">
        <v>206</v>
      </c>
      <c r="F225" s="53">
        <v>1.62</v>
      </c>
      <c r="G225" s="53">
        <v>4.8</v>
      </c>
      <c r="H225" s="64">
        <f t="shared" si="10"/>
        <v>7.776</v>
      </c>
      <c r="I225" s="51"/>
    </row>
    <row r="226" spans="1:9">
      <c r="A226" s="50"/>
      <c r="B226" s="51"/>
      <c r="C226" s="66"/>
      <c r="D226" s="52" t="s">
        <v>238</v>
      </c>
      <c r="E226" s="51" t="s">
        <v>206</v>
      </c>
      <c r="F226" s="53">
        <v>2.5</v>
      </c>
      <c r="G226" s="53">
        <v>4.8</v>
      </c>
      <c r="H226" s="64">
        <f t="shared" si="10"/>
        <v>12</v>
      </c>
      <c r="I226" s="51"/>
    </row>
    <row r="227" spans="1:9">
      <c r="A227" s="50"/>
      <c r="B227" s="51"/>
      <c r="C227" s="66"/>
      <c r="D227" s="52" t="s">
        <v>210</v>
      </c>
      <c r="E227" s="51" t="s">
        <v>92</v>
      </c>
      <c r="F227" s="53">
        <v>1</v>
      </c>
      <c r="G227" s="53">
        <v>13</v>
      </c>
      <c r="H227" s="64">
        <f t="shared" si="10"/>
        <v>13</v>
      </c>
      <c r="I227" s="53"/>
    </row>
    <row r="228" spans="1:9">
      <c r="A228" s="50"/>
      <c r="B228" s="51"/>
      <c r="C228" s="67"/>
      <c r="D228" s="52" t="s">
        <v>63</v>
      </c>
      <c r="E228" s="51"/>
      <c r="F228" s="51"/>
      <c r="G228" s="53"/>
      <c r="H228" s="64">
        <f t="shared" si="10"/>
        <v>0</v>
      </c>
      <c r="I228" s="51"/>
    </row>
    <row r="229" spans="1:9">
      <c r="A229" s="50"/>
      <c r="B229" s="51"/>
      <c r="C229" s="51" t="s">
        <v>211</v>
      </c>
      <c r="D229" s="52" t="s">
        <v>212</v>
      </c>
      <c r="E229" s="51" t="s">
        <v>213</v>
      </c>
      <c r="F229" s="51">
        <v>4</v>
      </c>
      <c r="G229" s="53">
        <v>0.3</v>
      </c>
      <c r="H229" s="64">
        <f t="shared" si="10"/>
        <v>1.2</v>
      </c>
      <c r="I229" s="53" t="s">
        <v>207</v>
      </c>
    </row>
    <row r="230" spans="1:9">
      <c r="A230" s="50"/>
      <c r="B230" s="51"/>
      <c r="C230" s="51"/>
      <c r="D230" s="52" t="s">
        <v>214</v>
      </c>
      <c r="E230" s="51" t="s">
        <v>215</v>
      </c>
      <c r="F230" s="51">
        <v>2</v>
      </c>
      <c r="G230" s="53">
        <v>0.2</v>
      </c>
      <c r="H230" s="64">
        <f t="shared" si="10"/>
        <v>0.4</v>
      </c>
      <c r="I230" s="53" t="s">
        <v>207</v>
      </c>
    </row>
    <row r="231" spans="1:9">
      <c r="A231" s="50"/>
      <c r="B231" s="51"/>
      <c r="C231" s="51"/>
      <c r="D231" s="52" t="s">
        <v>216</v>
      </c>
      <c r="E231" s="51" t="s">
        <v>213</v>
      </c>
      <c r="F231" s="51">
        <v>2</v>
      </c>
      <c r="G231" s="53">
        <v>0.5</v>
      </c>
      <c r="H231" s="64">
        <f t="shared" si="10"/>
        <v>1</v>
      </c>
      <c r="I231" s="51"/>
    </row>
    <row r="232" spans="1:9">
      <c r="A232" s="50"/>
      <c r="B232" s="51"/>
      <c r="C232" s="51"/>
      <c r="D232" s="68" t="s">
        <v>246</v>
      </c>
      <c r="E232" s="51" t="s">
        <v>213</v>
      </c>
      <c r="F232" s="51">
        <v>4.5</v>
      </c>
      <c r="G232" s="53">
        <v>0.5</v>
      </c>
      <c r="H232" s="64">
        <f t="shared" si="10"/>
        <v>2.25</v>
      </c>
      <c r="I232" s="51"/>
    </row>
    <row r="233" ht="41" customHeight="1" spans="1:9">
      <c r="A233" s="50"/>
      <c r="B233" s="51"/>
      <c r="C233" s="51"/>
      <c r="D233" s="52" t="s">
        <v>218</v>
      </c>
      <c r="E233" s="51" t="s">
        <v>92</v>
      </c>
      <c r="F233" s="51">
        <v>1</v>
      </c>
      <c r="G233" s="53">
        <v>0</v>
      </c>
      <c r="H233" s="53">
        <f>F233*G233</f>
        <v>0</v>
      </c>
      <c r="I233" s="51" t="s">
        <v>219</v>
      </c>
    </row>
    <row r="234" ht="25" customHeight="1" spans="1:10">
      <c r="A234" s="50"/>
      <c r="B234" s="51"/>
      <c r="C234" s="51"/>
      <c r="D234" s="52" t="s">
        <v>63</v>
      </c>
      <c r="E234" s="52"/>
      <c r="F234" s="51"/>
      <c r="G234" s="53"/>
      <c r="H234" s="53"/>
      <c r="I234" s="51"/>
      <c r="J234">
        <f>SUM(H222:H232)</f>
        <v>73.626</v>
      </c>
    </row>
    <row r="235" ht="22.5" spans="1:9">
      <c r="A235" s="50"/>
      <c r="B235" s="51"/>
      <c r="C235" s="51" t="s">
        <v>220</v>
      </c>
      <c r="D235" s="52" t="s">
        <v>221</v>
      </c>
      <c r="E235" s="51" t="s">
        <v>92</v>
      </c>
      <c r="F235" s="54">
        <v>1</v>
      </c>
      <c r="G235" s="53"/>
      <c r="H235" s="53">
        <f>SUM(H222:H233)*9%</f>
        <v>6.62634</v>
      </c>
      <c r="I235" s="51"/>
    </row>
    <row r="236" ht="22.5" spans="1:9">
      <c r="A236" s="50"/>
      <c r="B236" s="51"/>
      <c r="C236" s="55" t="s">
        <v>222</v>
      </c>
      <c r="D236" s="56" t="s">
        <v>223</v>
      </c>
      <c r="E236" s="55"/>
      <c r="F236" s="57"/>
      <c r="G236" s="58"/>
      <c r="H236" s="58">
        <f>SUM(H222:H235)</f>
        <v>80.25234</v>
      </c>
      <c r="I236" s="57"/>
    </row>
    <row r="237" spans="1:9">
      <c r="A237" s="50"/>
      <c r="B237" s="51"/>
      <c r="C237" s="59" t="s">
        <v>224</v>
      </c>
      <c r="D237" s="60" t="s">
        <v>225</v>
      </c>
      <c r="E237" s="59" t="s">
        <v>92</v>
      </c>
      <c r="F237" s="59"/>
      <c r="G237" s="61"/>
      <c r="H237" s="61">
        <f>SUM(H225:H232)</f>
        <v>37.626</v>
      </c>
      <c r="I237" s="59"/>
    </row>
    <row r="238" spans="1:9">
      <c r="A238" s="50"/>
      <c r="B238" s="51"/>
      <c r="C238" s="59"/>
      <c r="D238" s="60" t="s">
        <v>226</v>
      </c>
      <c r="E238" s="59" t="s">
        <v>92</v>
      </c>
      <c r="F238" s="59"/>
      <c r="G238" s="59"/>
      <c r="H238" s="61">
        <f>SUM(H236-H237)</f>
        <v>42.62634</v>
      </c>
      <c r="I238" s="59"/>
    </row>
    <row r="239" spans="1:9">
      <c r="A239" s="62" t="s">
        <v>227</v>
      </c>
      <c r="B239" s="62"/>
      <c r="C239" s="62"/>
      <c r="D239" s="62"/>
      <c r="E239" s="62"/>
      <c r="F239" s="62"/>
      <c r="G239" s="62"/>
      <c r="H239" s="63"/>
      <c r="I239" s="62"/>
    </row>
  </sheetData>
  <sheetProtection formatCells="0" insertHyperlinks="0" autoFilter="0"/>
  <autoFilter xmlns:etc="http://www.wps.cn/officeDocument/2017/etCustomData" ref="A3:J239" etc:filterBottomFollowUsedRange="0">
    <extLst/>
  </autoFilter>
  <mergeCells count="121">
    <mergeCell ref="A1:I1"/>
    <mergeCell ref="C2:I2"/>
    <mergeCell ref="C3:D3"/>
    <mergeCell ref="A22:I22"/>
    <mergeCell ref="A23:I23"/>
    <mergeCell ref="C24:I24"/>
    <mergeCell ref="C25:D25"/>
    <mergeCell ref="A44:I44"/>
    <mergeCell ref="A45:I45"/>
    <mergeCell ref="C46:I46"/>
    <mergeCell ref="C47:D47"/>
    <mergeCell ref="A66:I66"/>
    <mergeCell ref="A67:I67"/>
    <mergeCell ref="C68:I68"/>
    <mergeCell ref="C69:D69"/>
    <mergeCell ref="A88:I88"/>
    <mergeCell ref="A89:I89"/>
    <mergeCell ref="C90:I90"/>
    <mergeCell ref="C91:D91"/>
    <mergeCell ref="A109:I109"/>
    <mergeCell ref="A110:I110"/>
    <mergeCell ref="C111:I111"/>
    <mergeCell ref="C112:D112"/>
    <mergeCell ref="A130:I130"/>
    <mergeCell ref="A131:I131"/>
    <mergeCell ref="C132:I132"/>
    <mergeCell ref="C133:D133"/>
    <mergeCell ref="A151:I151"/>
    <mergeCell ref="A152:I152"/>
    <mergeCell ref="C153:I153"/>
    <mergeCell ref="C154:D154"/>
    <mergeCell ref="A175:I175"/>
    <mergeCell ref="A176:I176"/>
    <mergeCell ref="C177:I177"/>
    <mergeCell ref="C178:D178"/>
    <mergeCell ref="A197:I197"/>
    <mergeCell ref="A198:I198"/>
    <mergeCell ref="C199:I199"/>
    <mergeCell ref="C200:D200"/>
    <mergeCell ref="A218:I218"/>
    <mergeCell ref="A219:I219"/>
    <mergeCell ref="C220:I220"/>
    <mergeCell ref="C221:D221"/>
    <mergeCell ref="A239:I239"/>
    <mergeCell ref="A2:A3"/>
    <mergeCell ref="A4:A21"/>
    <mergeCell ref="A24:A25"/>
    <mergeCell ref="A26:A43"/>
    <mergeCell ref="A46:A47"/>
    <mergeCell ref="A48:A65"/>
    <mergeCell ref="A68:A69"/>
    <mergeCell ref="A70:A87"/>
    <mergeCell ref="A90:A91"/>
    <mergeCell ref="A92:A108"/>
    <mergeCell ref="A111:A112"/>
    <mergeCell ref="A113:A129"/>
    <mergeCell ref="A132:A133"/>
    <mergeCell ref="A134:A150"/>
    <mergeCell ref="A153:A154"/>
    <mergeCell ref="A155:A174"/>
    <mergeCell ref="A177:A178"/>
    <mergeCell ref="A179:A196"/>
    <mergeCell ref="A199:A200"/>
    <mergeCell ref="A201:A217"/>
    <mergeCell ref="A220:A221"/>
    <mergeCell ref="A222:A238"/>
    <mergeCell ref="B2:B3"/>
    <mergeCell ref="B4:B21"/>
    <mergeCell ref="B24:B25"/>
    <mergeCell ref="B26:B43"/>
    <mergeCell ref="B46:B47"/>
    <mergeCell ref="B48:B65"/>
    <mergeCell ref="B68:B69"/>
    <mergeCell ref="B70:B87"/>
    <mergeCell ref="B90:B91"/>
    <mergeCell ref="B92:B108"/>
    <mergeCell ref="B111:B112"/>
    <mergeCell ref="B113:B129"/>
    <mergeCell ref="B132:B133"/>
    <mergeCell ref="B134:B150"/>
    <mergeCell ref="B153:B154"/>
    <mergeCell ref="B155:B174"/>
    <mergeCell ref="B177:B178"/>
    <mergeCell ref="B179:B196"/>
    <mergeCell ref="B199:B200"/>
    <mergeCell ref="B201:B217"/>
    <mergeCell ref="B220:B221"/>
    <mergeCell ref="B222:B238"/>
    <mergeCell ref="C7:C11"/>
    <mergeCell ref="C12:C17"/>
    <mergeCell ref="C20:C21"/>
    <mergeCell ref="C29:C33"/>
    <mergeCell ref="C34:C39"/>
    <mergeCell ref="C42:C43"/>
    <mergeCell ref="C51:C55"/>
    <mergeCell ref="C56:C61"/>
    <mergeCell ref="C64:C65"/>
    <mergeCell ref="C73:C77"/>
    <mergeCell ref="C78:C83"/>
    <mergeCell ref="C86:C87"/>
    <mergeCell ref="C95:C98"/>
    <mergeCell ref="C99:C104"/>
    <mergeCell ref="C107:C108"/>
    <mergeCell ref="C116:C119"/>
    <mergeCell ref="C120:C125"/>
    <mergeCell ref="C128:C129"/>
    <mergeCell ref="C137:C140"/>
    <mergeCell ref="C141:C146"/>
    <mergeCell ref="C149:C150"/>
    <mergeCell ref="C158:C163"/>
    <mergeCell ref="C165:C170"/>
    <mergeCell ref="C173:C174"/>
    <mergeCell ref="C182:C186"/>
    <mergeCell ref="C187:C192"/>
    <mergeCell ref="C195:C196"/>
    <mergeCell ref="C204:C207"/>
    <mergeCell ref="C208:C213"/>
    <mergeCell ref="C216:C217"/>
    <mergeCell ref="C225:C228"/>
    <mergeCell ref="C229:C234"/>
    <mergeCell ref="C237:C238"/>
  </mergeCells>
  <pageMargins left="0.747916666666667" right="0.747916666666667" top="0.0152777777777778" bottom="0.01527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workbookViewId="0">
      <selection activeCell="K32" sqref="K32"/>
    </sheetView>
  </sheetViews>
  <sheetFormatPr defaultColWidth="9" defaultRowHeight="13.5"/>
  <cols>
    <col min="1" max="1" width="6.375" customWidth="1"/>
    <col min="2" max="2" width="7.25" customWidth="1"/>
    <col min="3" max="3" width="2.5" customWidth="1"/>
    <col min="4" max="4" width="12.25" customWidth="1"/>
    <col min="5" max="5" width="9.625" customWidth="1"/>
    <col min="7" max="7" width="12.75" customWidth="1"/>
    <col min="10" max="10" width="18.875" customWidth="1"/>
    <col min="11" max="11" width="8.625" customWidth="1"/>
    <col min="12" max="12" width="0.25" hidden="1" customWidth="1"/>
    <col min="13" max="15" width="9" hidden="1" customWidth="1"/>
    <col min="16" max="16" width="12.625"/>
  </cols>
  <sheetData>
    <row r="1" ht="14.25" spans="1:10">
      <c r="A1" s="10" t="s">
        <v>253</v>
      </c>
      <c r="B1" s="11"/>
      <c r="C1" s="11"/>
      <c r="D1" s="11"/>
      <c r="E1" s="11"/>
      <c r="F1" s="11"/>
      <c r="G1" s="11"/>
      <c r="H1" s="11"/>
      <c r="I1" s="11"/>
      <c r="J1" s="11"/>
    </row>
    <row r="2" ht="14.25" spans="1:10">
      <c r="A2" s="12" t="s">
        <v>254</v>
      </c>
      <c r="B2" s="13"/>
      <c r="C2" s="14"/>
      <c r="D2" s="15" t="e">
        <f>结算明细表!#REF!</f>
        <v>#REF!</v>
      </c>
      <c r="E2" s="16"/>
      <c r="F2" s="17" t="s">
        <v>255</v>
      </c>
      <c r="G2" s="18"/>
      <c r="H2" s="19">
        <v>1000</v>
      </c>
      <c r="I2" s="15">
        <v>500</v>
      </c>
      <c r="J2" s="16"/>
    </row>
    <row r="3" spans="1:10">
      <c r="A3" s="12" t="s">
        <v>256</v>
      </c>
      <c r="B3" s="13"/>
      <c r="C3" s="14"/>
      <c r="D3" s="20"/>
      <c r="E3" s="20"/>
      <c r="F3" s="21" t="s">
        <v>257</v>
      </c>
      <c r="G3" s="21"/>
      <c r="H3" s="12">
        <v>0.5</v>
      </c>
      <c r="I3" s="13"/>
      <c r="J3" s="14"/>
    </row>
    <row r="4" spans="1:10">
      <c r="A4" s="21" t="s">
        <v>1</v>
      </c>
      <c r="B4" s="21" t="s">
        <v>258</v>
      </c>
      <c r="C4" s="21"/>
      <c r="D4" s="21" t="s">
        <v>259</v>
      </c>
      <c r="E4" s="21"/>
      <c r="F4" s="21" t="s">
        <v>84</v>
      </c>
      <c r="G4" s="21" t="s">
        <v>260</v>
      </c>
      <c r="H4" s="21" t="s">
        <v>261</v>
      </c>
      <c r="I4" s="21" t="s">
        <v>52</v>
      </c>
      <c r="J4" s="21" t="s">
        <v>6</v>
      </c>
    </row>
    <row r="5" spans="1:10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>
      <c r="A6" s="22">
        <v>1</v>
      </c>
      <c r="B6" s="23" t="s">
        <v>199</v>
      </c>
      <c r="C6" s="23"/>
      <c r="D6" s="23"/>
      <c r="E6" s="23"/>
      <c r="F6" s="23" t="s">
        <v>262</v>
      </c>
      <c r="G6" s="24">
        <v>0.5</v>
      </c>
      <c r="H6" s="25">
        <v>30</v>
      </c>
      <c r="I6" s="25">
        <f>SUM(G6*H6)</f>
        <v>15</v>
      </c>
      <c r="J6" s="23" t="s">
        <v>263</v>
      </c>
    </row>
    <row r="7" spans="1:10">
      <c r="A7" s="22"/>
      <c r="B7" s="23" t="s">
        <v>201</v>
      </c>
      <c r="C7" s="23"/>
      <c r="D7" s="23"/>
      <c r="E7" s="23"/>
      <c r="F7" s="23" t="s">
        <v>262</v>
      </c>
      <c r="G7" s="24">
        <v>0.5</v>
      </c>
      <c r="H7" s="25">
        <v>30</v>
      </c>
      <c r="I7" s="25">
        <f t="shared" ref="I6:I9" si="0">SUM(G7*H7)</f>
        <v>15</v>
      </c>
      <c r="J7" s="23" t="s">
        <v>263</v>
      </c>
    </row>
    <row r="8" spans="1:10">
      <c r="A8" s="22">
        <v>2</v>
      </c>
      <c r="B8" s="26" t="s">
        <v>264</v>
      </c>
      <c r="C8" s="27"/>
      <c r="D8" s="28" t="s">
        <v>265</v>
      </c>
      <c r="E8" s="28"/>
      <c r="F8" s="22" t="s">
        <v>206</v>
      </c>
      <c r="G8" s="24">
        <v>2.62</v>
      </c>
      <c r="H8" s="25">
        <v>22.3</v>
      </c>
      <c r="I8" s="25">
        <f t="shared" si="0"/>
        <v>58.426</v>
      </c>
      <c r="J8" s="23" t="s">
        <v>263</v>
      </c>
    </row>
    <row r="9" spans="1:10">
      <c r="A9" s="22"/>
      <c r="B9" s="29"/>
      <c r="C9" s="30"/>
      <c r="D9" s="28" t="s">
        <v>266</v>
      </c>
      <c r="E9" s="28"/>
      <c r="F9" s="22" t="s">
        <v>206</v>
      </c>
      <c r="G9" s="24">
        <v>1.2</v>
      </c>
      <c r="H9" s="25">
        <v>22.5</v>
      </c>
      <c r="I9" s="25">
        <f t="shared" si="0"/>
        <v>27</v>
      </c>
      <c r="J9" s="23" t="s">
        <v>263</v>
      </c>
    </row>
    <row r="10" spans="1:10">
      <c r="A10" s="22"/>
      <c r="B10" s="29"/>
      <c r="C10" s="30"/>
      <c r="D10" s="28" t="s">
        <v>267</v>
      </c>
      <c r="E10" s="28"/>
      <c r="F10" s="22" t="s">
        <v>206</v>
      </c>
      <c r="G10" s="24">
        <v>1.9</v>
      </c>
      <c r="H10" s="25">
        <v>22.3</v>
      </c>
      <c r="I10" s="25">
        <f t="shared" ref="I10:I14" si="1">SUM(G10*H10)</f>
        <v>42.37</v>
      </c>
      <c r="J10" s="23" t="s">
        <v>263</v>
      </c>
    </row>
    <row r="11" spans="1:10">
      <c r="A11" s="22"/>
      <c r="B11" s="23" t="s">
        <v>268</v>
      </c>
      <c r="C11" s="23"/>
      <c r="D11" s="28" t="s">
        <v>269</v>
      </c>
      <c r="E11" s="28"/>
      <c r="F11" s="23" t="s">
        <v>213</v>
      </c>
      <c r="G11" s="24">
        <v>4</v>
      </c>
      <c r="H11" s="31">
        <v>4</v>
      </c>
      <c r="I11" s="25">
        <f t="shared" si="1"/>
        <v>16</v>
      </c>
      <c r="J11" s="23" t="s">
        <v>263</v>
      </c>
    </row>
    <row r="12" spans="1:10">
      <c r="A12" s="22">
        <v>3</v>
      </c>
      <c r="B12" s="32" t="s">
        <v>270</v>
      </c>
      <c r="C12" s="32"/>
      <c r="D12" s="33" t="s">
        <v>271</v>
      </c>
      <c r="E12" s="28"/>
      <c r="F12" s="23" t="s">
        <v>272</v>
      </c>
      <c r="G12" s="34">
        <v>0</v>
      </c>
      <c r="H12" s="35">
        <v>0</v>
      </c>
      <c r="I12" s="35">
        <f t="shared" ref="I12:I15" si="2">G12*H12</f>
        <v>0</v>
      </c>
      <c r="J12" s="23" t="s">
        <v>263</v>
      </c>
    </row>
    <row r="13" spans="1:10">
      <c r="A13" s="22"/>
      <c r="B13" s="32"/>
      <c r="C13" s="32"/>
      <c r="D13" s="33" t="s">
        <v>273</v>
      </c>
      <c r="E13" s="28"/>
      <c r="F13" s="23" t="s">
        <v>272</v>
      </c>
      <c r="G13" s="34">
        <v>0</v>
      </c>
      <c r="H13" s="35">
        <v>0</v>
      </c>
      <c r="I13" s="35">
        <f t="shared" si="2"/>
        <v>0</v>
      </c>
      <c r="J13" s="23" t="s">
        <v>263</v>
      </c>
    </row>
    <row r="14" spans="1:10">
      <c r="A14" s="22">
        <v>4</v>
      </c>
      <c r="B14" s="32"/>
      <c r="C14" s="32"/>
      <c r="D14" s="23" t="s">
        <v>274</v>
      </c>
      <c r="E14" s="23"/>
      <c r="F14" s="22" t="s">
        <v>275</v>
      </c>
      <c r="G14" s="24">
        <v>0.5</v>
      </c>
      <c r="H14" s="25">
        <v>5</v>
      </c>
      <c r="I14" s="25">
        <f t="shared" si="1"/>
        <v>2.5</v>
      </c>
      <c r="J14" s="23" t="s">
        <v>263</v>
      </c>
    </row>
    <row r="15" spans="1:10">
      <c r="A15" s="22"/>
      <c r="B15" s="32"/>
      <c r="C15" s="32"/>
      <c r="D15" s="23" t="s">
        <v>276</v>
      </c>
      <c r="E15" s="23"/>
      <c r="F15" s="36" t="s">
        <v>262</v>
      </c>
      <c r="G15" s="34">
        <v>0</v>
      </c>
      <c r="H15" s="35">
        <v>0</v>
      </c>
      <c r="I15" s="35">
        <f t="shared" si="2"/>
        <v>0</v>
      </c>
      <c r="J15" s="23" t="s">
        <v>263</v>
      </c>
    </row>
    <row r="16" spans="1:10">
      <c r="A16" s="22"/>
      <c r="B16" s="32"/>
      <c r="C16" s="32"/>
      <c r="D16" s="23"/>
      <c r="E16" s="23"/>
      <c r="F16" s="22"/>
      <c r="G16" s="23"/>
      <c r="H16" s="25"/>
      <c r="I16" s="25"/>
      <c r="J16" s="23" t="s">
        <v>263</v>
      </c>
    </row>
    <row r="17" spans="1:10">
      <c r="A17" s="22">
        <v>5</v>
      </c>
      <c r="B17" s="23" t="s">
        <v>277</v>
      </c>
      <c r="C17" s="23"/>
      <c r="D17" s="23"/>
      <c r="E17" s="23"/>
      <c r="F17" s="23" t="s">
        <v>262</v>
      </c>
      <c r="G17" s="24">
        <v>0.5</v>
      </c>
      <c r="H17" s="25">
        <v>5</v>
      </c>
      <c r="I17" s="25">
        <f>SUM(G17*H17)</f>
        <v>2.5</v>
      </c>
      <c r="J17" s="23" t="s">
        <v>263</v>
      </c>
    </row>
    <row r="18" spans="1:10">
      <c r="A18" s="22">
        <v>6</v>
      </c>
      <c r="B18" s="23" t="s">
        <v>278</v>
      </c>
      <c r="C18" s="23"/>
      <c r="D18" s="36" t="s">
        <v>279</v>
      </c>
      <c r="E18" s="23"/>
      <c r="F18" s="23" t="s">
        <v>262</v>
      </c>
      <c r="G18" s="24">
        <f>SUM(I6:I17)</f>
        <v>178.796</v>
      </c>
      <c r="H18" s="24"/>
      <c r="I18" s="24"/>
      <c r="J18" s="40"/>
    </row>
    <row r="19" ht="24" spans="1:10">
      <c r="A19" s="22">
        <v>7</v>
      </c>
      <c r="B19" s="23" t="s">
        <v>280</v>
      </c>
      <c r="C19" s="23"/>
      <c r="D19" s="37" t="s">
        <v>281</v>
      </c>
      <c r="E19" s="38">
        <v>0.05</v>
      </c>
      <c r="F19" s="23" t="s">
        <v>262</v>
      </c>
      <c r="G19" s="24">
        <f>SUM(G18*0.05)</f>
        <v>8.9398</v>
      </c>
      <c r="H19" s="24"/>
      <c r="I19" s="24"/>
      <c r="J19" s="40" t="s">
        <v>282</v>
      </c>
    </row>
    <row r="20" spans="1:10">
      <c r="A20" s="39">
        <v>8</v>
      </c>
      <c r="B20" s="39" t="s">
        <v>283</v>
      </c>
      <c r="C20" s="39"/>
      <c r="D20" s="39" t="s">
        <v>284</v>
      </c>
      <c r="E20" s="39"/>
      <c r="F20" s="23" t="s">
        <v>262</v>
      </c>
      <c r="G20" s="39">
        <f>SUM(G19+G18)</f>
        <v>187.7358</v>
      </c>
      <c r="H20" s="39"/>
      <c r="I20" s="39"/>
      <c r="J20" s="41">
        <f>SUM(G20/H3)</f>
        <v>375.4716</v>
      </c>
    </row>
    <row r="23" ht="14.25" spans="1:10">
      <c r="A23" s="10" t="s">
        <v>253</v>
      </c>
      <c r="B23" s="11"/>
      <c r="C23" s="11"/>
      <c r="D23" s="11"/>
      <c r="E23" s="11"/>
      <c r="F23" s="11"/>
      <c r="G23" s="11"/>
      <c r="H23" s="11"/>
      <c r="I23" s="11"/>
      <c r="J23" s="11"/>
    </row>
    <row r="24" ht="14.25" spans="1:10">
      <c r="A24" s="12" t="s">
        <v>254</v>
      </c>
      <c r="B24" s="13"/>
      <c r="C24" s="14"/>
      <c r="D24" s="15" t="s">
        <v>285</v>
      </c>
      <c r="E24" s="16"/>
      <c r="F24" s="17" t="s">
        <v>255</v>
      </c>
      <c r="G24" s="18"/>
      <c r="H24" s="19">
        <v>400</v>
      </c>
      <c r="I24" s="15">
        <v>500</v>
      </c>
      <c r="J24" s="16"/>
    </row>
    <row r="25" spans="1:10">
      <c r="A25" s="12" t="s">
        <v>256</v>
      </c>
      <c r="B25" s="13"/>
      <c r="C25" s="14"/>
      <c r="D25" s="20"/>
      <c r="E25" s="20"/>
      <c r="F25" s="21" t="s">
        <v>257</v>
      </c>
      <c r="G25" s="21"/>
      <c r="H25" s="12">
        <v>0.2</v>
      </c>
      <c r="I25" s="13"/>
      <c r="J25" s="14"/>
    </row>
    <row r="26" spans="1:10">
      <c r="A26" s="21" t="s">
        <v>1</v>
      </c>
      <c r="B26" s="21" t="s">
        <v>258</v>
      </c>
      <c r="C26" s="21"/>
      <c r="D26" s="21" t="s">
        <v>259</v>
      </c>
      <c r="E26" s="21"/>
      <c r="F26" s="21" t="s">
        <v>84</v>
      </c>
      <c r="G26" s="21" t="s">
        <v>260</v>
      </c>
      <c r="H26" s="21" t="s">
        <v>261</v>
      </c>
      <c r="I26" s="21" t="s">
        <v>52</v>
      </c>
      <c r="J26" s="21" t="s">
        <v>6</v>
      </c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2">
        <v>1</v>
      </c>
      <c r="B28" s="23" t="s">
        <v>199</v>
      </c>
      <c r="C28" s="23"/>
      <c r="D28" s="23"/>
      <c r="E28" s="23"/>
      <c r="F28" s="23" t="s">
        <v>262</v>
      </c>
      <c r="G28" s="24">
        <v>0.2</v>
      </c>
      <c r="H28" s="25">
        <v>30</v>
      </c>
      <c r="I28" s="25">
        <f t="shared" ref="I28:I30" si="3">SUM(G28*H28)</f>
        <v>6</v>
      </c>
      <c r="J28" s="23" t="s">
        <v>263</v>
      </c>
    </row>
    <row r="29" spans="1:10">
      <c r="A29" s="22"/>
      <c r="B29" s="23" t="s">
        <v>201</v>
      </c>
      <c r="C29" s="23"/>
      <c r="D29" s="23"/>
      <c r="E29" s="23"/>
      <c r="F29" s="23" t="s">
        <v>262</v>
      </c>
      <c r="G29" s="24">
        <v>0.2</v>
      </c>
      <c r="H29" s="25">
        <v>30</v>
      </c>
      <c r="I29" s="25">
        <f t="shared" si="3"/>
        <v>6</v>
      </c>
      <c r="J29" s="23" t="s">
        <v>263</v>
      </c>
    </row>
    <row r="30" spans="1:10">
      <c r="A30" s="22">
        <v>2</v>
      </c>
      <c r="B30" s="26" t="s">
        <v>264</v>
      </c>
      <c r="C30" s="27"/>
      <c r="D30" s="28" t="s">
        <v>265</v>
      </c>
      <c r="E30" s="28"/>
      <c r="F30" s="22" t="s">
        <v>206</v>
      </c>
      <c r="G30" s="24">
        <v>1.36</v>
      </c>
      <c r="H30" s="25">
        <v>22.3</v>
      </c>
      <c r="I30" s="25">
        <f t="shared" si="3"/>
        <v>30.328</v>
      </c>
      <c r="J30" s="23" t="s">
        <v>263</v>
      </c>
    </row>
    <row r="31" spans="1:10">
      <c r="A31" s="22"/>
      <c r="B31" s="29"/>
      <c r="C31" s="30"/>
      <c r="D31" s="28" t="s">
        <v>266</v>
      </c>
      <c r="E31" s="28"/>
      <c r="F31" s="22" t="s">
        <v>206</v>
      </c>
      <c r="G31" s="24">
        <v>0.3</v>
      </c>
      <c r="H31" s="25">
        <v>22.5</v>
      </c>
      <c r="I31" s="25"/>
      <c r="J31" s="23" t="s">
        <v>263</v>
      </c>
    </row>
    <row r="32" spans="1:10">
      <c r="A32" s="22"/>
      <c r="B32" s="29"/>
      <c r="C32" s="30"/>
      <c r="D32" s="28" t="s">
        <v>267</v>
      </c>
      <c r="E32" s="28"/>
      <c r="F32" s="22" t="s">
        <v>206</v>
      </c>
      <c r="G32" s="24">
        <v>0.5</v>
      </c>
      <c r="H32" s="25">
        <v>22.3</v>
      </c>
      <c r="I32" s="25">
        <f t="shared" ref="I32:I36" si="4">SUM(G32*H32)</f>
        <v>11.15</v>
      </c>
      <c r="J32" s="23" t="s">
        <v>263</v>
      </c>
    </row>
    <row r="33" spans="1:10">
      <c r="A33" s="22"/>
      <c r="B33" s="23" t="s">
        <v>268</v>
      </c>
      <c r="C33" s="23"/>
      <c r="D33" s="28" t="s">
        <v>269</v>
      </c>
      <c r="E33" s="28"/>
      <c r="F33" s="23" t="s">
        <v>213</v>
      </c>
      <c r="G33" s="24">
        <v>4</v>
      </c>
      <c r="H33" s="31">
        <v>4</v>
      </c>
      <c r="I33" s="25">
        <f t="shared" si="4"/>
        <v>16</v>
      </c>
      <c r="J33" s="23" t="s">
        <v>263</v>
      </c>
    </row>
    <row r="34" spans="1:10">
      <c r="A34" s="22">
        <v>3</v>
      </c>
      <c r="B34" s="32" t="s">
        <v>270</v>
      </c>
      <c r="C34" s="32"/>
      <c r="D34" s="33" t="s">
        <v>271</v>
      </c>
      <c r="E34" s="28"/>
      <c r="F34" s="23" t="s">
        <v>272</v>
      </c>
      <c r="G34" s="34">
        <v>0</v>
      </c>
      <c r="H34" s="35">
        <v>0</v>
      </c>
      <c r="I34" s="35">
        <f t="shared" ref="I34:I37" si="5">G34*H34</f>
        <v>0</v>
      </c>
      <c r="J34" s="23" t="s">
        <v>263</v>
      </c>
    </row>
    <row r="35" spans="1:10">
      <c r="A35" s="22"/>
      <c r="B35" s="32"/>
      <c r="C35" s="32"/>
      <c r="D35" s="33" t="s">
        <v>273</v>
      </c>
      <c r="E35" s="28"/>
      <c r="F35" s="23" t="s">
        <v>272</v>
      </c>
      <c r="G35" s="34">
        <v>0</v>
      </c>
      <c r="H35" s="35">
        <v>0</v>
      </c>
      <c r="I35" s="35">
        <f t="shared" si="5"/>
        <v>0</v>
      </c>
      <c r="J35" s="23" t="s">
        <v>263</v>
      </c>
    </row>
    <row r="36" spans="1:10">
      <c r="A36" s="22">
        <v>4</v>
      </c>
      <c r="B36" s="32"/>
      <c r="C36" s="32"/>
      <c r="D36" s="23" t="s">
        <v>274</v>
      </c>
      <c r="E36" s="23"/>
      <c r="F36" s="22" t="s">
        <v>275</v>
      </c>
      <c r="G36" s="24">
        <v>0.5</v>
      </c>
      <c r="H36" s="25">
        <v>5</v>
      </c>
      <c r="I36" s="25">
        <f t="shared" si="4"/>
        <v>2.5</v>
      </c>
      <c r="J36" s="23" t="s">
        <v>263</v>
      </c>
    </row>
    <row r="37" spans="1:10">
      <c r="A37" s="22"/>
      <c r="B37" s="32"/>
      <c r="C37" s="32"/>
      <c r="D37" s="23" t="s">
        <v>276</v>
      </c>
      <c r="E37" s="23"/>
      <c r="F37" s="36" t="s">
        <v>262</v>
      </c>
      <c r="G37" s="34">
        <v>0</v>
      </c>
      <c r="H37" s="35">
        <v>0</v>
      </c>
      <c r="I37" s="35">
        <f t="shared" si="5"/>
        <v>0</v>
      </c>
      <c r="J37" s="23" t="s">
        <v>263</v>
      </c>
    </row>
    <row r="38" spans="1:10">
      <c r="A38" s="22"/>
      <c r="B38" s="32"/>
      <c r="C38" s="32"/>
      <c r="D38" s="23"/>
      <c r="E38" s="23"/>
      <c r="F38" s="22"/>
      <c r="G38" s="23"/>
      <c r="H38" s="25"/>
      <c r="I38" s="25"/>
      <c r="J38" s="23" t="s">
        <v>263</v>
      </c>
    </row>
    <row r="39" spans="1:10">
      <c r="A39" s="22">
        <v>5</v>
      </c>
      <c r="B39" s="23" t="s">
        <v>277</v>
      </c>
      <c r="C39" s="23"/>
      <c r="D39" s="23"/>
      <c r="E39" s="23"/>
      <c r="F39" s="23" t="s">
        <v>262</v>
      </c>
      <c r="G39" s="24">
        <v>0.5</v>
      </c>
      <c r="H39" s="25">
        <v>5</v>
      </c>
      <c r="I39" s="25">
        <f>SUM(G39*H39)</f>
        <v>2.5</v>
      </c>
      <c r="J39" s="23" t="s">
        <v>263</v>
      </c>
    </row>
    <row r="40" spans="1:10">
      <c r="A40" s="22">
        <v>6</v>
      </c>
      <c r="B40" s="23" t="s">
        <v>278</v>
      </c>
      <c r="C40" s="23"/>
      <c r="D40" s="36" t="s">
        <v>279</v>
      </c>
      <c r="E40" s="23"/>
      <c r="F40" s="23" t="s">
        <v>262</v>
      </c>
      <c r="G40" s="24">
        <f>SUM(I28:I39)</f>
        <v>74.478</v>
      </c>
      <c r="H40" s="24"/>
      <c r="I40" s="24"/>
      <c r="J40" s="40"/>
    </row>
    <row r="41" ht="24" spans="1:10">
      <c r="A41" s="22">
        <v>7</v>
      </c>
      <c r="B41" s="23" t="s">
        <v>280</v>
      </c>
      <c r="C41" s="23"/>
      <c r="D41" s="37" t="s">
        <v>281</v>
      </c>
      <c r="E41" s="38">
        <v>0.05</v>
      </c>
      <c r="F41" s="23" t="s">
        <v>262</v>
      </c>
      <c r="G41" s="24">
        <f>SUM(G40*0.05)</f>
        <v>3.7239</v>
      </c>
      <c r="H41" s="24"/>
      <c r="I41" s="24"/>
      <c r="J41" s="40" t="s">
        <v>282</v>
      </c>
    </row>
    <row r="42" spans="1:10">
      <c r="A42" s="39">
        <v>8</v>
      </c>
      <c r="B42" s="39" t="s">
        <v>283</v>
      </c>
      <c r="C42" s="39"/>
      <c r="D42" s="39" t="s">
        <v>284</v>
      </c>
      <c r="E42" s="39"/>
      <c r="F42" s="23" t="s">
        <v>262</v>
      </c>
      <c r="G42" s="39">
        <f>SUM(G41+G40)</f>
        <v>78.2019</v>
      </c>
      <c r="H42" s="39"/>
      <c r="I42" s="39"/>
      <c r="J42" s="41">
        <f>SUM(G42/H25)</f>
        <v>391.0095</v>
      </c>
    </row>
    <row r="44" ht="43" customHeight="1"/>
    <row r="45" ht="14.25" spans="1:10">
      <c r="A45" s="10" t="s">
        <v>253</v>
      </c>
      <c r="B45" s="11"/>
      <c r="C45" s="11"/>
      <c r="D45" s="11"/>
      <c r="E45" s="11"/>
      <c r="F45" s="11"/>
      <c r="G45" s="11"/>
      <c r="H45" s="11"/>
      <c r="I45" s="11"/>
      <c r="J45" s="11"/>
    </row>
    <row r="46" ht="14.25" spans="1:10">
      <c r="A46" s="12" t="s">
        <v>254</v>
      </c>
      <c r="B46" s="13"/>
      <c r="C46" s="14"/>
      <c r="D46" s="15" t="s">
        <v>286</v>
      </c>
      <c r="E46" s="16"/>
      <c r="F46" s="17" t="s">
        <v>255</v>
      </c>
      <c r="G46" s="18"/>
      <c r="H46" s="19">
        <v>1200</v>
      </c>
      <c r="I46" s="15">
        <v>2350</v>
      </c>
      <c r="J46" s="16"/>
    </row>
    <row r="47" spans="1:10">
      <c r="A47" s="12" t="s">
        <v>256</v>
      </c>
      <c r="B47" s="13"/>
      <c r="C47" s="14"/>
      <c r="D47" s="20"/>
      <c r="E47" s="20"/>
      <c r="F47" s="21" t="s">
        <v>257</v>
      </c>
      <c r="G47" s="21"/>
      <c r="H47" s="12">
        <v>2.82</v>
      </c>
      <c r="I47" s="13"/>
      <c r="J47" s="14"/>
    </row>
    <row r="48" spans="1:10">
      <c r="A48" s="21" t="s">
        <v>1</v>
      </c>
      <c r="B48" s="21" t="s">
        <v>258</v>
      </c>
      <c r="C48" s="21"/>
      <c r="D48" s="21" t="s">
        <v>259</v>
      </c>
      <c r="E48" s="21"/>
      <c r="F48" s="21" t="s">
        <v>84</v>
      </c>
      <c r="G48" s="21" t="s">
        <v>260</v>
      </c>
      <c r="H48" s="21" t="s">
        <v>261</v>
      </c>
      <c r="I48" s="21" t="s">
        <v>52</v>
      </c>
      <c r="J48" s="21" t="s">
        <v>6</v>
      </c>
    </row>
    <row r="49" spans="1:10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>
      <c r="A50" s="22">
        <v>1</v>
      </c>
      <c r="B50" s="23" t="s">
        <v>199</v>
      </c>
      <c r="C50" s="23"/>
      <c r="D50" s="23"/>
      <c r="E50" s="23"/>
      <c r="F50" s="23" t="s">
        <v>262</v>
      </c>
      <c r="G50" s="24">
        <v>2.82</v>
      </c>
      <c r="H50" s="25">
        <v>30</v>
      </c>
      <c r="I50" s="25">
        <f>SUM(G50*H50)</f>
        <v>84.6</v>
      </c>
      <c r="J50" s="23" t="s">
        <v>263</v>
      </c>
    </row>
    <row r="51" spans="1:10">
      <c r="A51" s="22"/>
      <c r="B51" s="23" t="s">
        <v>201</v>
      </c>
      <c r="C51" s="23"/>
      <c r="D51" s="23"/>
      <c r="E51" s="23"/>
      <c r="F51" s="23" t="s">
        <v>262</v>
      </c>
      <c r="G51" s="24">
        <v>2.82</v>
      </c>
      <c r="H51" s="25">
        <v>30</v>
      </c>
      <c r="I51" s="25">
        <f>SUM(G51*H51)</f>
        <v>84.6</v>
      </c>
      <c r="J51" s="23" t="s">
        <v>263</v>
      </c>
    </row>
    <row r="52" spans="1:10">
      <c r="A52" s="22">
        <v>2</v>
      </c>
      <c r="B52" s="26" t="s">
        <v>264</v>
      </c>
      <c r="C52" s="27"/>
      <c r="D52" s="28" t="s">
        <v>265</v>
      </c>
      <c r="E52" s="28"/>
      <c r="F52" s="22" t="s">
        <v>206</v>
      </c>
      <c r="G52" s="24">
        <v>6.2</v>
      </c>
      <c r="H52" s="25">
        <v>22.3</v>
      </c>
      <c r="I52" s="25">
        <f>SUM(G52*H52)</f>
        <v>138.26</v>
      </c>
      <c r="J52" s="23" t="s">
        <v>263</v>
      </c>
    </row>
    <row r="53" spans="1:10">
      <c r="A53" s="22"/>
      <c r="B53" s="29"/>
      <c r="C53" s="30"/>
      <c r="D53" s="28" t="s">
        <v>266</v>
      </c>
      <c r="E53" s="28"/>
      <c r="F53" s="22" t="s">
        <v>206</v>
      </c>
      <c r="G53" s="24">
        <v>2.78</v>
      </c>
      <c r="H53" s="25">
        <v>22.5</v>
      </c>
      <c r="I53" s="25">
        <f>SUM(G53*H53)</f>
        <v>62.55</v>
      </c>
      <c r="J53" s="23" t="s">
        <v>263</v>
      </c>
    </row>
    <row r="54" spans="1:10">
      <c r="A54" s="22"/>
      <c r="B54" s="29"/>
      <c r="C54" s="30"/>
      <c r="D54" s="28" t="s">
        <v>267</v>
      </c>
      <c r="E54" s="28"/>
      <c r="F54" s="22" t="s">
        <v>206</v>
      </c>
      <c r="G54" s="24">
        <v>7.2</v>
      </c>
      <c r="H54" s="25">
        <v>22.3</v>
      </c>
      <c r="I54" s="25">
        <f t="shared" ref="I53:I59" si="6">SUM(G54*H54)</f>
        <v>160.56</v>
      </c>
      <c r="J54" s="23" t="s">
        <v>263</v>
      </c>
    </row>
    <row r="55" spans="1:10">
      <c r="A55" s="22"/>
      <c r="B55" s="23" t="s">
        <v>268</v>
      </c>
      <c r="C55" s="23"/>
      <c r="D55" s="28" t="s">
        <v>269</v>
      </c>
      <c r="E55" s="28"/>
      <c r="F55" s="23" t="s">
        <v>213</v>
      </c>
      <c r="G55" s="24">
        <v>4</v>
      </c>
      <c r="H55" s="31">
        <v>4</v>
      </c>
      <c r="I55" s="25">
        <f t="shared" si="6"/>
        <v>16</v>
      </c>
      <c r="J55" s="23" t="s">
        <v>263</v>
      </c>
    </row>
    <row r="56" spans="1:10">
      <c r="A56" s="22">
        <v>3</v>
      </c>
      <c r="B56" s="32" t="s">
        <v>270</v>
      </c>
      <c r="C56" s="32"/>
      <c r="D56" s="33" t="s">
        <v>271</v>
      </c>
      <c r="E56" s="28"/>
      <c r="F56" s="23" t="s">
        <v>272</v>
      </c>
      <c r="G56" s="34">
        <v>0</v>
      </c>
      <c r="H56" s="35">
        <v>0</v>
      </c>
      <c r="I56" s="35">
        <f t="shared" ref="I56:I59" si="7">G56*H56</f>
        <v>0</v>
      </c>
      <c r="J56" s="23" t="s">
        <v>263</v>
      </c>
    </row>
    <row r="57" spans="1:10">
      <c r="A57" s="22"/>
      <c r="B57" s="32"/>
      <c r="C57" s="32"/>
      <c r="D57" s="33" t="s">
        <v>273</v>
      </c>
      <c r="E57" s="28"/>
      <c r="F57" s="23" t="s">
        <v>272</v>
      </c>
      <c r="G57" s="34">
        <v>0</v>
      </c>
      <c r="H57" s="35">
        <v>0</v>
      </c>
      <c r="I57" s="35">
        <f t="shared" si="7"/>
        <v>0</v>
      </c>
      <c r="J57" s="23" t="s">
        <v>263</v>
      </c>
    </row>
    <row r="58" spans="1:10">
      <c r="A58" s="22">
        <v>4</v>
      </c>
      <c r="B58" s="32"/>
      <c r="C58" s="32"/>
      <c r="D58" s="23" t="s">
        <v>274</v>
      </c>
      <c r="E58" s="23"/>
      <c r="F58" s="22" t="s">
        <v>275</v>
      </c>
      <c r="G58" s="24">
        <v>2.82</v>
      </c>
      <c r="H58" s="25">
        <v>5</v>
      </c>
      <c r="I58" s="25">
        <f t="shared" si="6"/>
        <v>14.1</v>
      </c>
      <c r="J58" s="23" t="s">
        <v>263</v>
      </c>
    </row>
    <row r="59" spans="1:10">
      <c r="A59" s="22"/>
      <c r="B59" s="32"/>
      <c r="C59" s="32"/>
      <c r="D59" s="23" t="s">
        <v>276</v>
      </c>
      <c r="E59" s="23"/>
      <c r="F59" s="36" t="s">
        <v>262</v>
      </c>
      <c r="G59" s="34">
        <v>0</v>
      </c>
      <c r="H59" s="35">
        <v>0</v>
      </c>
      <c r="I59" s="35">
        <f t="shared" si="7"/>
        <v>0</v>
      </c>
      <c r="J59" s="23" t="s">
        <v>263</v>
      </c>
    </row>
    <row r="60" spans="1:10">
      <c r="A60" s="22"/>
      <c r="B60" s="32"/>
      <c r="C60" s="32"/>
      <c r="D60" s="23"/>
      <c r="E60" s="23"/>
      <c r="F60" s="22"/>
      <c r="G60" s="23"/>
      <c r="H60" s="25"/>
      <c r="I60" s="25"/>
      <c r="J60" s="23" t="s">
        <v>263</v>
      </c>
    </row>
    <row r="61" spans="1:10">
      <c r="A61" s="22">
        <v>5</v>
      </c>
      <c r="B61" s="23" t="s">
        <v>277</v>
      </c>
      <c r="C61" s="23"/>
      <c r="D61" s="23"/>
      <c r="E61" s="23"/>
      <c r="F61" s="23" t="s">
        <v>262</v>
      </c>
      <c r="G61" s="24">
        <v>2.82</v>
      </c>
      <c r="H61" s="25">
        <v>5</v>
      </c>
      <c r="I61" s="25">
        <f>SUM(G61*H61)</f>
        <v>14.1</v>
      </c>
      <c r="J61" s="23" t="s">
        <v>263</v>
      </c>
    </row>
    <row r="62" spans="1:10">
      <c r="A62" s="22">
        <v>6</v>
      </c>
      <c r="B62" s="23" t="s">
        <v>278</v>
      </c>
      <c r="C62" s="23"/>
      <c r="D62" s="36" t="s">
        <v>279</v>
      </c>
      <c r="E62" s="23"/>
      <c r="F62" s="23" t="s">
        <v>262</v>
      </c>
      <c r="G62" s="24">
        <f>SUM(I50:I61)</f>
        <v>574.77</v>
      </c>
      <c r="H62" s="24"/>
      <c r="I62" s="24"/>
      <c r="J62" s="40"/>
    </row>
    <row r="63" ht="24" spans="1:10">
      <c r="A63" s="22">
        <v>7</v>
      </c>
      <c r="B63" s="23" t="s">
        <v>280</v>
      </c>
      <c r="C63" s="23"/>
      <c r="D63" s="37" t="s">
        <v>281</v>
      </c>
      <c r="E63" s="38">
        <v>0.05</v>
      </c>
      <c r="F63" s="23" t="s">
        <v>262</v>
      </c>
      <c r="G63" s="24">
        <f>SUM(G62*0.05)</f>
        <v>28.7385</v>
      </c>
      <c r="H63" s="24"/>
      <c r="I63" s="24"/>
      <c r="J63" s="40" t="s">
        <v>282</v>
      </c>
    </row>
    <row r="64" spans="1:10">
      <c r="A64" s="39">
        <v>8</v>
      </c>
      <c r="B64" s="39" t="s">
        <v>283</v>
      </c>
      <c r="C64" s="39"/>
      <c r="D64" s="39" t="s">
        <v>284</v>
      </c>
      <c r="E64" s="39"/>
      <c r="F64" s="23" t="s">
        <v>262</v>
      </c>
      <c r="G64" s="39">
        <f>SUM(G62+G63)</f>
        <v>603.5085</v>
      </c>
      <c r="H64" s="39"/>
      <c r="I64" s="39"/>
      <c r="J64" s="41">
        <f>SUM(G64/G50)</f>
        <v>214.010106382979</v>
      </c>
    </row>
    <row r="67" ht="14.25" spans="1:10">
      <c r="A67" s="10" t="s">
        <v>253</v>
      </c>
      <c r="B67" s="11"/>
      <c r="C67" s="11"/>
      <c r="D67" s="11"/>
      <c r="E67" s="11"/>
      <c r="F67" s="11"/>
      <c r="G67" s="11"/>
      <c r="H67" s="11"/>
      <c r="I67" s="11"/>
      <c r="J67" s="11"/>
    </row>
    <row r="68" ht="14.25" spans="1:10">
      <c r="A68" s="12" t="s">
        <v>254</v>
      </c>
      <c r="B68" s="13"/>
      <c r="C68" s="14"/>
      <c r="D68" s="15" t="s">
        <v>287</v>
      </c>
      <c r="E68" s="16"/>
      <c r="F68" s="17" t="s">
        <v>255</v>
      </c>
      <c r="G68" s="18"/>
      <c r="H68" s="19">
        <v>900</v>
      </c>
      <c r="I68" s="15">
        <v>1900</v>
      </c>
      <c r="J68" s="16"/>
    </row>
    <row r="69" spans="1:10">
      <c r="A69" s="12" t="s">
        <v>256</v>
      </c>
      <c r="B69" s="13"/>
      <c r="C69" s="14"/>
      <c r="D69" s="20"/>
      <c r="E69" s="20"/>
      <c r="F69" s="21" t="s">
        <v>257</v>
      </c>
      <c r="G69" s="21"/>
      <c r="H69" s="12">
        <v>1.71</v>
      </c>
      <c r="I69" s="13"/>
      <c r="J69" s="14"/>
    </row>
    <row r="70" spans="1:10">
      <c r="A70" s="21" t="s">
        <v>1</v>
      </c>
      <c r="B70" s="21" t="s">
        <v>258</v>
      </c>
      <c r="C70" s="21"/>
      <c r="D70" s="21" t="s">
        <v>259</v>
      </c>
      <c r="E70" s="21"/>
      <c r="F70" s="21" t="s">
        <v>84</v>
      </c>
      <c r="G70" s="21" t="s">
        <v>260</v>
      </c>
      <c r="H70" s="21" t="s">
        <v>261</v>
      </c>
      <c r="I70" s="21" t="s">
        <v>52</v>
      </c>
      <c r="J70" s="21" t="s">
        <v>6</v>
      </c>
    </row>
    <row r="71" spans="1:10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>
      <c r="A72" s="22">
        <v>1</v>
      </c>
      <c r="B72" s="23" t="s">
        <v>199</v>
      </c>
      <c r="C72" s="23"/>
      <c r="D72" s="23"/>
      <c r="E72" s="23"/>
      <c r="F72" s="23" t="s">
        <v>262</v>
      </c>
      <c r="G72" s="24">
        <v>1.71</v>
      </c>
      <c r="H72" s="25">
        <v>30</v>
      </c>
      <c r="I72" s="25">
        <f t="shared" ref="I72:I75" si="8">SUM(G72*H72)</f>
        <v>51.3</v>
      </c>
      <c r="J72" s="23" t="s">
        <v>263</v>
      </c>
    </row>
    <row r="73" spans="1:10">
      <c r="A73" s="22"/>
      <c r="B73" s="23" t="s">
        <v>201</v>
      </c>
      <c r="C73" s="23"/>
      <c r="D73" s="23"/>
      <c r="E73" s="23"/>
      <c r="F73" s="23" t="s">
        <v>262</v>
      </c>
      <c r="G73" s="24">
        <v>1.71</v>
      </c>
      <c r="H73" s="25">
        <v>30</v>
      </c>
      <c r="I73" s="25">
        <f t="shared" si="8"/>
        <v>51.3</v>
      </c>
      <c r="J73" s="23" t="s">
        <v>263</v>
      </c>
    </row>
    <row r="74" spans="1:10">
      <c r="A74" s="22">
        <v>2</v>
      </c>
      <c r="B74" s="26" t="s">
        <v>264</v>
      </c>
      <c r="C74" s="27"/>
      <c r="D74" s="28" t="s">
        <v>265</v>
      </c>
      <c r="E74" s="28"/>
      <c r="F74" s="22" t="s">
        <v>206</v>
      </c>
      <c r="G74" s="24">
        <v>5.1</v>
      </c>
      <c r="H74" s="25">
        <v>22.3</v>
      </c>
      <c r="I74" s="25">
        <f t="shared" si="8"/>
        <v>113.73</v>
      </c>
      <c r="J74" s="23" t="s">
        <v>263</v>
      </c>
    </row>
    <row r="75" spans="1:10">
      <c r="A75" s="22"/>
      <c r="B75" s="29"/>
      <c r="C75" s="30"/>
      <c r="D75" s="28" t="s">
        <v>266</v>
      </c>
      <c r="E75" s="28"/>
      <c r="F75" s="22" t="s">
        <v>206</v>
      </c>
      <c r="G75" s="24">
        <v>2.2</v>
      </c>
      <c r="H75" s="25">
        <v>22.5</v>
      </c>
      <c r="I75" s="25">
        <f t="shared" si="8"/>
        <v>49.5</v>
      </c>
      <c r="J75" s="23" t="s">
        <v>263</v>
      </c>
    </row>
    <row r="76" ht="14.25" spans="1:10">
      <c r="A76" s="22"/>
      <c r="B76" s="29"/>
      <c r="C76" s="30"/>
      <c r="D76" s="28" t="s">
        <v>267</v>
      </c>
      <c r="E76" s="28"/>
      <c r="F76" s="22" t="s">
        <v>206</v>
      </c>
      <c r="G76" s="24">
        <v>3.8</v>
      </c>
      <c r="H76" s="25">
        <v>22.3</v>
      </c>
      <c r="I76" s="42">
        <f t="shared" ref="I76:I80" si="9">SUM(G76*H76)</f>
        <v>84.74</v>
      </c>
      <c r="J76" s="23" t="s">
        <v>263</v>
      </c>
    </row>
    <row r="77" spans="1:10">
      <c r="A77" s="22"/>
      <c r="B77" s="23" t="s">
        <v>268</v>
      </c>
      <c r="C77" s="23"/>
      <c r="D77" s="28" t="s">
        <v>269</v>
      </c>
      <c r="E77" s="28"/>
      <c r="F77" s="23" t="s">
        <v>213</v>
      </c>
      <c r="G77" s="24">
        <v>4</v>
      </c>
      <c r="H77" s="31">
        <v>4</v>
      </c>
      <c r="I77" s="25">
        <f t="shared" si="9"/>
        <v>16</v>
      </c>
      <c r="J77" s="23" t="s">
        <v>263</v>
      </c>
    </row>
    <row r="78" spans="1:10">
      <c r="A78" s="22">
        <v>3</v>
      </c>
      <c r="B78" s="32" t="s">
        <v>270</v>
      </c>
      <c r="C78" s="32"/>
      <c r="D78" s="33" t="s">
        <v>271</v>
      </c>
      <c r="E78" s="28"/>
      <c r="F78" s="23" t="s">
        <v>272</v>
      </c>
      <c r="G78" s="34">
        <v>0</v>
      </c>
      <c r="H78" s="35">
        <v>0</v>
      </c>
      <c r="I78" s="35">
        <f t="shared" ref="I78:I81" si="10">G78*H78</f>
        <v>0</v>
      </c>
      <c r="J78" s="23" t="s">
        <v>263</v>
      </c>
    </row>
    <row r="79" spans="1:10">
      <c r="A79" s="22"/>
      <c r="B79" s="32"/>
      <c r="C79" s="32"/>
      <c r="D79" s="33" t="s">
        <v>273</v>
      </c>
      <c r="E79" s="28"/>
      <c r="F79" s="23" t="s">
        <v>272</v>
      </c>
      <c r="G79" s="34">
        <v>0</v>
      </c>
      <c r="H79" s="35">
        <v>0</v>
      </c>
      <c r="I79" s="35">
        <f t="shared" si="10"/>
        <v>0</v>
      </c>
      <c r="J79" s="23" t="s">
        <v>263</v>
      </c>
    </row>
    <row r="80" spans="1:10">
      <c r="A80" s="22">
        <v>4</v>
      </c>
      <c r="B80" s="32"/>
      <c r="C80" s="32"/>
      <c r="D80" s="23" t="s">
        <v>274</v>
      </c>
      <c r="E80" s="23"/>
      <c r="F80" s="22" t="s">
        <v>275</v>
      </c>
      <c r="G80" s="24">
        <v>1.71</v>
      </c>
      <c r="H80" s="25">
        <v>5</v>
      </c>
      <c r="I80" s="25">
        <f t="shared" si="9"/>
        <v>8.55</v>
      </c>
      <c r="J80" s="23" t="s">
        <v>263</v>
      </c>
    </row>
    <row r="81" spans="1:10">
      <c r="A81" s="22"/>
      <c r="B81" s="32"/>
      <c r="C81" s="32"/>
      <c r="D81" s="23" t="s">
        <v>276</v>
      </c>
      <c r="E81" s="23"/>
      <c r="F81" s="36" t="s">
        <v>262</v>
      </c>
      <c r="G81" s="34">
        <v>0</v>
      </c>
      <c r="H81" s="35">
        <v>0</v>
      </c>
      <c r="I81" s="35">
        <f t="shared" si="10"/>
        <v>0</v>
      </c>
      <c r="J81" s="23" t="s">
        <v>263</v>
      </c>
    </row>
    <row r="82" spans="1:10">
      <c r="A82" s="22"/>
      <c r="B82" s="32"/>
      <c r="C82" s="32"/>
      <c r="D82" s="23"/>
      <c r="E82" s="23"/>
      <c r="F82" s="22"/>
      <c r="G82" s="23"/>
      <c r="H82" s="25"/>
      <c r="I82" s="25"/>
      <c r="J82" s="23" t="s">
        <v>263</v>
      </c>
    </row>
    <row r="83" spans="1:10">
      <c r="A83" s="22">
        <v>5</v>
      </c>
      <c r="B83" s="23" t="s">
        <v>277</v>
      </c>
      <c r="C83" s="23"/>
      <c r="D83" s="23"/>
      <c r="E83" s="23"/>
      <c r="F83" s="23" t="s">
        <v>262</v>
      </c>
      <c r="G83" s="24">
        <v>1.71</v>
      </c>
      <c r="H83" s="25">
        <v>5</v>
      </c>
      <c r="I83" s="25">
        <f>SUM(G83*H83)</f>
        <v>8.55</v>
      </c>
      <c r="J83" s="23" t="s">
        <v>263</v>
      </c>
    </row>
    <row r="84" spans="1:10">
      <c r="A84" s="22">
        <v>6</v>
      </c>
      <c r="B84" s="23" t="s">
        <v>278</v>
      </c>
      <c r="C84" s="23"/>
      <c r="D84" s="36" t="s">
        <v>279</v>
      </c>
      <c r="E84" s="23"/>
      <c r="F84" s="23" t="s">
        <v>262</v>
      </c>
      <c r="G84" s="24">
        <f>SUM(I72:I83)</f>
        <v>383.67</v>
      </c>
      <c r="H84" s="24"/>
      <c r="I84" s="24"/>
      <c r="J84" s="40"/>
    </row>
    <row r="85" ht="24" spans="1:10">
      <c r="A85" s="22">
        <v>7</v>
      </c>
      <c r="B85" s="23" t="s">
        <v>280</v>
      </c>
      <c r="C85" s="23"/>
      <c r="D85" s="37" t="s">
        <v>281</v>
      </c>
      <c r="E85" s="38">
        <v>0.05</v>
      </c>
      <c r="F85" s="23" t="s">
        <v>262</v>
      </c>
      <c r="G85" s="24">
        <f>SUM(G84*0.05)</f>
        <v>19.1835</v>
      </c>
      <c r="H85" s="24"/>
      <c r="I85" s="24"/>
      <c r="J85" s="40" t="s">
        <v>282</v>
      </c>
    </row>
    <row r="86" spans="1:10">
      <c r="A86" s="39">
        <v>8</v>
      </c>
      <c r="B86" s="39" t="s">
        <v>283</v>
      </c>
      <c r="C86" s="39"/>
      <c r="D86" s="39" t="s">
        <v>284</v>
      </c>
      <c r="E86" s="39"/>
      <c r="F86" s="23" t="s">
        <v>262</v>
      </c>
      <c r="G86" s="39">
        <f>SUM(G84:I85)</f>
        <v>402.8535</v>
      </c>
      <c r="H86" s="39"/>
      <c r="I86" s="39"/>
      <c r="J86" s="41">
        <f>SUM(G86/H69)</f>
        <v>235.586842105263</v>
      </c>
    </row>
    <row r="89" ht="14.25" spans="1:10">
      <c r="A89" s="10" t="s">
        <v>253</v>
      </c>
      <c r="B89" s="11"/>
      <c r="C89" s="11"/>
      <c r="D89" s="11"/>
      <c r="E89" s="11"/>
      <c r="F89" s="11"/>
      <c r="G89" s="11"/>
      <c r="H89" s="11"/>
      <c r="I89" s="11"/>
      <c r="J89" s="11"/>
    </row>
    <row r="90" ht="14.25" spans="1:10">
      <c r="A90" s="12" t="s">
        <v>254</v>
      </c>
      <c r="B90" s="13"/>
      <c r="C90" s="14"/>
      <c r="D90" s="15" t="s">
        <v>287</v>
      </c>
      <c r="E90" s="16"/>
      <c r="F90" s="17" t="s">
        <v>255</v>
      </c>
      <c r="G90" s="18"/>
      <c r="H90" s="4">
        <v>0.9</v>
      </c>
      <c r="I90" s="15">
        <v>2.35</v>
      </c>
      <c r="J90" s="16"/>
    </row>
    <row r="91" spans="1:10">
      <c r="A91" s="12" t="s">
        <v>256</v>
      </c>
      <c r="B91" s="13"/>
      <c r="C91" s="14"/>
      <c r="D91" s="20"/>
      <c r="E91" s="20"/>
      <c r="F91" s="21" t="s">
        <v>257</v>
      </c>
      <c r="G91" s="21"/>
      <c r="H91" s="12">
        <f>SUM(H90*I90)</f>
        <v>2.115</v>
      </c>
      <c r="I91" s="13"/>
      <c r="J91" s="14"/>
    </row>
    <row r="92" spans="1:10">
      <c r="A92" s="21" t="s">
        <v>1</v>
      </c>
      <c r="B92" s="21" t="s">
        <v>258</v>
      </c>
      <c r="C92" s="21"/>
      <c r="D92" s="21" t="s">
        <v>259</v>
      </c>
      <c r="E92" s="21"/>
      <c r="F92" s="21" t="s">
        <v>84</v>
      </c>
      <c r="G92" s="21" t="s">
        <v>260</v>
      </c>
      <c r="H92" s="21" t="s">
        <v>261</v>
      </c>
      <c r="I92" s="21" t="s">
        <v>52</v>
      </c>
      <c r="J92" s="21" t="s">
        <v>6</v>
      </c>
    </row>
    <row r="93" spans="1:10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>
      <c r="A94" s="22">
        <v>1</v>
      </c>
      <c r="B94" s="23" t="s">
        <v>199</v>
      </c>
      <c r="C94" s="23"/>
      <c r="D94" s="23"/>
      <c r="E94" s="23"/>
      <c r="F94" s="23" t="s">
        <v>262</v>
      </c>
      <c r="G94" s="24">
        <v>1.71</v>
      </c>
      <c r="H94" s="25">
        <v>30</v>
      </c>
      <c r="I94" s="25">
        <f t="shared" ref="I94:I99" si="11">SUM(G94*H94)</f>
        <v>51.3</v>
      </c>
      <c r="J94" s="23" t="s">
        <v>263</v>
      </c>
    </row>
    <row r="95" spans="1:10">
      <c r="A95" s="22"/>
      <c r="B95" s="23" t="s">
        <v>201</v>
      </c>
      <c r="C95" s="23"/>
      <c r="D95" s="23"/>
      <c r="E95" s="23"/>
      <c r="F95" s="23" t="s">
        <v>262</v>
      </c>
      <c r="G95" s="24">
        <v>1.71</v>
      </c>
      <c r="H95" s="25">
        <v>30</v>
      </c>
      <c r="I95" s="25">
        <f t="shared" si="11"/>
        <v>51.3</v>
      </c>
      <c r="J95" s="23" t="s">
        <v>263</v>
      </c>
    </row>
    <row r="96" spans="1:10">
      <c r="A96" s="22">
        <v>2</v>
      </c>
      <c r="B96" s="26" t="s">
        <v>264</v>
      </c>
      <c r="C96" s="27"/>
      <c r="D96" s="28" t="s">
        <v>265</v>
      </c>
      <c r="E96" s="28"/>
      <c r="F96" s="22" t="s">
        <v>206</v>
      </c>
      <c r="G96" s="24">
        <v>6.1</v>
      </c>
      <c r="H96" s="25">
        <v>22.3</v>
      </c>
      <c r="I96" s="25">
        <f t="shared" si="11"/>
        <v>136.03</v>
      </c>
      <c r="J96" s="23" t="s">
        <v>263</v>
      </c>
    </row>
    <row r="97" spans="1:10">
      <c r="A97" s="22"/>
      <c r="B97" s="29"/>
      <c r="C97" s="30"/>
      <c r="D97" s="28" t="s">
        <v>266</v>
      </c>
      <c r="E97" s="28"/>
      <c r="F97" s="22" t="s">
        <v>206</v>
      </c>
      <c r="G97" s="24">
        <v>2.6</v>
      </c>
      <c r="H97" s="25">
        <v>22.5</v>
      </c>
      <c r="I97" s="25">
        <f t="shared" si="11"/>
        <v>58.5</v>
      </c>
      <c r="J97" s="23" t="s">
        <v>263</v>
      </c>
    </row>
    <row r="98" ht="14.25" spans="1:10">
      <c r="A98" s="22"/>
      <c r="B98" s="29"/>
      <c r="C98" s="30"/>
      <c r="D98" s="28" t="s">
        <v>267</v>
      </c>
      <c r="E98" s="28"/>
      <c r="F98" s="22" t="s">
        <v>206</v>
      </c>
      <c r="G98" s="24">
        <v>4.9</v>
      </c>
      <c r="H98" s="25">
        <v>22.3</v>
      </c>
      <c r="I98" s="42">
        <f t="shared" si="11"/>
        <v>109.27</v>
      </c>
      <c r="J98" s="23" t="s">
        <v>263</v>
      </c>
    </row>
    <row r="99" spans="1:10">
      <c r="A99" s="22"/>
      <c r="B99" s="23" t="s">
        <v>268</v>
      </c>
      <c r="C99" s="23"/>
      <c r="D99" s="28" t="s">
        <v>269</v>
      </c>
      <c r="E99" s="28"/>
      <c r="F99" s="23" t="s">
        <v>213</v>
      </c>
      <c r="G99" s="24">
        <v>4</v>
      </c>
      <c r="H99" s="31">
        <v>4</v>
      </c>
      <c r="I99" s="25">
        <f t="shared" si="11"/>
        <v>16</v>
      </c>
      <c r="J99" s="23" t="s">
        <v>263</v>
      </c>
    </row>
    <row r="100" spans="1:10">
      <c r="A100" s="22">
        <v>3</v>
      </c>
      <c r="B100" s="32" t="s">
        <v>270</v>
      </c>
      <c r="C100" s="32"/>
      <c r="D100" s="33" t="s">
        <v>271</v>
      </c>
      <c r="E100" s="28"/>
      <c r="F100" s="23" t="s">
        <v>272</v>
      </c>
      <c r="G100" s="34">
        <v>0</v>
      </c>
      <c r="H100" s="35">
        <v>0</v>
      </c>
      <c r="I100" s="35">
        <f t="shared" ref="I100:I103" si="12">G100*H100</f>
        <v>0</v>
      </c>
      <c r="J100" s="23" t="s">
        <v>263</v>
      </c>
    </row>
    <row r="101" spans="1:10">
      <c r="A101" s="22"/>
      <c r="B101" s="32"/>
      <c r="C101" s="32"/>
      <c r="D101" s="33" t="s">
        <v>273</v>
      </c>
      <c r="E101" s="28"/>
      <c r="F101" s="23" t="s">
        <v>272</v>
      </c>
      <c r="G101" s="34">
        <v>0</v>
      </c>
      <c r="H101" s="35">
        <v>0</v>
      </c>
      <c r="I101" s="35">
        <f t="shared" si="12"/>
        <v>0</v>
      </c>
      <c r="J101" s="23" t="s">
        <v>263</v>
      </c>
    </row>
    <row r="102" spans="1:10">
      <c r="A102" s="22">
        <v>4</v>
      </c>
      <c r="B102" s="32"/>
      <c r="C102" s="32"/>
      <c r="D102" s="23" t="s">
        <v>274</v>
      </c>
      <c r="E102" s="23"/>
      <c r="F102" s="22" t="s">
        <v>275</v>
      </c>
      <c r="G102" s="24">
        <v>1.71</v>
      </c>
      <c r="H102" s="25">
        <v>5</v>
      </c>
      <c r="I102" s="25">
        <f>SUM(G102*H102)</f>
        <v>8.55</v>
      </c>
      <c r="J102" s="23" t="s">
        <v>263</v>
      </c>
    </row>
    <row r="103" spans="1:10">
      <c r="A103" s="22"/>
      <c r="B103" s="32"/>
      <c r="C103" s="32"/>
      <c r="D103" s="23" t="s">
        <v>276</v>
      </c>
      <c r="E103" s="23"/>
      <c r="F103" s="36" t="s">
        <v>262</v>
      </c>
      <c r="G103" s="34">
        <v>0</v>
      </c>
      <c r="H103" s="35">
        <v>0</v>
      </c>
      <c r="I103" s="35">
        <f t="shared" si="12"/>
        <v>0</v>
      </c>
      <c r="J103" s="23" t="s">
        <v>263</v>
      </c>
    </row>
    <row r="104" spans="1:10">
      <c r="A104" s="22"/>
      <c r="B104" s="32"/>
      <c r="C104" s="32"/>
      <c r="D104" s="23"/>
      <c r="E104" s="23"/>
      <c r="F104" s="22"/>
      <c r="G104" s="23"/>
      <c r="H104" s="25"/>
      <c r="I104" s="25"/>
      <c r="J104" s="23" t="s">
        <v>263</v>
      </c>
    </row>
    <row r="105" spans="1:10">
      <c r="A105" s="22">
        <v>5</v>
      </c>
      <c r="B105" s="23" t="s">
        <v>277</v>
      </c>
      <c r="C105" s="23"/>
      <c r="D105" s="23"/>
      <c r="E105" s="23"/>
      <c r="F105" s="23" t="s">
        <v>262</v>
      </c>
      <c r="G105" s="24">
        <v>1.71</v>
      </c>
      <c r="H105" s="25">
        <v>5</v>
      </c>
      <c r="I105" s="25">
        <f>SUM(G105*H105)</f>
        <v>8.55</v>
      </c>
      <c r="J105" s="23" t="s">
        <v>263</v>
      </c>
    </row>
    <row r="106" spans="1:10">
      <c r="A106" s="22">
        <v>6</v>
      </c>
      <c r="B106" s="23" t="s">
        <v>278</v>
      </c>
      <c r="C106" s="23"/>
      <c r="D106" s="36" t="s">
        <v>279</v>
      </c>
      <c r="E106" s="23"/>
      <c r="F106" s="23" t="s">
        <v>262</v>
      </c>
      <c r="G106" s="24">
        <f>SUM(I94:I105)</f>
        <v>439.5</v>
      </c>
      <c r="H106" s="24"/>
      <c r="I106" s="24"/>
      <c r="J106" s="40"/>
    </row>
    <row r="107" ht="24" spans="1:10">
      <c r="A107" s="22">
        <v>7</v>
      </c>
      <c r="B107" s="23" t="s">
        <v>280</v>
      </c>
      <c r="C107" s="23"/>
      <c r="D107" s="37" t="s">
        <v>281</v>
      </c>
      <c r="E107" s="38">
        <v>0.05</v>
      </c>
      <c r="F107" s="23" t="s">
        <v>262</v>
      </c>
      <c r="G107" s="24">
        <f>SUM(G106*0.05)</f>
        <v>21.975</v>
      </c>
      <c r="H107" s="24"/>
      <c r="I107" s="24"/>
      <c r="J107" s="40" t="s">
        <v>282</v>
      </c>
    </row>
    <row r="108" spans="1:10">
      <c r="A108" s="39">
        <v>8</v>
      </c>
      <c r="B108" s="39" t="s">
        <v>283</v>
      </c>
      <c r="C108" s="39"/>
      <c r="D108" s="39" t="s">
        <v>284</v>
      </c>
      <c r="E108" s="39"/>
      <c r="F108" s="23" t="s">
        <v>262</v>
      </c>
      <c r="G108" s="39">
        <f>SUM(G106:I107)</f>
        <v>461.475</v>
      </c>
      <c r="H108" s="39"/>
      <c r="I108" s="39"/>
      <c r="J108" s="41">
        <f>SUM(G108/H91)</f>
        <v>218.191489361702</v>
      </c>
    </row>
    <row r="111" ht="14.25" spans="1:10">
      <c r="A111" s="10" t="s">
        <v>253</v>
      </c>
      <c r="B111" s="11"/>
      <c r="C111" s="11"/>
      <c r="D111" s="11"/>
      <c r="E111" s="11"/>
      <c r="F111" s="11"/>
      <c r="G111" s="11"/>
      <c r="H111" s="11"/>
      <c r="I111" s="11"/>
      <c r="J111" s="11"/>
    </row>
    <row r="112" ht="14.25" spans="1:10">
      <c r="A112" s="12" t="s">
        <v>254</v>
      </c>
      <c r="B112" s="13"/>
      <c r="C112" s="14"/>
      <c r="D112" s="15" t="s">
        <v>287</v>
      </c>
      <c r="E112" s="16"/>
      <c r="F112" s="17" t="s">
        <v>255</v>
      </c>
      <c r="G112" s="18"/>
      <c r="H112" s="4">
        <v>1.2</v>
      </c>
      <c r="I112" s="15">
        <v>1.9</v>
      </c>
      <c r="J112" s="16"/>
    </row>
    <row r="113" spans="1:10">
      <c r="A113" s="12" t="s">
        <v>256</v>
      </c>
      <c r="B113" s="13"/>
      <c r="C113" s="14"/>
      <c r="D113" s="20"/>
      <c r="E113" s="20"/>
      <c r="F113" s="21" t="s">
        <v>257</v>
      </c>
      <c r="G113" s="21"/>
      <c r="H113" s="12">
        <f>SUM(H112*I112)</f>
        <v>2.28</v>
      </c>
      <c r="I113" s="13"/>
      <c r="J113" s="14"/>
    </row>
    <row r="114" spans="1:10">
      <c r="A114" s="21" t="s">
        <v>1</v>
      </c>
      <c r="B114" s="21" t="s">
        <v>258</v>
      </c>
      <c r="C114" s="21"/>
      <c r="D114" s="21" t="s">
        <v>259</v>
      </c>
      <c r="E114" s="21"/>
      <c r="F114" s="21" t="s">
        <v>84</v>
      </c>
      <c r="G114" s="21" t="s">
        <v>260</v>
      </c>
      <c r="H114" s="21" t="s">
        <v>261</v>
      </c>
      <c r="I114" s="21" t="s">
        <v>52</v>
      </c>
      <c r="J114" s="21" t="s">
        <v>6</v>
      </c>
    </row>
    <row r="115" spans="1: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N115" s="4"/>
      <c r="O115" s="4"/>
    </row>
    <row r="116" spans="1:15">
      <c r="A116" s="22">
        <v>1</v>
      </c>
      <c r="B116" s="23" t="s">
        <v>199</v>
      </c>
      <c r="C116" s="23"/>
      <c r="D116" s="23"/>
      <c r="E116" s="23"/>
      <c r="F116" s="23" t="s">
        <v>262</v>
      </c>
      <c r="G116" s="24">
        <v>1.71</v>
      </c>
      <c r="H116" s="25">
        <v>30</v>
      </c>
      <c r="I116" s="25">
        <f t="shared" ref="I116:I121" si="13">SUM(G116*H116)</f>
        <v>51.3</v>
      </c>
      <c r="J116" s="23" t="s">
        <v>263</v>
      </c>
      <c r="N116" s="4"/>
      <c r="O116" s="4"/>
    </row>
    <row r="117" spans="1:15">
      <c r="A117" s="22"/>
      <c r="B117" s="23" t="s">
        <v>201</v>
      </c>
      <c r="C117" s="23"/>
      <c r="D117" s="23"/>
      <c r="E117" s="23"/>
      <c r="F117" s="23" t="s">
        <v>262</v>
      </c>
      <c r="G117" s="24">
        <v>1.71</v>
      </c>
      <c r="H117" s="25">
        <v>30</v>
      </c>
      <c r="I117" s="25">
        <f t="shared" si="13"/>
        <v>51.3</v>
      </c>
      <c r="J117" s="23" t="s">
        <v>263</v>
      </c>
      <c r="N117" s="4"/>
      <c r="O117" s="4"/>
    </row>
    <row r="118" spans="1:15">
      <c r="A118" s="22">
        <v>2</v>
      </c>
      <c r="B118" s="26" t="s">
        <v>264</v>
      </c>
      <c r="C118" s="27"/>
      <c r="D118" s="28" t="s">
        <v>265</v>
      </c>
      <c r="E118" s="28"/>
      <c r="F118" s="22" t="s">
        <v>206</v>
      </c>
      <c r="G118" s="24">
        <v>6.35</v>
      </c>
      <c r="H118" s="25">
        <v>22.3</v>
      </c>
      <c r="I118" s="25">
        <f t="shared" si="13"/>
        <v>141.605</v>
      </c>
      <c r="J118" s="23" t="s">
        <v>263</v>
      </c>
      <c r="N118" s="4"/>
      <c r="O118" s="4"/>
    </row>
    <row r="119" spans="1:15">
      <c r="A119" s="22"/>
      <c r="B119" s="29"/>
      <c r="C119" s="30"/>
      <c r="D119" s="28" t="s">
        <v>266</v>
      </c>
      <c r="E119" s="28"/>
      <c r="F119" s="22" t="s">
        <v>206</v>
      </c>
      <c r="G119" s="24">
        <v>2.89</v>
      </c>
      <c r="H119" s="25">
        <v>22.5</v>
      </c>
      <c r="I119" s="25">
        <f t="shared" si="13"/>
        <v>65.025</v>
      </c>
      <c r="J119" s="23" t="s">
        <v>263</v>
      </c>
      <c r="N119" s="4"/>
      <c r="O119" s="4"/>
    </row>
    <row r="120" ht="14.25" spans="1:15">
      <c r="A120" s="22"/>
      <c r="B120" s="29"/>
      <c r="C120" s="30"/>
      <c r="D120" s="28" t="s">
        <v>267</v>
      </c>
      <c r="E120" s="28"/>
      <c r="F120" s="22" t="s">
        <v>206</v>
      </c>
      <c r="G120" s="24">
        <v>5.5</v>
      </c>
      <c r="H120" s="25">
        <v>22.3</v>
      </c>
      <c r="I120" s="42">
        <f t="shared" si="13"/>
        <v>122.65</v>
      </c>
      <c r="J120" s="23" t="s">
        <v>263</v>
      </c>
      <c r="N120" s="4"/>
      <c r="O120" s="4"/>
    </row>
    <row r="121" spans="1:15">
      <c r="A121" s="22"/>
      <c r="B121" s="23" t="s">
        <v>268</v>
      </c>
      <c r="C121" s="23"/>
      <c r="D121" s="28" t="s">
        <v>269</v>
      </c>
      <c r="E121" s="28"/>
      <c r="F121" s="23" t="s">
        <v>213</v>
      </c>
      <c r="G121" s="24">
        <v>4</v>
      </c>
      <c r="H121" s="31">
        <v>4</v>
      </c>
      <c r="I121" s="25">
        <f t="shared" si="13"/>
        <v>16</v>
      </c>
      <c r="J121" s="23" t="s">
        <v>263</v>
      </c>
      <c r="N121" s="4"/>
      <c r="O121" s="4"/>
    </row>
    <row r="122" spans="1:10">
      <c r="A122" s="22">
        <v>3</v>
      </c>
      <c r="B122" s="32" t="s">
        <v>270</v>
      </c>
      <c r="C122" s="32"/>
      <c r="D122" s="33" t="s">
        <v>271</v>
      </c>
      <c r="E122" s="28"/>
      <c r="F122" s="23" t="s">
        <v>272</v>
      </c>
      <c r="G122" s="34">
        <v>0</v>
      </c>
      <c r="H122" s="35">
        <v>0</v>
      </c>
      <c r="I122" s="35">
        <f t="shared" ref="I122:I125" si="14">G122*H122</f>
        <v>0</v>
      </c>
      <c r="J122" s="23" t="s">
        <v>263</v>
      </c>
    </row>
    <row r="123" spans="1:10">
      <c r="A123" s="22"/>
      <c r="B123" s="32"/>
      <c r="C123" s="32"/>
      <c r="D123" s="33" t="s">
        <v>273</v>
      </c>
      <c r="E123" s="28"/>
      <c r="F123" s="23" t="s">
        <v>272</v>
      </c>
      <c r="G123" s="34">
        <v>0</v>
      </c>
      <c r="H123" s="35">
        <v>0</v>
      </c>
      <c r="I123" s="35">
        <f t="shared" si="14"/>
        <v>0</v>
      </c>
      <c r="J123" s="23" t="s">
        <v>263</v>
      </c>
    </row>
    <row r="124" spans="1:10">
      <c r="A124" s="22">
        <v>4</v>
      </c>
      <c r="B124" s="32"/>
      <c r="C124" s="32"/>
      <c r="D124" s="23" t="s">
        <v>274</v>
      </c>
      <c r="E124" s="23"/>
      <c r="F124" s="22" t="s">
        <v>275</v>
      </c>
      <c r="G124" s="24">
        <v>1.71</v>
      </c>
      <c r="H124" s="25">
        <v>5</v>
      </c>
      <c r="I124" s="25">
        <f>SUM(G124*H124)</f>
        <v>8.55</v>
      </c>
      <c r="J124" s="23" t="s">
        <v>263</v>
      </c>
    </row>
    <row r="125" spans="1:10">
      <c r="A125" s="22"/>
      <c r="B125" s="32"/>
      <c r="C125" s="32"/>
      <c r="D125" s="23" t="s">
        <v>276</v>
      </c>
      <c r="E125" s="23"/>
      <c r="F125" s="36" t="s">
        <v>262</v>
      </c>
      <c r="G125" s="34">
        <v>0</v>
      </c>
      <c r="H125" s="35">
        <v>0</v>
      </c>
      <c r="I125" s="35">
        <f t="shared" si="14"/>
        <v>0</v>
      </c>
      <c r="J125" s="23" t="s">
        <v>263</v>
      </c>
    </row>
    <row r="126" spans="1:10">
      <c r="A126" s="22"/>
      <c r="B126" s="32"/>
      <c r="C126" s="32"/>
      <c r="D126" s="23"/>
      <c r="E126" s="23"/>
      <c r="F126" s="22"/>
      <c r="G126" s="23"/>
      <c r="H126" s="25"/>
      <c r="I126" s="25"/>
      <c r="J126" s="23" t="s">
        <v>263</v>
      </c>
    </row>
    <row r="127" spans="1:10">
      <c r="A127" s="22">
        <v>5</v>
      </c>
      <c r="B127" s="23" t="s">
        <v>277</v>
      </c>
      <c r="C127" s="23"/>
      <c r="D127" s="23"/>
      <c r="E127" s="23"/>
      <c r="F127" s="23" t="s">
        <v>262</v>
      </c>
      <c r="G127" s="24">
        <v>1.71</v>
      </c>
      <c r="H127" s="25">
        <v>5</v>
      </c>
      <c r="I127" s="25">
        <f>SUM(G127*H127)</f>
        <v>8.55</v>
      </c>
      <c r="J127" s="23" t="s">
        <v>263</v>
      </c>
    </row>
    <row r="128" spans="1:10">
      <c r="A128" s="22">
        <v>6</v>
      </c>
      <c r="B128" s="23" t="s">
        <v>278</v>
      </c>
      <c r="C128" s="23"/>
      <c r="D128" s="36" t="s">
        <v>279</v>
      </c>
      <c r="E128" s="23"/>
      <c r="F128" s="23" t="s">
        <v>262</v>
      </c>
      <c r="G128" s="24">
        <f>SUM(I116:I127)</f>
        <v>464.98</v>
      </c>
      <c r="H128" s="24"/>
      <c r="I128" s="24"/>
      <c r="J128" s="40"/>
    </row>
    <row r="129" ht="24" spans="1:10">
      <c r="A129" s="22">
        <v>7</v>
      </c>
      <c r="B129" s="23" t="s">
        <v>280</v>
      </c>
      <c r="C129" s="23"/>
      <c r="D129" s="37" t="s">
        <v>281</v>
      </c>
      <c r="E129" s="38">
        <v>0.05</v>
      </c>
      <c r="F129" s="23" t="s">
        <v>262</v>
      </c>
      <c r="G129" s="24">
        <f>SUM(G128*0.05)</f>
        <v>23.249</v>
      </c>
      <c r="H129" s="24"/>
      <c r="I129" s="24"/>
      <c r="J129" s="40" t="s">
        <v>282</v>
      </c>
    </row>
    <row r="130" spans="1:10">
      <c r="A130" s="39">
        <v>8</v>
      </c>
      <c r="B130" s="39" t="s">
        <v>283</v>
      </c>
      <c r="C130" s="39"/>
      <c r="D130" s="39" t="s">
        <v>284</v>
      </c>
      <c r="E130" s="39"/>
      <c r="F130" s="23" t="s">
        <v>262</v>
      </c>
      <c r="G130" s="39">
        <f>SUM(G128:I129)</f>
        <v>488.229</v>
      </c>
      <c r="H130" s="39"/>
      <c r="I130" s="39"/>
      <c r="J130" s="41">
        <f>SUM(G130/H113)</f>
        <v>214.13552631579</v>
      </c>
    </row>
  </sheetData>
  <sheetProtection formatCells="0" insertHyperlinks="0" autoFilter="0"/>
  <mergeCells count="258">
    <mergeCell ref="A1:J1"/>
    <mergeCell ref="A2:C2"/>
    <mergeCell ref="D2:E2"/>
    <mergeCell ref="F2:G2"/>
    <mergeCell ref="I2:J2"/>
    <mergeCell ref="A3:C3"/>
    <mergeCell ref="F3:G3"/>
    <mergeCell ref="H3:J3"/>
    <mergeCell ref="B6:E6"/>
    <mergeCell ref="B7:E7"/>
    <mergeCell ref="D8:E8"/>
    <mergeCell ref="D9:E9"/>
    <mergeCell ref="D10:E10"/>
    <mergeCell ref="B11:C11"/>
    <mergeCell ref="D11:E11"/>
    <mergeCell ref="D12:E12"/>
    <mergeCell ref="D13:E13"/>
    <mergeCell ref="D14:E14"/>
    <mergeCell ref="D15:E15"/>
    <mergeCell ref="D16:E16"/>
    <mergeCell ref="B17:E17"/>
    <mergeCell ref="B18:C18"/>
    <mergeCell ref="D18:E18"/>
    <mergeCell ref="G18:I18"/>
    <mergeCell ref="B19:C19"/>
    <mergeCell ref="G19:I19"/>
    <mergeCell ref="B20:C20"/>
    <mergeCell ref="D20:E20"/>
    <mergeCell ref="G20:I20"/>
    <mergeCell ref="A23:J23"/>
    <mergeCell ref="A24:C24"/>
    <mergeCell ref="D24:E24"/>
    <mergeCell ref="F24:G24"/>
    <mergeCell ref="I24:J24"/>
    <mergeCell ref="A25:C25"/>
    <mergeCell ref="F25:G25"/>
    <mergeCell ref="H25:J25"/>
    <mergeCell ref="B28:E28"/>
    <mergeCell ref="B29:E29"/>
    <mergeCell ref="D30:E30"/>
    <mergeCell ref="D31:E31"/>
    <mergeCell ref="D32:E32"/>
    <mergeCell ref="B33:C33"/>
    <mergeCell ref="D33:E33"/>
    <mergeCell ref="D34:E34"/>
    <mergeCell ref="D35:E35"/>
    <mergeCell ref="D36:E36"/>
    <mergeCell ref="D37:E37"/>
    <mergeCell ref="D38:E38"/>
    <mergeCell ref="B39:E39"/>
    <mergeCell ref="B40:C40"/>
    <mergeCell ref="D40:E40"/>
    <mergeCell ref="G40:I40"/>
    <mergeCell ref="B41:C41"/>
    <mergeCell ref="G41:I41"/>
    <mergeCell ref="B42:C42"/>
    <mergeCell ref="D42:E42"/>
    <mergeCell ref="G42:I42"/>
    <mergeCell ref="A45:J45"/>
    <mergeCell ref="A46:C46"/>
    <mergeCell ref="D46:E46"/>
    <mergeCell ref="F46:G46"/>
    <mergeCell ref="I46:J46"/>
    <mergeCell ref="A47:C47"/>
    <mergeCell ref="F47:G47"/>
    <mergeCell ref="H47:J47"/>
    <mergeCell ref="B50:E50"/>
    <mergeCell ref="B51:E51"/>
    <mergeCell ref="D52:E52"/>
    <mergeCell ref="D53:E53"/>
    <mergeCell ref="D54:E54"/>
    <mergeCell ref="B55:C55"/>
    <mergeCell ref="D55:E55"/>
    <mergeCell ref="D56:E56"/>
    <mergeCell ref="D57:E57"/>
    <mergeCell ref="D58:E58"/>
    <mergeCell ref="D59:E59"/>
    <mergeCell ref="D60:E60"/>
    <mergeCell ref="B61:E61"/>
    <mergeCell ref="B62:C62"/>
    <mergeCell ref="D62:E62"/>
    <mergeCell ref="G62:I62"/>
    <mergeCell ref="B63:C63"/>
    <mergeCell ref="G63:I63"/>
    <mergeCell ref="B64:C64"/>
    <mergeCell ref="D64:E64"/>
    <mergeCell ref="G64:I64"/>
    <mergeCell ref="A67:J67"/>
    <mergeCell ref="A68:C68"/>
    <mergeCell ref="D68:E68"/>
    <mergeCell ref="F68:G68"/>
    <mergeCell ref="I68:J68"/>
    <mergeCell ref="A69:C69"/>
    <mergeCell ref="F69:G69"/>
    <mergeCell ref="H69:J69"/>
    <mergeCell ref="B72:E72"/>
    <mergeCell ref="B73:E73"/>
    <mergeCell ref="D74:E74"/>
    <mergeCell ref="D75:E75"/>
    <mergeCell ref="D76:E76"/>
    <mergeCell ref="B77:C77"/>
    <mergeCell ref="D77:E77"/>
    <mergeCell ref="D78:E78"/>
    <mergeCell ref="D79:E79"/>
    <mergeCell ref="D80:E80"/>
    <mergeCell ref="D81:E81"/>
    <mergeCell ref="D82:E82"/>
    <mergeCell ref="B83:E83"/>
    <mergeCell ref="B84:C84"/>
    <mergeCell ref="D84:E84"/>
    <mergeCell ref="G84:I84"/>
    <mergeCell ref="B85:C85"/>
    <mergeCell ref="G85:I85"/>
    <mergeCell ref="B86:C86"/>
    <mergeCell ref="D86:E86"/>
    <mergeCell ref="G86:I86"/>
    <mergeCell ref="A89:J89"/>
    <mergeCell ref="A90:C90"/>
    <mergeCell ref="D90:E90"/>
    <mergeCell ref="F90:G90"/>
    <mergeCell ref="I90:J90"/>
    <mergeCell ref="A91:C91"/>
    <mergeCell ref="F91:G91"/>
    <mergeCell ref="H91:J91"/>
    <mergeCell ref="B94:E94"/>
    <mergeCell ref="B95:E95"/>
    <mergeCell ref="D96:E96"/>
    <mergeCell ref="D97:E97"/>
    <mergeCell ref="D98:E98"/>
    <mergeCell ref="B99:C99"/>
    <mergeCell ref="D99:E99"/>
    <mergeCell ref="D100:E100"/>
    <mergeCell ref="D101:E101"/>
    <mergeCell ref="D102:E102"/>
    <mergeCell ref="D103:E103"/>
    <mergeCell ref="D104:E104"/>
    <mergeCell ref="B105:E105"/>
    <mergeCell ref="B106:C106"/>
    <mergeCell ref="D106:E106"/>
    <mergeCell ref="G106:I106"/>
    <mergeCell ref="B107:C107"/>
    <mergeCell ref="G107:I107"/>
    <mergeCell ref="B108:C108"/>
    <mergeCell ref="D108:E108"/>
    <mergeCell ref="G108:I108"/>
    <mergeCell ref="A111:J111"/>
    <mergeCell ref="A112:C112"/>
    <mergeCell ref="D112:E112"/>
    <mergeCell ref="F112:G112"/>
    <mergeCell ref="I112:J112"/>
    <mergeCell ref="A113:C113"/>
    <mergeCell ref="F113:G113"/>
    <mergeCell ref="H113:J113"/>
    <mergeCell ref="B116:E116"/>
    <mergeCell ref="B117:E117"/>
    <mergeCell ref="D118:E118"/>
    <mergeCell ref="D119:E119"/>
    <mergeCell ref="D120:E120"/>
    <mergeCell ref="B121:C121"/>
    <mergeCell ref="D121:E121"/>
    <mergeCell ref="D122:E122"/>
    <mergeCell ref="D123:E123"/>
    <mergeCell ref="D124:E124"/>
    <mergeCell ref="D125:E125"/>
    <mergeCell ref="D126:E126"/>
    <mergeCell ref="B127:E127"/>
    <mergeCell ref="B128:C128"/>
    <mergeCell ref="D128:E128"/>
    <mergeCell ref="G128:I128"/>
    <mergeCell ref="B129:C129"/>
    <mergeCell ref="G129:I129"/>
    <mergeCell ref="B130:C130"/>
    <mergeCell ref="D130:E130"/>
    <mergeCell ref="G130:I130"/>
    <mergeCell ref="A4:A5"/>
    <mergeCell ref="A6:A7"/>
    <mergeCell ref="A8:A11"/>
    <mergeCell ref="A12:A13"/>
    <mergeCell ref="A14:A16"/>
    <mergeCell ref="A26:A27"/>
    <mergeCell ref="A28:A29"/>
    <mergeCell ref="A30:A33"/>
    <mergeCell ref="A34:A35"/>
    <mergeCell ref="A36:A38"/>
    <mergeCell ref="A48:A49"/>
    <mergeCell ref="A50:A51"/>
    <mergeCell ref="A52:A55"/>
    <mergeCell ref="A56:A57"/>
    <mergeCell ref="A58:A60"/>
    <mergeCell ref="A70:A71"/>
    <mergeCell ref="A72:A73"/>
    <mergeCell ref="A74:A77"/>
    <mergeCell ref="A78:A79"/>
    <mergeCell ref="A80:A82"/>
    <mergeCell ref="A92:A93"/>
    <mergeCell ref="A94:A95"/>
    <mergeCell ref="A96:A99"/>
    <mergeCell ref="A100:A101"/>
    <mergeCell ref="A102:A104"/>
    <mergeCell ref="A114:A115"/>
    <mergeCell ref="A116:A117"/>
    <mergeCell ref="A118:A121"/>
    <mergeCell ref="A122:A123"/>
    <mergeCell ref="A124:A126"/>
    <mergeCell ref="F4:F5"/>
    <mergeCell ref="F26:F27"/>
    <mergeCell ref="F48:F49"/>
    <mergeCell ref="F70:F71"/>
    <mergeCell ref="F92:F93"/>
    <mergeCell ref="F114:F115"/>
    <mergeCell ref="G4:G5"/>
    <mergeCell ref="G26:G27"/>
    <mergeCell ref="G48:G49"/>
    <mergeCell ref="G70:G71"/>
    <mergeCell ref="G92:G93"/>
    <mergeCell ref="G114:G115"/>
    <mergeCell ref="H4:H5"/>
    <mergeCell ref="H26:H27"/>
    <mergeCell ref="H48:H49"/>
    <mergeCell ref="H70:H71"/>
    <mergeCell ref="H92:H93"/>
    <mergeCell ref="H114:H115"/>
    <mergeCell ref="I4:I5"/>
    <mergeCell ref="I26:I27"/>
    <mergeCell ref="I48:I49"/>
    <mergeCell ref="I70:I71"/>
    <mergeCell ref="I92:I93"/>
    <mergeCell ref="I114:I115"/>
    <mergeCell ref="J4:J5"/>
    <mergeCell ref="J26:J27"/>
    <mergeCell ref="J48:J49"/>
    <mergeCell ref="J70:J71"/>
    <mergeCell ref="J92:J93"/>
    <mergeCell ref="J114:J115"/>
    <mergeCell ref="B4:C5"/>
    <mergeCell ref="D4:E5"/>
    <mergeCell ref="B8:C10"/>
    <mergeCell ref="B12:C16"/>
    <mergeCell ref="B26:C27"/>
    <mergeCell ref="D26:E27"/>
    <mergeCell ref="B30:C32"/>
    <mergeCell ref="B34:C38"/>
    <mergeCell ref="B48:C49"/>
    <mergeCell ref="D48:E49"/>
    <mergeCell ref="B52:C54"/>
    <mergeCell ref="B56:C60"/>
    <mergeCell ref="B70:C71"/>
    <mergeCell ref="D70:E71"/>
    <mergeCell ref="B74:C76"/>
    <mergeCell ref="B78:C82"/>
    <mergeCell ref="B92:C93"/>
    <mergeCell ref="D92:E93"/>
    <mergeCell ref="B96:C98"/>
    <mergeCell ref="B100:C104"/>
    <mergeCell ref="B114:C115"/>
    <mergeCell ref="D114:E115"/>
    <mergeCell ref="B118:C120"/>
    <mergeCell ref="B122:C12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6" sqref="K6"/>
    </sheetView>
  </sheetViews>
  <sheetFormatPr defaultColWidth="9" defaultRowHeight="13.5"/>
  <cols>
    <col min="1" max="2" width="9" style="1"/>
    <col min="3" max="3" width="11.75" style="1" customWidth="1"/>
    <col min="4" max="4" width="8.75" style="1" customWidth="1"/>
    <col min="5" max="5" width="9.25" style="1" customWidth="1"/>
    <col min="6" max="6" width="8" style="1" customWidth="1"/>
    <col min="7" max="7" width="8.25" style="1" customWidth="1"/>
    <col min="8" max="8" width="11.375" style="1" customWidth="1"/>
    <col min="9" max="9" width="9.875" style="1" customWidth="1"/>
    <col min="10" max="10" width="10.25" style="1" customWidth="1"/>
    <col min="11" max="11" width="11.25" style="1" customWidth="1"/>
    <col min="12" max="12" width="12.625" style="1" customWidth="1"/>
    <col min="13" max="16384" width="9" style="1"/>
  </cols>
  <sheetData>
    <row r="1" s="1" customFormat="1" ht="36" customHeight="1" spans="1:1">
      <c r="A1" s="1" t="s">
        <v>288</v>
      </c>
    </row>
    <row r="2" ht="28" customHeight="1" spans="1:9">
      <c r="A2" s="3" t="s">
        <v>1</v>
      </c>
      <c r="B2" s="3" t="s">
        <v>289</v>
      </c>
      <c r="C2" s="3" t="s">
        <v>130</v>
      </c>
      <c r="D2" s="3" t="s">
        <v>131</v>
      </c>
      <c r="E2" s="3" t="s">
        <v>290</v>
      </c>
      <c r="F2" s="3" t="s">
        <v>132</v>
      </c>
      <c r="G2" s="3" t="s">
        <v>133</v>
      </c>
      <c r="H2" s="3" t="s">
        <v>291</v>
      </c>
      <c r="I2" s="3" t="s">
        <v>6</v>
      </c>
    </row>
    <row r="3" s="2" customFormat="1" ht="22" customHeight="1" spans="1:9">
      <c r="A3" s="4">
        <v>1</v>
      </c>
      <c r="B3" s="4" t="s">
        <v>135</v>
      </c>
      <c r="C3" s="4" t="s">
        <v>292</v>
      </c>
      <c r="D3" s="4">
        <v>1</v>
      </c>
      <c r="E3" s="4">
        <v>0.5</v>
      </c>
      <c r="F3" s="4">
        <v>2</v>
      </c>
      <c r="G3" s="4">
        <v>1</v>
      </c>
      <c r="H3" s="5">
        <f>D3*E3*F3*G3*0</f>
        <v>0</v>
      </c>
      <c r="I3" s="4" t="s">
        <v>75</v>
      </c>
    </row>
    <row r="4" s="2" customFormat="1" ht="22" customHeight="1" spans="1:9">
      <c r="A4" s="4">
        <v>2</v>
      </c>
      <c r="B4" s="4" t="s">
        <v>135</v>
      </c>
      <c r="C4" s="4" t="s">
        <v>285</v>
      </c>
      <c r="D4" s="4">
        <v>0.4</v>
      </c>
      <c r="E4" s="4">
        <v>0.5</v>
      </c>
      <c r="F4" s="4">
        <v>2</v>
      </c>
      <c r="G4" s="4">
        <v>1</v>
      </c>
      <c r="H4" s="5">
        <f>D4*E4*F4*G4*0</f>
        <v>0</v>
      </c>
      <c r="I4" s="4" t="s">
        <v>75</v>
      </c>
    </row>
    <row r="5" s="2" customFormat="1" ht="29.1" customHeight="1" spans="1:11">
      <c r="A5" s="4">
        <v>3</v>
      </c>
      <c r="B5" s="4" t="s">
        <v>153</v>
      </c>
      <c r="C5" s="4" t="s">
        <v>286</v>
      </c>
      <c r="D5" s="4">
        <v>1.17</v>
      </c>
      <c r="E5" s="4">
        <v>1.98</v>
      </c>
      <c r="F5" s="4">
        <v>6</v>
      </c>
      <c r="G5" s="4">
        <v>1</v>
      </c>
      <c r="H5" s="6">
        <f>D5*E5*F5*G5</f>
        <v>13.8996</v>
      </c>
      <c r="I5" s="4" t="s">
        <v>293</v>
      </c>
      <c r="J5" s="9"/>
      <c r="K5" s="9"/>
    </row>
    <row r="6" s="2" customFormat="1" ht="29.1" customHeight="1" spans="1:11">
      <c r="A6" s="4">
        <v>4</v>
      </c>
      <c r="B6" s="4" t="s">
        <v>153</v>
      </c>
      <c r="C6" s="4" t="s">
        <v>286</v>
      </c>
      <c r="D6" s="4">
        <v>1.17</v>
      </c>
      <c r="E6" s="4">
        <f>2.3-0.02</f>
        <v>2.28</v>
      </c>
      <c r="F6" s="4">
        <v>6</v>
      </c>
      <c r="G6" s="4">
        <v>5</v>
      </c>
      <c r="H6" s="6">
        <f>D6*E6*F6*G6</f>
        <v>80.028</v>
      </c>
      <c r="I6" s="4" t="s">
        <v>294</v>
      </c>
      <c r="J6" s="9"/>
      <c r="K6" s="9"/>
    </row>
    <row r="7" s="2" customFormat="1" ht="29.1" customHeight="1" spans="1:11">
      <c r="A7" s="4">
        <v>5</v>
      </c>
      <c r="B7" s="4" t="s">
        <v>153</v>
      </c>
      <c r="C7" s="4" t="s">
        <v>295</v>
      </c>
      <c r="D7" s="4">
        <v>1.17</v>
      </c>
      <c r="E7" s="4">
        <f>1.88</f>
        <v>1.88</v>
      </c>
      <c r="F7" s="4">
        <v>6</v>
      </c>
      <c r="G7" s="4">
        <v>2</v>
      </c>
      <c r="H7" s="6">
        <f>D7*E7*F7*G7</f>
        <v>26.3952</v>
      </c>
      <c r="I7" s="4" t="s">
        <v>296</v>
      </c>
      <c r="J7" s="9"/>
      <c r="K7" s="9"/>
    </row>
    <row r="8" s="2" customFormat="1" ht="29.1" customHeight="1" spans="1:9">
      <c r="A8" s="4">
        <v>6</v>
      </c>
      <c r="B8" s="4" t="s">
        <v>163</v>
      </c>
      <c r="C8" s="4" t="s">
        <v>292</v>
      </c>
      <c r="D8" s="4">
        <v>1</v>
      </c>
      <c r="E8" s="4">
        <v>0.5</v>
      </c>
      <c r="F8" s="4">
        <v>2</v>
      </c>
      <c r="G8" s="4">
        <v>1</v>
      </c>
      <c r="H8" s="5">
        <f>D8*E8*F8*G8*0</f>
        <v>0</v>
      </c>
      <c r="I8" s="4" t="s">
        <v>75</v>
      </c>
    </row>
    <row r="9" s="2" customFormat="1" ht="29.1" customHeight="1" spans="1:9">
      <c r="A9" s="4">
        <v>7</v>
      </c>
      <c r="B9" s="4" t="s">
        <v>163</v>
      </c>
      <c r="C9" s="4" t="s">
        <v>285</v>
      </c>
      <c r="D9" s="4">
        <v>0.4</v>
      </c>
      <c r="E9" s="4">
        <v>0.5</v>
      </c>
      <c r="F9" s="4">
        <v>2</v>
      </c>
      <c r="G9" s="4">
        <v>1</v>
      </c>
      <c r="H9" s="5">
        <f>D9*E9*F9*G9*0</f>
        <v>0</v>
      </c>
      <c r="I9" s="4" t="s">
        <v>75</v>
      </c>
    </row>
    <row r="10" s="2" customFormat="1" ht="29.1" customHeight="1" spans="1:9">
      <c r="A10" s="4">
        <v>8</v>
      </c>
      <c r="B10" s="4" t="s">
        <v>164</v>
      </c>
      <c r="C10" s="7" t="s">
        <v>297</v>
      </c>
      <c r="D10" s="4">
        <v>0.855</v>
      </c>
      <c r="E10" s="4">
        <v>1.982</v>
      </c>
      <c r="F10" s="4">
        <v>2</v>
      </c>
      <c r="G10" s="4">
        <v>10</v>
      </c>
      <c r="H10" s="4">
        <f>D10*E10*F10*G10</f>
        <v>33.8922</v>
      </c>
      <c r="I10" s="4"/>
    </row>
    <row r="11" s="2" customFormat="1" ht="29.1" customHeight="1" spans="1:9">
      <c r="A11" s="4">
        <v>9</v>
      </c>
      <c r="B11" s="4" t="s">
        <v>164</v>
      </c>
      <c r="C11" s="7" t="s">
        <v>287</v>
      </c>
      <c r="D11" s="4">
        <v>0.855</v>
      </c>
      <c r="E11" s="4">
        <v>1.82</v>
      </c>
      <c r="F11" s="4">
        <v>2</v>
      </c>
      <c r="G11" s="4">
        <v>2</v>
      </c>
      <c r="H11" s="4">
        <f>D11*E11*F11*G11</f>
        <v>6.2244</v>
      </c>
      <c r="I11" s="4"/>
    </row>
    <row r="12" ht="27" customHeight="1" spans="1:9">
      <c r="A12" s="4">
        <v>10</v>
      </c>
      <c r="B12" s="3" t="s">
        <v>189</v>
      </c>
      <c r="C12" s="3"/>
      <c r="D12" s="3"/>
      <c r="E12" s="3"/>
      <c r="F12" s="3"/>
      <c r="G12" s="3"/>
      <c r="H12" s="8">
        <f>SUM(H3:H11)</f>
        <v>160.4394</v>
      </c>
      <c r="I12" s="3"/>
    </row>
  </sheetData>
  <sheetProtection formatCells="0" insertHyperlinks="0" autoFilter="0"/>
  <mergeCells count="1">
    <mergeCell ref="A1:I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8 " / > < p i x e l a t o r L i s t   s h e e t S t i d = " 7 " / > < p i x e l a t o r L i s t   s h e e t S t i d = " 5 " / > < p i x e l a t o r L i s t   s h e e t S t i d = " 6 " / > < p i x e l a t o r L i s t   s h e e t S t i d = " 9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结算目录</vt:lpstr>
      <vt:lpstr>结算汇总表</vt:lpstr>
      <vt:lpstr>结算明细表</vt:lpstr>
      <vt:lpstr>栏杆明细计算书</vt:lpstr>
      <vt:lpstr>栏杆综合单价分析表 </vt:lpstr>
      <vt:lpstr>百叶综合单价分析表</vt:lpstr>
      <vt:lpstr>百叶明细计算书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2020-12-05T17:38:00Z</dcterms:created>
  <dcterms:modified xsi:type="dcterms:W3CDTF">2025-05-26T00:39:10Z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347C8C7609494E2596AE7C5CF8F010AA_13</vt:lpwstr>
  </property>
  <property fmtid="{D5CDD505-2E9C-101B-9397-08002B2CF9AE}" pid="4" name="KSOReadingLayout">
    <vt:bool>true</vt:bool>
  </property>
</Properties>
</file>