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清单报价说明" sheetId="6" r:id="rId1"/>
    <sheet name="汇总表" sheetId="4" r:id="rId2"/>
    <sheet name="户内精装修（硬装部分）" sheetId="3" r:id="rId3"/>
    <sheet name="安装" sheetId="9" r:id="rId4"/>
    <sheet name="计算式" sheetId="7" state="hidden" r:id="rId5"/>
    <sheet name="户型统计" sheetId="8" r:id="rId6"/>
    <sheet name="门及其他安装主材初步选型照片" sheetId="10" r:id="rId7"/>
  </sheets>
  <externalReferences>
    <externalReference r:id="rId8"/>
  </externalReferences>
  <definedNames>
    <definedName name="_xlnm._FilterDatabase" localSheetId="2" hidden="1">'户内精装修（硬装部分）'!$A$4:$M$167</definedName>
    <definedName name="_xlnm._FilterDatabase" localSheetId="3" hidden="1">安装!$A$4:$S$222</definedName>
    <definedName name="_xlnm._FilterDatabase" localSheetId="4" hidden="1">计算式!$A$137:$H$206</definedName>
    <definedName name="_xlnm.Print_Area" localSheetId="0">清单报价说明!$A$1:$B$23</definedName>
    <definedName name="a">EVALUATE('[1]3一层售楼部硬装'!XFD1)</definedName>
    <definedName name="aa">EVALUATE(#REF!)</definedName>
    <definedName name="as">EVALUATE(#REF!)</definedName>
    <definedName name="ad">EVALUATE('[1]4二层办公司硬装'!XFD1)</definedName>
    <definedName name="_xlnm.Print_Area" localSheetId="2">'户内精装修（硬装部分）'!$A$1:$M$164</definedName>
    <definedName name="_xlnm.Print_Area" localSheetId="6">门及其他安装主材初步选型照片!$A$1:$H$140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<sst xmlns="http://schemas.openxmlformats.org/spreadsheetml/2006/main" count="2116" uniqueCount="518">
  <si>
    <t>工程量清单报价说明</t>
  </si>
  <si>
    <t>一、工程概况:</t>
  </si>
  <si>
    <t>工程概况:</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</si>
  <si>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</si>
  <si>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</si>
  <si>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</si>
  <si>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</si>
  <si>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</si>
  <si>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</si>
  <si>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</si>
  <si>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</si>
  <si>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</si>
  <si>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</si>
  <si>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</si>
  <si>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</si>
  <si>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固定总价包干，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</si>
  <si>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</si>
  <si>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工程量计算规则除另有说明外,执行《建设工程工程量清单计算规范》GB 50854-2013。</t>
  </si>
  <si>
    <t>四、其他计价说明</t>
  </si>
  <si>
    <t>30#楼精装户型给水系统管道从入户50cm后开始施工至给水末端（含热水系统），含卫生洁具、厨房用具及地漏（不含空调板及百叶内地漏）等安装，含精装施工范围内的管道、卫生洁具、厨房用具的封堵工作，含管道试压等调试工作，含与总包的对接工作。</t>
  </si>
  <si>
    <t>30#楼精装户型强弱电系统图示户内照明箱后出线、配线、灯具、开关、插座；弱电箱后出线、弱电插座等的安装及调试工作，含与总包的对接工作。总包按精装点位预埋管已施工，精装修单位需负责吊顶内配管及建筑图与精装图不符的配管整改工作。</t>
  </si>
  <si>
    <t>灯具、洁具选样按图纸后附主材表选样照片计入，品牌按招标文件计入。除照明及普通插座按BV-2.5考虑，其他插座回路按BV-4考虑。</t>
  </si>
  <si>
    <t>以下内容为空白。</t>
  </si>
  <si>
    <t>30#楼西单元精装房工程-装饰</t>
  </si>
  <si>
    <t>序号</t>
  </si>
  <si>
    <t>户型名称</t>
  </si>
  <si>
    <t>项目名称</t>
  </si>
  <si>
    <t>单户型造价（元/个）</t>
  </si>
  <si>
    <t>户型数量（个）</t>
  </si>
  <si>
    <t>合计（元）</t>
  </si>
  <si>
    <t>备注</t>
  </si>
  <si>
    <t>F户型</t>
  </si>
  <si>
    <t>安装部分</t>
  </si>
  <si>
    <t>小计</t>
  </si>
  <si>
    <t>合计</t>
  </si>
  <si>
    <t>套</t>
  </si>
  <si>
    <t>E户型
3个/层</t>
  </si>
  <si>
    <t xml:space="preserve">F1户型
</t>
  </si>
  <si>
    <t>G户型</t>
  </si>
  <si>
    <t>30#楼精装房工程-装饰</t>
  </si>
  <si>
    <t>工程项目名称</t>
  </si>
  <si>
    <t>工程内容</t>
  </si>
  <si>
    <t>单位</t>
  </si>
  <si>
    <t>工程量
g</t>
  </si>
  <si>
    <t>其中：各子项构成（元）</t>
  </si>
  <si>
    <t>含税综合单价(元)
f=(a+b+c+d+e)</t>
  </si>
  <si>
    <t>合价(元)=g*f</t>
  </si>
  <si>
    <t>人工费
a</t>
  </si>
  <si>
    <t>主材费
b</t>
  </si>
  <si>
    <t>机械、辅材及其他c</t>
  </si>
  <si>
    <t>管理费及利润
d=(a+b+c)*费率</t>
  </si>
  <si>
    <t>税金
e=(a+b+c+d)*费率</t>
  </si>
  <si>
    <t>一</t>
  </si>
  <si>
    <t>F硬质装修部分</t>
  </si>
  <si>
    <t>一个户型工程量清单，</t>
  </si>
  <si>
    <t>地面</t>
  </si>
  <si>
    <t xml:space="preserve">瓷砖地面 </t>
  </si>
  <si>
    <t>1、10mm厚CT01地砖(同色美缝剂美缝)
2、5mm厚DTA砂浆结合层
3、M30干硬性水泥砂浆铺装找平层
4、满足施工规范及设计图纸要求；
5、部位：客厅（含过门石基础处理等）
6、其他未尽事宜:依据图纸、规范并结合实际情况，完成此项工作内容的所有工序、所有内容</t>
  </si>
  <si>
    <t>m2</t>
  </si>
  <si>
    <t>东鹏、冠珠、金意陶</t>
  </si>
  <si>
    <t xml:space="preserve"> </t>
  </si>
  <si>
    <t>1、10mm厚CT01地砖(同色美缝剂美缝)
2、5mm厚DTA砂浆结合层
3、M30干硬性水泥砂浆铺装找平层
4、满足施工规范及设计图纸要求；
5、部位：厨房
6、其他未尽事宜:依据图纸、规范并结合实际情况，完成此项工作内容的所有工序、所有内容</t>
  </si>
  <si>
    <t>水泥砂浆地面</t>
  </si>
  <si>
    <t>1、1:2.5水泥砂浆找平层35mm厚
2、满足施工规范及设计图纸要求；
3、部位：厨房橱柜下
4、其他未尽事宜:依据图纸、规范并结合实际情况，完成此项工作内容的所有工序、所有内容</t>
  </si>
  <si>
    <t>1、10mm厚CT01地砖(同色美缝剂美缝)
2、5mm厚DTA砂浆结合层
3、M30干硬性水泥砂浆铺装找平层
4、满足施工规范及设计图纸要求；
5、部位：阳台
6、其他未尽事宜:依据图纸、规范并结合实际情况，完成此项工作内容的所有工序、所有内容</t>
  </si>
  <si>
    <t>1、10mm厚CT01地砖(同色美缝剂美缝)
2、5mm厚DTA砂浆结合层
3、M30干硬性水泥砂浆铺装找平层
4、满足施工规范及设计图纸要求；
5、部位：卫生间
6、其他未尽事宜:依据图纸、规范并结合实际情况，完成此项工作内容的所有工序、所有内容</t>
  </si>
  <si>
    <t>铝合金踢脚(80mm高)</t>
  </si>
  <si>
    <t>1、铝合金踢脚(80mm高)
2、装饰墙面(见墙面装饰做法)</t>
  </si>
  <si>
    <t>m</t>
  </si>
  <si>
    <t>地面防水</t>
  </si>
  <si>
    <t>1、地面1.5mm厚聚氨酯(单组份)防水层(3道)。
2、部位：阳台
3.其他：未尽事宜参见施工图说明及相关规范图集。。</t>
  </si>
  <si>
    <t>墙面防水</t>
  </si>
  <si>
    <t>1.阳台墙身1.0mm厚聚氨酯(单组份)防水层(2道),上翻300mm。
2、部位：阳台墙面0.3m范围内
3、其他未尽事宜:依据图纸、规范并结合实际情况，完成此项工作内容的所有工序、所有内容。</t>
  </si>
  <si>
    <t>1、卫生间水电改造完成后
2.地面1.5mm厚聚氨酯(单组份)防水层(3道)。
3、部位：卫生间
4.其他：未尽事宜参见施工图说明及相关规范图集。。</t>
  </si>
  <si>
    <t>1.墙身1.0mm厚聚氨酯(单组份)防水层(2道),上翻300mm。（卫生间水电改造完成后）
2、部位：卫生间墙面0.3m范围内
3、其他未尽事宜:依据图纸、规范并结合实际情况，完成此项工作内容的所有工序、所有内容。</t>
  </si>
  <si>
    <t>1、卫生间贴砖前
2.地面1.5mm厚聚氨酯(单组份)防水层(3道)。
3、部位：卫生间
4.其他：未尽事宜参见施工图说明及相关规范图集。。</t>
  </si>
  <si>
    <t>1.墙身1.0mm厚聚氨酯(单组份)防水层(2道),上翻300mm。（卫生间贴砖前）
2、部位：卫生间墙面0.3m范围内
3、其他未尽事宜:依据图纸、规范并结合实际情况，完成此项工作内容的所有工序、所有内容。</t>
  </si>
  <si>
    <t>地暖</t>
  </si>
  <si>
    <t>1、表面磋毛处理（除防水房间需要抹平作为防水层基层）
2、50厚C15豆石混凝土（厚度根据现场实际情况调整厚度，卫生间最薄处30厚）（内铺设φ20耐热聚乙烯(PE-RT)管，直径3 钢丝网片）
3、0.2厚真空镀铝聚酯薄膜
4、20厚挤塑聚苯板乙烯泡沫塑料板
5、含集、分水器及配套附件阀门。
6、含套管及配套500mm保护台等，供暖回暖管道链接施压等全部工序。
7、未尽事宜详见参暖图</t>
  </si>
  <si>
    <t>日丰管</t>
  </si>
  <si>
    <t>墙面</t>
  </si>
  <si>
    <t>壁布墙面</t>
  </si>
  <si>
    <t>1、贴壁布wc01面层
2、环保壁纸基膜二道
3、满刮腻子二道,砂纸磨平
4、墙面满涂墙固
5、其他未尽事宜:依据图纸、规范并结合实际情况，完成此项工作内容的所有工序、所有内容</t>
  </si>
  <si>
    <t>施工范围：玄关柜后未考虑</t>
  </si>
  <si>
    <t>门套线</t>
  </si>
  <si>
    <t>1、
2、
4.其他未尽事宜:依据图纸、规范并结合实际情况，完成此项工作内容的所有工序、所有内容。</t>
  </si>
  <si>
    <t>玄关柜</t>
  </si>
  <si>
    <t>1、规格：1550*2450mm，含台面、镜面、五金件、柜体内暗藏灯带、柜体等成品
2、计算规则：垂直投影面积计算
3、详见图纸柜子图纸、其他未尽事宜:依据图纸、规范并结合实际情况，完成此项工作内容的所有工序、所有内容</t>
  </si>
  <si>
    <t>仿大理石岩板墙面</t>
  </si>
  <si>
    <t>1、仿大理石岩板、MT02金属收边条
2、石材粘接剂
3、18厚阻燃板
4.其他未尽事宜:依据图纸、规范并结合实际情况，完成此项工作内容的所有工序、所有内容。</t>
  </si>
  <si>
    <t>卫生间门</t>
  </si>
  <si>
    <t>1、规格：800*2100金属磨砂玻璃门
2、含门套线等成活价格
3、详见图纸MT-02、其他未尽事宜:依据图纸、规范并结合实际情况，完成此项工作内容的所有工序、所有内容</t>
  </si>
  <si>
    <t>樘</t>
  </si>
  <si>
    <t>玻璃厚度8mm</t>
  </si>
  <si>
    <t>厨房门</t>
  </si>
  <si>
    <t>1、规格：800*2100金属磨砂玻璃门
2、含门套线等成活价格
3、详见图纸、其他未尽事宜:依据图纸、规范并结合实际情况，完成此项工作内容的所有工序、所有内容</t>
  </si>
  <si>
    <t>瓷砖墙面</t>
  </si>
  <si>
    <t>1、墙砖CT02瓷砖(同色美缝剂美缝)
2、瓷砖粘结剂
3、排水管理包管处理、
4、其他未尽事宜:依据图纸、规范并结合实际情况，完成此项工作内容的所有工序、所有内容。
5、部位：厨房、卫生间</t>
  </si>
  <si>
    <t>水泥砂浆粉刷调整为瓷砖同墙砖ct03瓷砖</t>
  </si>
  <si>
    <t>1、水泥砂浆粉刷调整为墙砖CT02瓷砖(同色美缝剂美缝)瓷砖粘结剂
2、部位：厨房
3、其他未尽事宜:依据图纸、规范并结合实际情况，完成此项工作内容的所有工序、所有内容。
房</t>
  </si>
  <si>
    <t>水泥砂浆粉刷调整瓷砖墙面</t>
  </si>
  <si>
    <t>阳台瓷砖墙</t>
  </si>
  <si>
    <t>1、墙砖CT02瓷砖
2、瓷砖粘结剂
3、其他未尽事宜:依据图纸、规范并结合实际情况，完成此项工作内容的所有工序、所有内容。</t>
  </si>
  <si>
    <t>橱柜</t>
  </si>
  <si>
    <t>1、含柜体、面板、五金、台面、烟机水盆的开洞等所有成活工序
2、其他未尽事宜:依据图纸、规范并结合实际情况，完成此项工作内容的所有工序、所有内容</t>
  </si>
  <si>
    <t>吊柜</t>
  </si>
  <si>
    <t>1、含柜体、面板、五金件、暗藏灯带等所有成活工序
2、其他未尽事宜:依据图纸、规范并结合实际情况，完成此项工作内容的所有工序、所有内容</t>
  </si>
  <si>
    <t>纸巾盒</t>
  </si>
  <si>
    <t xml:space="preserve">1、详见图纸
2、投标是报送图册
</t>
  </si>
  <si>
    <t>个</t>
  </si>
  <si>
    <t>九牧</t>
  </si>
  <si>
    <t>毛巾架</t>
  </si>
  <si>
    <t>天花</t>
  </si>
  <si>
    <t>300x300铝扣板</t>
  </si>
  <si>
    <t xml:space="preserve">
1、MT01 300x600铝扣板(铝板与墙面交接处采用L型收边龙骨固定)
2、下层暗架镀锌天花龙骨(@=300mm)
3、上层暗架镀锌天花龙骨@≤1200mm 
4、φ6钢筋吊杆,中距横向≤1200纵向≤1200,吊杆上部与顶板固定件连接
5、原有结构顶板
6、部位：厨房、卫生间（湿）
7、其他未尽事宜:依据图纸、规范并结合实际情况，完成此项工作内容的所有工序、所有内容</t>
  </si>
  <si>
    <t>M2</t>
  </si>
  <si>
    <t>石膏板吊顶</t>
  </si>
  <si>
    <t xml:space="preserve">
1、白色乳胶漆面层两道;
2、封闭底漆涂料一道
3、满刮耐水腻子两遍
5、9.5厚双层石膏板,用自攻螺丝与基层板固定
6、18厚防火阻燃板,用自攻螺丝与龙骨固定
7、轻钢龙骨双层骨架:50系轻钢主龙骨中距≤1200,次龙骨中距≤400,横撑龙骨中距900
8、φ6钢筋吊杆,中距横向≤1200纵向≤1200,吊杆上部与顶板固定件连接
9、原有结构顶板
10、部位：客厅周边、入户玄关
11、其他未尽事宜:依据图纸、规范并结合实际情况，完成此项工作内容的所有工序、所有内容。
12、计算规则：按水平投影面积计算</t>
  </si>
  <si>
    <t>原顶天棚（室内）</t>
  </si>
  <si>
    <t>1、白色乳胶漆面层两道
2、封闭底漆涂料一道
3、满刮耐水腻子两遍（局部不平处粉刷石膏找平层）
4、刷涂界面剂一道
5、原有结构顶板
7、部位：室内原顶
8、其他未尽事宜:依据图纸、规范并结合实际情况，完成此项工作内容的所有工序、所有内容</t>
  </si>
  <si>
    <t>含边吊灯槽上面原顶出乳胶漆</t>
  </si>
  <si>
    <t>原顶天棚（室外）</t>
  </si>
  <si>
    <t>1、白色防水乳胶漆面层两道
2、封闭底漆涂料一道
3、满刮耐水腻子两遍（局部不平处粉刷石膏找平层）
4、刷涂界面剂一道
5、原有结构顶板
6、部位：阳台
7、其他未尽事宜:依据图纸、规范并结合实际情况，完成此项工作内容的所有工序、所有内容</t>
  </si>
  <si>
    <t>成品石膏线</t>
  </si>
  <si>
    <t>1、白色乳胶漆
2、成品石膏板造型
3、部位：卧室
4、其他未尽事宜:依据图纸、规范并结合实际情况，完成此项工作内容的所有工序、所有内容</t>
  </si>
  <si>
    <t>窗帘盒</t>
  </si>
  <si>
    <t>1、白色乳胶漆
2、阻燃版
3、9.5mm厚双面石膏板、含原顶部乳胶漆等
4、部位：卧室、起居室
5、详见图纸T-01
6、其他未尽事宜:依据图纸、规范并结合实际情况，完成此项工作内容的所有工序、所有内容</t>
  </si>
  <si>
    <t>二</t>
  </si>
  <si>
    <t>E硬质装修部分</t>
  </si>
  <si>
    <t>含飘窗下地板及过门石</t>
  </si>
  <si>
    <t>飘窗窗台板</t>
  </si>
  <si>
    <t>1.结合层厚度、砂浆配合比:1:3水泥砂浆结合层，具体厚度依据图纸及实际现场情况综合考虑；
2.面层材料：人造石st-02窗台板，达到设计要求完成面；                                                                                                                                                                  3.勾缝材料、酸洗、打蜡要求:含嵌缝剂，六面防护，抛光，防污，防碱等一切处理 ； 
4.其他未尽事宜:依据图纸、规范并结合实际情况，完成此项工作内容的所有工序、所有内容。</t>
  </si>
  <si>
    <t>窗台板</t>
  </si>
  <si>
    <t>1.结合层厚度、砂浆配合比:1:3水泥砂浆结合层，具体厚度依据图纸及实际现场情况综合考虑；
2.面层材料：人造石st-02窗台板，达到设计要求完成面；                                                                                                                                                                  3.勾缝材料、酸洗、打蜡要求:含嵌缝剂，六面防护，抛光，防污，防碱等一切处理 ； 
4.其他未尽事宜:依据图纸、规范并结合实际情况，完成此项工作内容的所有工序、所有内容。
5、：宽度约10cm含下挂石材，具体安现场实际尺寸调整
6、其他未尽事宜:依据图纸、规范并结合实际情况，完成此项工作内容的所有工序、所有内容</t>
  </si>
  <si>
    <t>标准层天花</t>
  </si>
  <si>
    <t>三</t>
  </si>
  <si>
    <t>F1硬质装修部分</t>
  </si>
  <si>
    <t>1、10mm厚CT01地砖(同色美缝剂美缝)
2、5mm厚DTA砂浆结合层
3、M30干硬性水泥砂浆铺装找平层
4、满足施工规范及设计图纸要求；
5、部位：卧室、客厅（含过门石基础处理等）
6、其他未尽事宜:依据图纸、规范并结合实际情况，完成此项工作内容的所有工序、所有内容</t>
  </si>
  <si>
    <t>阳台不做地暖</t>
  </si>
  <si>
    <t>1、规格： 800*2450mm，含台面、镜面、五金件、柜体内暗藏灯带、柜体等成品
2、计算规则：垂直投影面积计算
3、详见图纸柜子图纸、其他未尽事宜:依据图纸、规范并结合实际情况，完成此项工作内容的所有工序、所有内容</t>
  </si>
  <si>
    <t>卧室门</t>
  </si>
  <si>
    <t>1、规格：900*2100
2、含门套线
3、详见图纸MT-01</t>
  </si>
  <si>
    <t>玻璃隔断</t>
  </si>
  <si>
    <t>取消</t>
  </si>
  <si>
    <t>不锈钢收边条</t>
  </si>
  <si>
    <t>1、MT02不锈钢收口（瓷砖收口）
2、、其他未尽事宜:依据图纸、规范并结合实际情况，完成此项工作内容的所有工序、所有内容。</t>
  </si>
  <si>
    <t>1、白色乳胶漆面层两道
2、封闭底漆涂料一道
3、满刮耐水腻子两遍（局部不平处粉刷石膏找平层）
4、刷涂界面剂一道
5、原有结构顶板
7、部位：室内原顶、客厅原顶
8、其他未尽事宜:依据图纸、规范并结合实际情况，完成此项工作内容的所有工序、所有内容</t>
  </si>
  <si>
    <t>含边吊灯槽上面原顶、飘窗顶乳胶漆</t>
  </si>
  <si>
    <t>四</t>
  </si>
  <si>
    <t>G硬质装修部分</t>
  </si>
  <si>
    <t>1、规格： 900*2450mm，含台面、镜面、五金件、柜体内暗藏灯带、柜体等成品
2、计算规则：垂直投影面积计算
3、详见图纸柜子图纸、其他未尽事宜:依据图纸、规范并结合实际情况，完成此项工作内容的所有工序、所有内容</t>
  </si>
  <si>
    <t>30#楼西单元批量精装房工程-安装</t>
  </si>
  <si>
    <t>含税综合单价
f=(a+b+c+d+e)</t>
  </si>
  <si>
    <t>备 注
（品牌/型号/厂家）</t>
  </si>
  <si>
    <t>主材费</t>
  </si>
  <si>
    <t>其中主材单价</t>
  </si>
  <si>
    <t>其中主材损耗率</t>
  </si>
  <si>
    <t>b=x*（1+y）</t>
  </si>
  <si>
    <t>x</t>
  </si>
  <si>
    <t xml:space="preserve"> y</t>
  </si>
  <si>
    <t>E户型-强弱电</t>
  </si>
  <si>
    <t>一户</t>
  </si>
  <si>
    <t>项</t>
  </si>
  <si>
    <t>LED筒灯</t>
  </si>
  <si>
    <t xml:space="preserve">1.名称：LED筒灯  含开洞费用
2.参数：(暗装)6W 色温4000K Φ85
3.未详尽处满足图纸设计、相关规范要求  </t>
  </si>
  <si>
    <t>欧普</t>
  </si>
  <si>
    <t>LED射灯</t>
  </si>
  <si>
    <t xml:space="preserve">1.名称：LED射灯 含开洞费用
2.参数：(暗装)7W 色温3000K Φ85
3.未详尽处满足图纸设计、相关规范要求  </t>
  </si>
  <si>
    <t>平板灯</t>
  </si>
  <si>
    <t xml:space="preserve">1.名称：平板灯
2.参数：300*600 18W 3000K
3.未详尽处满足图纸设计、相关规范要求  </t>
  </si>
  <si>
    <t>阳台吸顶灯</t>
  </si>
  <si>
    <t xml:space="preserve">1.名称：阳台吸顶灯
2.参数：12w 色温3000K
3.未详尽处满足图纸设计、相关规范要求  </t>
  </si>
  <si>
    <t>客餐厅、卧室吸顶灯</t>
  </si>
  <si>
    <t xml:space="preserve">1.名称：客餐厅、卧室吸顶灯
2.参数：15w 色温3000K
3.未详尽处满足图纸设计、相关规范要求  </t>
  </si>
  <si>
    <t>LED灯带</t>
  </si>
  <si>
    <t xml:space="preserve">1.名称：LED灯带
2.参数：8w 色温3000K
3.未详尽处满足图纸设计、相关规范要求  </t>
  </si>
  <si>
    <t>300*600暖风机</t>
  </si>
  <si>
    <t xml:space="preserve">1.名称：300*600暖风机
2.参数：照明、换气、吹风、风暖四合一
3.未详尽处满足图纸设计、相关规范要求  </t>
  </si>
  <si>
    <t>感应夜灯</t>
  </si>
  <si>
    <t xml:space="preserve">1.名称：感应夜灯
2.未详尽处满足图纸设计、相关规范要求  </t>
  </si>
  <si>
    <t>灯具红外感应器</t>
  </si>
  <si>
    <t xml:space="preserve">1.名称：灯具红外感应器
2.未详尽处满足图纸设计、相关规范要求  </t>
  </si>
  <si>
    <t>五孔插座</t>
  </si>
  <si>
    <t xml:space="preserve">1.名称：五孔插座
2.规格:10A
3.未详尽处满足图纸设计、相关规范要求  </t>
  </si>
  <si>
    <t>施耐德</t>
  </si>
  <si>
    <t>三孔插座</t>
  </si>
  <si>
    <t xml:space="preserve">1.名称：三孔插座
2.规格:10A
3.未详尽处满足图纸设计、相关规范要求  </t>
  </si>
  <si>
    <t>防溅五孔插座</t>
  </si>
  <si>
    <t xml:space="preserve">1.名称：防溅五孔插座
2.规格:10A
3.未详尽处满足图纸设计、相关规范要求  </t>
  </si>
  <si>
    <t>五孔带开关插座</t>
  </si>
  <si>
    <t xml:space="preserve">1.名称：五孔带开关插座
2.规格:10A
3.未详尽处满足图纸设计、相关规范要求  </t>
  </si>
  <si>
    <t>防溅五孔带开关插座</t>
  </si>
  <si>
    <t xml:space="preserve">1.名称：防溅五孔带开关插座
2.规格:10A
3.未详尽处满足图纸设计、相关规范要求  </t>
  </si>
  <si>
    <t>空调三孔插座带开关</t>
  </si>
  <si>
    <t xml:space="preserve">1.名称：空调三孔插座带开关
2.规格:16A
3.未详尽处满足图纸设计、相关规范要求  </t>
  </si>
  <si>
    <t>单联单控开关</t>
  </si>
  <si>
    <t xml:space="preserve">1.名称：单联单控开关
2.底边距地h:1300mm
3.未详尽处满足图纸设计、相关规范要求  </t>
  </si>
  <si>
    <t>双联单控开关</t>
  </si>
  <si>
    <t xml:space="preserve">1.名称：双联单控开关
2.底边距地h:1300mm
3.未详尽处满足图纸设计、相关规范要求  </t>
  </si>
  <si>
    <t>单联双控开关</t>
  </si>
  <si>
    <t xml:space="preserve">1.名称：单联双控开关
2.底边距地h:1300mm
3.未详尽处满足图纸设计、相关规范要求  </t>
  </si>
  <si>
    <t>三联双控开关</t>
  </si>
  <si>
    <t xml:space="preserve">1.名称：三联双控开关
2.底边距地h:1300mm
3.未详尽处满足图纸设计、相关规范要求  </t>
  </si>
  <si>
    <t>地暖温控开关</t>
  </si>
  <si>
    <t xml:space="preserve">1.名称：地暖温控开关
2.底边距地h:1300mm
3.未详尽处满足图纸设计、相关规范要求  </t>
  </si>
  <si>
    <t>一键离家开关(10A)
(只控制灯具)</t>
  </si>
  <si>
    <t xml:space="preserve">1.名称：一键离家开关(10A)
(只控制灯具)
2.底边距地h:1300mm
3.未详尽处满足图纸设计、相关规范要求  </t>
  </si>
  <si>
    <t>浴霸开关面板</t>
  </si>
  <si>
    <t xml:space="preserve">1.名称：浴霸开关面板
2.底边距地h:1300mm
3.未详尽处满足图纸设计、相关规范要求  </t>
  </si>
  <si>
    <t>接线盒面板</t>
  </si>
  <si>
    <t xml:space="preserve">1.名称：接线盒面板
2.未详尽处满足图纸设计、相关规范要求  </t>
  </si>
  <si>
    <t>网络/电话信号插座</t>
  </si>
  <si>
    <t xml:space="preserve">1.名称：网络/电话信号插座
2.未详尽处满足图纸设计、相关规范要求  </t>
  </si>
  <si>
    <t>网络/电视信号插座</t>
  </si>
  <si>
    <t xml:space="preserve">1.名称：网络/电视信号插座
2.未详尽处满足图纸设计、相关规范要求  </t>
  </si>
  <si>
    <t>网络信号插座</t>
  </si>
  <si>
    <t xml:space="preserve">1.名称：网络信号插座
2.未详尽处满足图纸设计、相关规范要求  </t>
  </si>
  <si>
    <t>配管</t>
  </si>
  <si>
    <t xml:space="preserve">1、名称:吊顶内配管及建筑图与精装图不符的配管
2、未详尽处满足图纸设计、相关规范要求                    </t>
  </si>
  <si>
    <t>电线</t>
  </si>
  <si>
    <t xml:space="preserve">1、名称:电线BV-2.5
2、管内敷设
3、未详尽处满足图纸设计、相关规范要求                    </t>
  </si>
  <si>
    <t xml:space="preserve">1、名称:电线BV-4
2、管内敷设
3、未详尽处满足图纸设计、相关规范要求                    </t>
  </si>
  <si>
    <t>网线</t>
  </si>
  <si>
    <t xml:space="preserve">1、名称:UTPCAT5e
2、管内敷设
3、未详尽处满足图纸设计、相关规范要求                    </t>
  </si>
  <si>
    <t>电话线</t>
  </si>
  <si>
    <t xml:space="preserve">1、名称:HYBV-2x0.5
2、管内敷设
3、未详尽处满足图纸设计、相关规范要求                    </t>
  </si>
  <si>
    <t>金晶</t>
  </si>
  <si>
    <t>电视线</t>
  </si>
  <si>
    <t xml:space="preserve">1、名称:SYWV-75-5
2、管内敷设
3、未详尽处满足图纸设计、相关规范要求                    </t>
  </si>
  <si>
    <t>元</t>
  </si>
  <si>
    <t>E户型-给排水</t>
  </si>
  <si>
    <t>坐便器</t>
  </si>
  <si>
    <t xml:space="preserve">1.名称：坐便器含角阀
2.含所有配件安装
3.未详尽处满足图纸设计、相关规范要求   </t>
  </si>
  <si>
    <t>热水器</t>
  </si>
  <si>
    <t xml:space="preserve">1.名称：热水器含角阀
2.含所有配件安装
3.未详尽处满足图纸设计、相关规范要求 </t>
  </si>
  <si>
    <t>海尔</t>
  </si>
  <si>
    <t>淋浴花洒</t>
  </si>
  <si>
    <t xml:space="preserve">1.名称：淋浴花洒
2.含所有配件安装；
3.未详尽处满足图纸设计、相关规范要求 </t>
  </si>
  <si>
    <t>洗脸盆</t>
  </si>
  <si>
    <t xml:space="preserve">1.名称：洗脸盆含水龙头、柜体、镜子
2.含所有配件安装（包含洗脸盆下水管安装）
3.未详尽处满足图纸设计、相关规范要求 </t>
  </si>
  <si>
    <t>科勒</t>
  </si>
  <si>
    <t>洗衣机龙头</t>
  </si>
  <si>
    <t xml:space="preserve">1.名称:洗衣机龙头
2.型号、规格:DN15
3.未详尽处满足图纸设计、相关规范要求 </t>
  </si>
  <si>
    <t>洗衣机地漏</t>
  </si>
  <si>
    <t xml:space="preserve">1.名称:洗衣机地漏
2.型号、规格:DN50
3.未详尽处满足图纸设计、相关规范要求 </t>
  </si>
  <si>
    <t>地漏</t>
  </si>
  <si>
    <t xml:space="preserve">1.名称:地漏
2.型号、规格:DN50
3.未详尽处满足图纸设计、相关规范要求 </t>
  </si>
  <si>
    <t>抽油烟机</t>
  </si>
  <si>
    <t xml:space="preserve">1.名称：抽油烟机
2.未详尽处满足图纸设计、相关规范要求 </t>
  </si>
  <si>
    <t>老板、方太</t>
  </si>
  <si>
    <t>燃气灶</t>
  </si>
  <si>
    <t xml:space="preserve">1.燃气灶
2.未详尽处满足图纸设计、相关规范要求 </t>
  </si>
  <si>
    <t>洗菜盆</t>
  </si>
  <si>
    <t xml:space="preserve">1.名称：洗菜盆含水龙头
2.含所有配件安装（包含洗菜盆下水管安装）
3.未详尽处满足图纸设计、相关规范要求 </t>
  </si>
  <si>
    <t>截止阀</t>
  </si>
  <si>
    <t xml:space="preserve">1.名称：截止阀
2.规格：DN20
3.未详尽处满足图纸设计、相关规范要求 </t>
  </si>
  <si>
    <t xml:space="preserve">1.名称：截止阀
2.规格：DN15
3.未详尽处满足图纸设计、相关规范要求 </t>
  </si>
  <si>
    <t>止回阀</t>
  </si>
  <si>
    <t xml:space="preserve">1.名称：止回阀
2.规格：DN20
3.未详尽处满足图纸设计、相关规范要求 </t>
  </si>
  <si>
    <t>真空破坏器</t>
  </si>
  <si>
    <t>1.名称：真空破坏器
2.规格：DN15
3.含预留DN15消防软管接口</t>
  </si>
  <si>
    <t>给水管</t>
  </si>
  <si>
    <t>1. PP-R De25（冷水）
2.含角阀、配件、管帽、堵头及其他相关配件
3.管道试压,消毒、冲洗</t>
  </si>
  <si>
    <t>日丰</t>
  </si>
  <si>
    <t>1. PP-R De20（冷水）
2.含角阀、配件、管帽、堵头及其他相关配件
3.管道试压,消毒、冲洗</t>
  </si>
  <si>
    <t>1. PP-R De25（热水）
2.含角阀、配件、管帽、堵头及其他相关配件
3.管道试压,消毒、冲洗</t>
  </si>
  <si>
    <t>1. PP-R De20（热水）
2.含角阀、配件、管帽、堵头及其他相关配件
3.管道试压,消毒、冲洗</t>
  </si>
  <si>
    <t>E户型合计</t>
  </si>
  <si>
    <t>F1户型-强弱电</t>
  </si>
  <si>
    <t>LED防雾射灯</t>
  </si>
  <si>
    <t xml:space="preserve">1.名称：LED防雾射灯  含开洞费用
2.参数：7W 色温3000K Φ85
3.未详尽处满足图纸设计、相关规范要求   </t>
  </si>
  <si>
    <t>四联双控开关</t>
  </si>
  <si>
    <t xml:space="preserve">1.名称：四联双控开关
2.底边距地h:1300mm
3.未详尽处满足图纸设计、相关规范要求  </t>
  </si>
  <si>
    <t>F1户型-给排水</t>
  </si>
  <si>
    <t>冷凝水等地漏是否计入？目前没计入，南北阳台排水管有问题，还有洗手盆等问题，需设计回复后调整</t>
  </si>
  <si>
    <t>老板</t>
  </si>
  <si>
    <t>F1户型合计</t>
  </si>
  <si>
    <t>F户型-强弱电</t>
  </si>
  <si>
    <t>网络/电视信号插座座</t>
  </si>
  <si>
    <t>F户型-给排水</t>
  </si>
  <si>
    <t>F户型合计</t>
  </si>
  <si>
    <t>G户型-强弱电</t>
  </si>
  <si>
    <t>G户型-给排水</t>
  </si>
  <si>
    <t>G户型合计</t>
  </si>
  <si>
    <t>工程名称：s7地块30#精装修工程量计算</t>
  </si>
  <si>
    <t>编制人</t>
  </si>
  <si>
    <t>名称</t>
  </si>
  <si>
    <t>说明</t>
  </si>
  <si>
    <t>计算公式</t>
  </si>
  <si>
    <t>F 户型立面</t>
  </si>
  <si>
    <t xml:space="preserve">E-01/1 </t>
  </si>
  <si>
    <t>壁纸</t>
  </si>
  <si>
    <t>2.37*2</t>
  </si>
  <si>
    <t xml:space="preserve">E-01/02  </t>
  </si>
  <si>
    <t>2.915-2.372</t>
  </si>
  <si>
    <t>6.46-1.13</t>
  </si>
  <si>
    <t xml:space="preserve">E-01/03  </t>
  </si>
  <si>
    <t xml:space="preserve">E-01/04  </t>
  </si>
  <si>
    <t xml:space="preserve">E-02/05  </t>
  </si>
  <si>
    <t>2.45+4.24+2.607</t>
  </si>
  <si>
    <t>衣柜部分按壁布处理</t>
  </si>
  <si>
    <t>按投影面积计算</t>
  </si>
  <si>
    <t>岩板</t>
  </si>
  <si>
    <t xml:space="preserve">E-02/06  </t>
  </si>
  <si>
    <t>厨房磨砂玻璃门</t>
  </si>
  <si>
    <t>卫生间磨砂玻璃门</t>
  </si>
  <si>
    <t>厨房立面</t>
  </si>
  <si>
    <t>E-04/01</t>
  </si>
  <si>
    <t>ct3瓷砖</t>
  </si>
  <si>
    <t>水砂浆墙面</t>
  </si>
  <si>
    <t>0.834+0.973</t>
  </si>
  <si>
    <t>E-04/02</t>
  </si>
  <si>
    <t>0.12+0.245</t>
  </si>
  <si>
    <t>E-04/03</t>
  </si>
  <si>
    <t>6.02+（0.29+0.29+1.34）*0.1</t>
  </si>
  <si>
    <t>E-04/04</t>
  </si>
  <si>
    <t>3.696-1.84</t>
  </si>
  <si>
    <t>卫生间立面</t>
  </si>
  <si>
    <t>E-05/01</t>
  </si>
  <si>
    <t>E-05/02</t>
  </si>
  <si>
    <t>3.456-0.724+3.76*0.1</t>
  </si>
  <si>
    <t>E-05/03</t>
  </si>
  <si>
    <t>E-05/04</t>
  </si>
  <si>
    <t>3.46-1.84</t>
  </si>
  <si>
    <t>阳台立面</t>
  </si>
  <si>
    <t>E-06/01</t>
  </si>
  <si>
    <t>ct4瓷砖</t>
  </si>
  <si>
    <t>（0.625+0.1+0.1+0.215+0.76）*2</t>
  </si>
  <si>
    <t>E-06/02</t>
  </si>
  <si>
    <t>E-06/03</t>
  </si>
  <si>
    <t>2.44+2.3*0.1</t>
  </si>
  <si>
    <t>E-06/04</t>
  </si>
  <si>
    <t>五</t>
  </si>
  <si>
    <t>卫生间吊顶</t>
  </si>
  <si>
    <t>MT 01铝扣板吊顶</t>
  </si>
  <si>
    <t>厨房吊顶</t>
  </si>
  <si>
    <t>入口处平吊</t>
  </si>
  <si>
    <t>平吊乳胶漆</t>
  </si>
  <si>
    <t>客厅吊顶</t>
  </si>
  <si>
    <t>边吊</t>
  </si>
  <si>
    <t>10.144-5.66</t>
  </si>
  <si>
    <t>结构原顶批白 乳胶漆</t>
  </si>
  <si>
    <t>含顶乳胶漆灯</t>
  </si>
  <si>
    <t>阳台顶</t>
  </si>
  <si>
    <t>批白乳胶漆（防水乳胶漆）</t>
  </si>
  <si>
    <t>E户型立面</t>
  </si>
  <si>
    <t>入户门套线</t>
  </si>
  <si>
    <t>6.46-1.1</t>
  </si>
  <si>
    <t>玄关柜子 1400*2400</t>
  </si>
  <si>
    <t>1.4*2.4</t>
  </si>
  <si>
    <t>10.5-3.6-2.35</t>
  </si>
  <si>
    <t>窗台压顶</t>
  </si>
  <si>
    <t>飘窗 压顶在地面内</t>
  </si>
  <si>
    <t>0.662+0.263</t>
  </si>
  <si>
    <t xml:space="preserve">E-04/01 </t>
  </si>
  <si>
    <t>CT03瓷砖</t>
  </si>
  <si>
    <t>水泥砂浆</t>
  </si>
  <si>
    <t>0.12+0.35</t>
  </si>
  <si>
    <t xml:space="preserve">E-04/02 </t>
  </si>
  <si>
    <t>5.855-1.84</t>
  </si>
  <si>
    <t>5.927-0.723-1.46-0.55+3.7*0.1</t>
  </si>
  <si>
    <t>1.46+0.55</t>
  </si>
  <si>
    <t>0.99+0.6+1.84</t>
  </si>
  <si>
    <t>1.1+0.45</t>
  </si>
  <si>
    <t xml:space="preserve">E-05/01 </t>
  </si>
  <si>
    <t xml:space="preserve">E-05/02 </t>
  </si>
  <si>
    <t>3.216-1.81</t>
  </si>
  <si>
    <t xml:space="preserve">E-05/03 </t>
  </si>
  <si>
    <t>5.495-0.4288+3.32*0.1</t>
  </si>
  <si>
    <t xml:space="preserve">E-06/01 </t>
  </si>
  <si>
    <t>CT04瓷砖</t>
  </si>
  <si>
    <t>0.8+1.5+（0.8+1.7*2）*0.113</t>
  </si>
  <si>
    <t xml:space="preserve">E-06/02 </t>
  </si>
  <si>
    <t>2.48+（1.91+1.66*2）*0.113</t>
  </si>
  <si>
    <t xml:space="preserve">E-06/03 </t>
  </si>
  <si>
    <t xml:space="preserve">E-06/04 </t>
  </si>
  <si>
    <t>F1户型立面</t>
  </si>
  <si>
    <t>铝合金踢脚线</t>
  </si>
  <si>
    <t>0.5+0.91+0.79</t>
  </si>
  <si>
    <t>E-01/2</t>
  </si>
  <si>
    <t>11.09-4.536+（8.76-2.7）*0.1</t>
  </si>
  <si>
    <t>E-01/3</t>
  </si>
  <si>
    <t>2.39+0.5</t>
  </si>
  <si>
    <t>飘窗内壁纸</t>
  </si>
  <si>
    <t>（1.83*2+3.39）*0.7+3.39*0.41</t>
  </si>
  <si>
    <t>E-01/4</t>
  </si>
  <si>
    <t>玄关柜子 800*2450</t>
  </si>
  <si>
    <t>0.09+0.09</t>
  </si>
  <si>
    <t>2.1+2.1+1.13</t>
  </si>
  <si>
    <t xml:space="preserve">E-02/1 </t>
  </si>
  <si>
    <t>0.09+2.39</t>
  </si>
  <si>
    <t>E-02/2</t>
  </si>
  <si>
    <t>E-02/3</t>
  </si>
  <si>
    <t>4.245+0.67</t>
  </si>
  <si>
    <t>0.8+0.8</t>
  </si>
  <si>
    <t>E-02/4</t>
  </si>
  <si>
    <t xml:space="preserve">E-03/1 </t>
  </si>
  <si>
    <t>2.672+0.54</t>
  </si>
  <si>
    <t>0.465+0.485</t>
  </si>
  <si>
    <t>E-03/2</t>
  </si>
  <si>
    <t>室内门</t>
  </si>
  <si>
    <t>E-03/3</t>
  </si>
  <si>
    <t>E-03/4</t>
  </si>
  <si>
    <t xml:space="preserve">E-04/1 </t>
  </si>
  <si>
    <t>MT02
不锈钢收口（瓷砖收口）</t>
  </si>
  <si>
    <t xml:space="preserve">E-04/2 </t>
  </si>
  <si>
    <t xml:space="preserve">E-04/3 </t>
  </si>
  <si>
    <t xml:space="preserve">E-04/4 </t>
  </si>
  <si>
    <t xml:space="preserve">E-05/1 </t>
  </si>
  <si>
    <t>3.45-1.1256+4.36*0.1</t>
  </si>
  <si>
    <t xml:space="preserve">E-05/2 </t>
  </si>
  <si>
    <t xml:space="preserve">E-05/3 </t>
  </si>
  <si>
    <t>3.456-1.844</t>
  </si>
  <si>
    <t xml:space="preserve">E-05/4 </t>
  </si>
  <si>
    <t>成品定制钢化玻璃隔断</t>
  </si>
  <si>
    <t>2.08*1.44</t>
  </si>
  <si>
    <t>厨房</t>
  </si>
  <si>
    <t xml:space="preserve">E-07/1 </t>
  </si>
  <si>
    <t>3.466-0.8576+3.96*0.1</t>
  </si>
  <si>
    <t>0.11993+0.35</t>
  </si>
  <si>
    <t xml:space="preserve">E-07/2 </t>
  </si>
  <si>
    <t>7.056-1.044-1.2179</t>
  </si>
  <si>
    <t>1.044+1.2179</t>
  </si>
  <si>
    <t xml:space="preserve">E-07/3 </t>
  </si>
  <si>
    <t>3.936-1.8437</t>
  </si>
  <si>
    <t xml:space="preserve">E-07/4 </t>
  </si>
  <si>
    <t>阳台</t>
  </si>
  <si>
    <t xml:space="preserve">E-08/1 </t>
  </si>
  <si>
    <t>1.6+1.6+（2+2）*0.1</t>
  </si>
  <si>
    <t xml:space="preserve">E-08/2 </t>
  </si>
  <si>
    <t>2.48+（2.68+1.66*2）*0.113</t>
  </si>
  <si>
    <t xml:space="preserve">E-08/3 </t>
  </si>
  <si>
    <t xml:space="preserve">E-08/4 </t>
  </si>
  <si>
    <t>G户型立面</t>
  </si>
  <si>
    <t>4.299+0.711</t>
  </si>
  <si>
    <t>1.69+0.0195+0.25</t>
  </si>
  <si>
    <t>玄关柜 900*2.450</t>
  </si>
  <si>
    <t>0.91*2.45</t>
  </si>
  <si>
    <t xml:space="preserve">E-01/2 </t>
  </si>
  <si>
    <t>入户门门套线</t>
  </si>
  <si>
    <t xml:space="preserve">E-01/3 </t>
  </si>
  <si>
    <t>9.109-2.394</t>
  </si>
  <si>
    <t>1.79+1.99</t>
  </si>
  <si>
    <t xml:space="preserve">E-01/4 </t>
  </si>
  <si>
    <t>飘窗侧面壁纸</t>
  </si>
  <si>
    <t>1.456*2</t>
  </si>
  <si>
    <t>窗口压顶</t>
  </si>
  <si>
    <t>6.7276-1.9825</t>
  </si>
  <si>
    <t>1.79+0.09</t>
  </si>
  <si>
    <t>2.794+0.556+6.2*0.1</t>
  </si>
  <si>
    <t>0.6+0.4</t>
  </si>
  <si>
    <t>E-03/1</t>
  </si>
  <si>
    <t>7.02-3.933</t>
  </si>
  <si>
    <t>0.4+0.5</t>
  </si>
  <si>
    <t>1.69+0.09</t>
  </si>
  <si>
    <t>卫生间</t>
  </si>
  <si>
    <t>E-04/1</t>
  </si>
  <si>
    <t>E-04/2</t>
  </si>
  <si>
    <t>0.26+0.04</t>
  </si>
  <si>
    <t>E-04/3</t>
  </si>
  <si>
    <t>E-04/4</t>
  </si>
  <si>
    <t>E-05/1</t>
  </si>
  <si>
    <t>3.575-1.126+4.36*0.1</t>
  </si>
  <si>
    <t>E-05/2</t>
  </si>
  <si>
    <t>E-05/3</t>
  </si>
  <si>
    <t>3.576-1.806</t>
  </si>
  <si>
    <t>E-05/4</t>
  </si>
  <si>
    <t>2.08*1.49</t>
  </si>
  <si>
    <t>E-07/1</t>
  </si>
  <si>
    <t>3.226-0.8576+3.96*0.1</t>
  </si>
  <si>
    <t>水泥砂浆面层</t>
  </si>
  <si>
    <t>0.1199+0.35</t>
  </si>
  <si>
    <t>E-07/2</t>
  </si>
  <si>
    <t>1.18+1.014</t>
  </si>
  <si>
    <t>E-07/3</t>
  </si>
  <si>
    <t>E-07/4</t>
  </si>
  <si>
    <t>3.18+1.88+0.6</t>
  </si>
  <si>
    <t>E-08/1</t>
  </si>
  <si>
    <t>0.8+1.2+2*0.1*2</t>
  </si>
  <si>
    <t>E-08/2</t>
  </si>
  <si>
    <t>E-08/3</t>
  </si>
  <si>
    <t>1.77+（1.67*2+2.22）*0.1</t>
  </si>
  <si>
    <t>E-08/4</t>
  </si>
  <si>
    <t>房源台账</t>
  </si>
  <si>
    <t>楼栋</t>
  </si>
  <si>
    <t>房间号</t>
  </si>
  <si>
    <t>房间状态</t>
  </si>
  <si>
    <t>建筑面积</t>
  </si>
  <si>
    <t>30号楼</t>
  </si>
  <si>
    <t>30-1-102</t>
  </si>
  <si>
    <t>签约</t>
  </si>
  <si>
    <t>30-1-103</t>
  </si>
  <si>
    <t>30-1-104</t>
  </si>
  <si>
    <t>30-1-105</t>
  </si>
  <si>
    <t>30-1-106</t>
  </si>
  <si>
    <t>30-1-203</t>
  </si>
  <si>
    <t>30-1-901</t>
  </si>
  <si>
    <t>30-1-902</t>
  </si>
  <si>
    <t>30-1-905</t>
  </si>
  <si>
    <t>30-1-1002</t>
  </si>
  <si>
    <t>30-1-1102</t>
  </si>
  <si>
    <t>30-1-1305</t>
  </si>
  <si>
    <t>30-1-1505</t>
  </si>
  <si>
    <t>30-1-1602</t>
  </si>
  <si>
    <t>30-1-1702</t>
  </si>
  <si>
    <t>30-1-1903</t>
  </si>
  <si>
    <t>汇总</t>
  </si>
  <si>
    <r>
      <rPr>
        <sz val="10"/>
        <color theme="1"/>
        <rFont val="Arial"/>
        <charset val="134"/>
      </rPr>
      <t>30#</t>
    </r>
    <r>
      <rPr>
        <sz val="10"/>
        <color theme="1"/>
        <rFont val="宋体"/>
        <charset val="134"/>
      </rPr>
      <t>楼</t>
    </r>
    <r>
      <rPr>
        <sz val="10"/>
        <color theme="1"/>
        <rFont val="Arial"/>
        <charset val="134"/>
      </rPr>
      <t>1</t>
    </r>
    <r>
      <rPr>
        <sz val="10"/>
        <color theme="1"/>
        <rFont val="宋体"/>
        <charset val="134"/>
      </rPr>
      <t>单元</t>
    </r>
  </si>
  <si>
    <r>
      <rPr>
        <sz val="10"/>
        <color theme="1"/>
        <rFont val="Arial"/>
        <charset val="134"/>
      </rPr>
      <t>01</t>
    </r>
    <r>
      <rPr>
        <sz val="10"/>
        <color theme="1"/>
        <rFont val="宋体"/>
        <charset val="134"/>
      </rPr>
      <t>户</t>
    </r>
  </si>
  <si>
    <t>F1</t>
  </si>
  <si>
    <r>
      <rPr>
        <sz val="10"/>
        <color theme="1"/>
        <rFont val="Arial"/>
        <charset val="134"/>
      </rPr>
      <t>02</t>
    </r>
    <r>
      <rPr>
        <sz val="10"/>
        <color theme="1"/>
        <rFont val="宋体"/>
        <charset val="134"/>
      </rPr>
      <t>户</t>
    </r>
  </si>
  <si>
    <t>E</t>
  </si>
  <si>
    <r>
      <rPr>
        <sz val="10"/>
        <color theme="1"/>
        <rFont val="Arial"/>
        <charset val="134"/>
      </rPr>
      <t>03</t>
    </r>
    <r>
      <rPr>
        <sz val="10"/>
        <color theme="1"/>
        <rFont val="宋体"/>
        <charset val="134"/>
      </rPr>
      <t>户</t>
    </r>
  </si>
  <si>
    <r>
      <rPr>
        <sz val="10"/>
        <color theme="1"/>
        <rFont val="Arial"/>
        <charset val="134"/>
      </rPr>
      <t>04</t>
    </r>
    <r>
      <rPr>
        <sz val="10"/>
        <color theme="1"/>
        <rFont val="宋体"/>
        <charset val="134"/>
      </rPr>
      <t>户</t>
    </r>
  </si>
  <si>
    <r>
      <rPr>
        <sz val="10"/>
        <color theme="1"/>
        <rFont val="Arial"/>
        <charset val="134"/>
      </rPr>
      <t>05</t>
    </r>
    <r>
      <rPr>
        <sz val="10"/>
        <color theme="1"/>
        <rFont val="宋体"/>
        <charset val="134"/>
      </rPr>
      <t>户</t>
    </r>
  </si>
  <si>
    <t>F</t>
  </si>
  <si>
    <r>
      <rPr>
        <sz val="10"/>
        <color theme="1"/>
        <rFont val="Arial"/>
        <charset val="134"/>
      </rPr>
      <t>06</t>
    </r>
    <r>
      <rPr>
        <sz val="10"/>
        <color theme="1"/>
        <rFont val="宋体"/>
        <charset val="134"/>
      </rPr>
      <t>户</t>
    </r>
  </si>
  <si>
    <t>G</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</si>
</sst>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63">
    <font>
      <sz val="11"/>
      <color theme="1"/>
      <name val="宋体"/>
      <charset val="134"/>
      <scheme val="minor"/>
    </font>
    <font>
      <b/>
      <sz val="14"/>
      <color theme="1"/>
      <name val="微软雅黑"/>
      <charset val="134"/>
    </font>
    <font>
      <sz val="10"/>
      <color theme="1"/>
      <name val="Arial"/>
      <charset val="134"/>
    </font>
    <font>
      <sz val="10"/>
      <color rgb="FFFFFFFF"/>
      <name val="微软雅黑"/>
      <charset val="134"/>
    </font>
    <font>
      <sz val="10"/>
      <color theme="1"/>
      <name val="微软雅黑"/>
      <charset val="134"/>
    </font>
    <font>
      <b/>
      <sz val="10"/>
      <color theme="1"/>
      <name val="微软雅黑"/>
      <charset val="134"/>
    </font>
    <font>
      <sz val="10"/>
      <color theme="1"/>
      <name val="宋体"/>
      <charset val="134"/>
    </font>
    <font>
      <sz val="12"/>
      <color theme="1"/>
      <name val="宋体"/>
      <charset val="134"/>
      <scheme val="minor"/>
    </font>
    <font>
      <b/>
      <sz val="12"/>
      <name val="宋体"/>
      <charset val="134"/>
      <scheme val="minor"/>
    </font>
    <font>
      <sz val="12"/>
      <name val="宋体"/>
      <charset val="134"/>
      <scheme val="minor"/>
    </font>
    <font>
      <sz val="12"/>
      <color theme="1"/>
      <name val="宋体"/>
      <charset val="134"/>
    </font>
    <font>
      <sz val="12"/>
      <name val="宋体"/>
      <charset val="134"/>
    </font>
    <font>
      <sz val="11"/>
      <name val="宋体"/>
      <charset val="134"/>
      <scheme val="minor"/>
    </font>
    <font>
      <b/>
      <sz val="11"/>
      <name val="宋体"/>
      <charset val="134"/>
      <scheme val="minor"/>
    </font>
    <font>
      <sz val="10"/>
      <color theme="1"/>
      <name val="宋体"/>
      <charset val="134"/>
      <scheme val="minor"/>
    </font>
    <font>
      <b/>
      <sz val="14"/>
      <color theme="1"/>
      <name val="宋体"/>
      <charset val="134"/>
      <scheme val="minor"/>
    </font>
    <font>
      <b/>
      <sz val="10"/>
      <color theme="1"/>
      <name val="宋体"/>
      <charset val="134"/>
      <scheme val="minor"/>
    </font>
    <font>
      <sz val="9"/>
      <name val="宋体"/>
      <charset val="134"/>
    </font>
    <font>
      <sz val="10"/>
      <name val="宋体"/>
      <charset val="134"/>
    </font>
    <font>
      <sz val="10"/>
      <name val="宋体"/>
      <charset val="134"/>
      <scheme val="minor"/>
    </font>
    <font>
      <sz val="10"/>
      <color rgb="FFFF0000"/>
      <name val="宋体"/>
      <charset val="134"/>
      <scheme val="minor"/>
    </font>
    <font>
      <sz val="9"/>
      <color rgb="FFFF0000"/>
      <name val="宋体"/>
      <charset val="134"/>
      <scheme val="minor"/>
    </font>
    <font>
      <sz val="9"/>
      <name val="宋体"/>
      <charset val="134"/>
      <scheme val="minor"/>
    </font>
    <font>
      <b/>
      <sz val="11"/>
      <color theme="1"/>
      <name val="宋体"/>
      <charset val="134"/>
      <scheme val="minor"/>
    </font>
    <font>
      <b/>
      <sz val="10"/>
      <color theme="1"/>
      <name val="宋体"/>
      <charset val="134"/>
    </font>
    <font>
      <b/>
      <sz val="10"/>
      <name val="宋体"/>
      <charset val="134"/>
    </font>
    <font>
      <b/>
      <sz val="10"/>
      <name val="宋体"/>
      <charset val="134"/>
      <scheme val="minor"/>
    </font>
    <font>
      <b/>
      <sz val="9"/>
      <name val="宋体"/>
      <charset val="134"/>
    </font>
    <font>
      <sz val="11"/>
      <name val="宋体"/>
      <charset val="134"/>
    </font>
    <font>
      <b/>
      <sz val="18"/>
      <name val="宋体"/>
      <charset val="134"/>
    </font>
    <font>
      <sz val="9"/>
      <name val="微软雅黑"/>
      <charset val="134"/>
    </font>
    <font>
      <sz val="9"/>
      <color rgb="FFFF0000"/>
      <name val="宋体"/>
      <charset val="134"/>
    </font>
    <font>
      <sz val="10"/>
      <color rgb="FF000000"/>
      <name val="微软雅黑"/>
      <charset val="134"/>
    </font>
    <font>
      <sz val="12"/>
      <color rgb="FF000000"/>
      <name val="微软雅黑"/>
      <charset val="134"/>
    </font>
    <font>
      <sz val="11"/>
      <color rgb="FFFF0000"/>
      <name val="宋体"/>
      <charset val="134"/>
      <scheme val="minor"/>
    </font>
    <font>
      <sz val="9"/>
      <color theme="1"/>
      <name val="宋体"/>
      <charset val="134"/>
      <scheme val="minor"/>
    </font>
    <font>
      <b/>
      <sz val="16"/>
      <name val="楷体_GB2312"/>
      <charset val="134"/>
    </font>
    <font>
      <b/>
      <sz val="11"/>
      <name val="宋体"/>
      <charset val="134"/>
    </font>
    <font>
      <sz val="10.5"/>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2"/>
      <color rgb="FF000000"/>
      <name val="宋体"/>
      <charset val="134"/>
    </font>
    <font>
      <sz val="10"/>
      <name val="Arial"/>
      <charset val="1"/>
    </font>
    <font>
      <sz val="12"/>
      <name val="Times New Roman"/>
      <charset val="134"/>
    </font>
  </fonts>
  <fills count="42">
    <fill>
      <patternFill patternType="none"/>
    </fill>
    <fill>
      <patternFill patternType="gray125"/>
    </fill>
    <fill>
      <patternFill patternType="solid">
        <fgColor indexed="65"/>
        <bgColor indexed="64"/>
      </patternFill>
    </fill>
    <fill>
      <patternFill patternType="solid">
        <fgColor rgb="FF368BA9"/>
        <bgColor indexed="64"/>
      </patternFill>
    </fill>
    <fill>
      <patternFill patternType="solid">
        <fgColor rgb="FFFFFF00"/>
        <bgColor indexed="64"/>
      </patternFill>
    </fill>
    <fill>
      <patternFill patternType="solid">
        <fgColor rgb="FFFFFFFF"/>
        <bgColor indexed="64"/>
      </patternFill>
    </fill>
    <fill>
      <patternFill patternType="solid">
        <fgColor theme="9"/>
        <bgColor indexed="64"/>
      </patternFill>
    </fill>
    <fill>
      <patternFill patternType="solid">
        <fgColor theme="9" tint="0.4"/>
        <bgColor indexed="64"/>
      </patternFill>
    </fill>
    <fill>
      <patternFill patternType="solid">
        <fgColor theme="8" tint="0.4"/>
        <bgColor indexed="64"/>
      </patternFill>
    </fill>
    <fill>
      <patternFill patternType="solid">
        <fgColor theme="7" tint="0.4"/>
        <bgColor indexed="64"/>
      </patternFill>
    </fill>
    <fill>
      <patternFill patternType="solid">
        <fgColor theme="0"/>
        <bgColor indexed="64"/>
      </patternFill>
    </fill>
    <fill>
      <patternFill patternType="solid">
        <fgColor theme="4"/>
        <bgColor indexed="64"/>
      </patternFill>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13" borderId="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0" borderId="8" applyNumberFormat="0" applyFill="0" applyAlignment="0" applyProtection="0">
      <alignment vertical="center"/>
    </xf>
    <xf numFmtId="0" fontId="46" fillId="0" borderId="9" applyNumberFormat="0" applyFill="0" applyAlignment="0" applyProtection="0">
      <alignment vertical="center"/>
    </xf>
    <xf numFmtId="0" fontId="46" fillId="0" borderId="0" applyNumberFormat="0" applyFill="0" applyBorder="0" applyAlignment="0" applyProtection="0">
      <alignment vertical="center"/>
    </xf>
    <xf numFmtId="0" fontId="47" fillId="14" borderId="10" applyNumberFormat="0" applyAlignment="0" applyProtection="0">
      <alignment vertical="center"/>
    </xf>
    <xf numFmtId="0" fontId="48" fillId="15" borderId="11" applyNumberFormat="0" applyAlignment="0" applyProtection="0">
      <alignment vertical="center"/>
    </xf>
    <xf numFmtId="0" fontId="49" fillId="15" borderId="10" applyNumberFormat="0" applyAlignment="0" applyProtection="0">
      <alignment vertical="center"/>
    </xf>
    <xf numFmtId="0" fontId="50" fillId="16" borderId="12" applyNumberFormat="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5" fillId="19" borderId="0" applyNumberFormat="0" applyBorder="0" applyAlignment="0" applyProtection="0">
      <alignment vertical="center"/>
    </xf>
    <xf numFmtId="0" fontId="56" fillId="11"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6" fillId="38" borderId="0" applyNumberFormat="0" applyBorder="0" applyAlignment="0" applyProtection="0">
      <alignment vertical="center"/>
    </xf>
    <xf numFmtId="0" fontId="56" fillId="6" borderId="0" applyNumberFormat="0" applyBorder="0" applyAlignment="0" applyProtection="0">
      <alignment vertical="center"/>
    </xf>
    <xf numFmtId="0" fontId="57" fillId="39" borderId="0" applyNumberFormat="0" applyBorder="0" applyAlignment="0" applyProtection="0">
      <alignment vertical="center"/>
    </xf>
    <xf numFmtId="0" fontId="57" fillId="40" borderId="0" applyNumberFormat="0" applyBorder="0" applyAlignment="0" applyProtection="0">
      <alignment vertical="center"/>
    </xf>
    <xf numFmtId="0" fontId="56" fillId="41" borderId="0" applyNumberFormat="0" applyBorder="0" applyAlignment="0" applyProtection="0">
      <alignment vertical="center"/>
    </xf>
    <xf numFmtId="0" fontId="58" fillId="0" borderId="0"/>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9" fillId="0" borderId="0">
      <alignment vertical="center"/>
    </xf>
    <xf numFmtId="176" fontId="60" fillId="0" borderId="1">
      <alignment horizontal="right" vertical="center" wrapText="1"/>
    </xf>
    <xf numFmtId="0" fontId="11" fillId="0" borderId="0">
      <alignment vertical="center"/>
    </xf>
    <xf numFmtId="0" fontId="61" fillId="0" borderId="0"/>
    <xf numFmtId="0" fontId="0" fillId="0" borderId="0">
      <alignment vertical="center"/>
    </xf>
    <xf numFmtId="0" fontId="11" fillId="0" borderId="0">
      <alignment vertical="center"/>
    </xf>
    <xf numFmtId="0" fontId="62" fillId="0" borderId="0"/>
    <xf numFmtId="0" fontId="11" fillId="0" borderId="0">
      <alignment vertical="center"/>
    </xf>
    <xf numFmtId="176" fontId="60" fillId="0" borderId="1">
      <alignment horizontal="right" vertical="center" wrapText="1"/>
    </xf>
    <xf numFmtId="0" fontId="0" fillId="0" borderId="0">
      <alignment vertical="center"/>
    </xf>
    <xf numFmtId="0" fontId="59" fillId="0" borderId="0">
      <alignment vertical="center"/>
    </xf>
    <xf numFmtId="0" fontId="60" fillId="0" borderId="0" applyProtection="0">
      <alignment vertical="center"/>
    </xf>
    <xf numFmtId="0" fontId="11" fillId="0" borderId="0"/>
    <xf numFmtId="0" fontId="2" fillId="0" borderId="0"/>
    <xf numFmtId="43" fontId="0" fillId="0" borderId="0" applyFont="0" applyFill="0" applyBorder="0" applyAlignment="0" applyProtection="0">
      <alignment vertical="center"/>
    </xf>
  </cellStyleXfs>
  <cellXfs count="201">
    <xf numFmtId="0" fontId="0" fillId="0" borderId="0" xfId="0">
      <alignment vertical="center"/>
    </xf>
    <xf numFmtId="0" fontId="1" fillId="2" borderId="0" xfId="72" applyFont="1" applyFill="1" applyAlignment="1">
      <alignment horizontal="left" vertical="center"/>
    </xf>
    <xf numFmtId="0" fontId="2" fillId="0" borderId="0" xfId="72"/>
    <xf numFmtId="0" fontId="3" fillId="3" borderId="1" xfId="72" applyFont="1" applyFill="1" applyBorder="1" applyAlignment="1">
      <alignment horizontal="center" vertical="center" wrapText="1"/>
    </xf>
    <xf numFmtId="0" fontId="4" fillId="0" borderId="1" xfId="72" applyFont="1" applyBorder="1" applyAlignment="1">
      <alignment horizontal="left" vertical="center" wrapText="1"/>
    </xf>
    <xf numFmtId="0" fontId="4" fillId="4" borderId="1" xfId="72" applyFont="1" applyFill="1" applyBorder="1" applyAlignment="1">
      <alignment horizontal="left" vertical="center" wrapText="1"/>
    </xf>
    <xf numFmtId="0" fontId="4" fillId="0" borderId="1" xfId="72" applyFont="1" applyBorder="1" applyAlignment="1">
      <alignment horizontal="center" vertical="center" wrapText="1"/>
    </xf>
    <xf numFmtId="0" fontId="4" fillId="0" borderId="1" xfId="72" applyFont="1" applyBorder="1" applyAlignment="1">
      <alignment horizontal="right" vertical="center" wrapText="1"/>
    </xf>
    <xf numFmtId="0" fontId="2" fillId="5" borderId="1" xfId="72" applyFill="1" applyBorder="1" applyAlignment="1">
      <alignment horizontal="right" vertical="center" wrapText="1"/>
    </xf>
    <xf numFmtId="0" fontId="5" fillId="5" borderId="1" xfId="72" applyFont="1" applyFill="1" applyBorder="1" applyAlignment="1">
      <alignment horizontal="right" vertical="center" wrapText="1"/>
    </xf>
    <xf numFmtId="0" fontId="6" fillId="0" borderId="1" xfId="72" applyFont="1" applyBorder="1"/>
    <xf numFmtId="0" fontId="2" fillId="0" borderId="1" xfId="72" applyBorder="1"/>
    <xf numFmtId="0" fontId="2" fillId="0" borderId="2" xfId="72" applyFont="1" applyBorder="1" applyAlignment="1">
      <alignment horizontal="center" vertical="center"/>
    </xf>
    <xf numFmtId="0" fontId="2" fillId="0" borderId="1" xfId="72" applyFont="1" applyBorder="1"/>
    <xf numFmtId="0" fontId="0" fillId="0" borderId="1" xfId="0" applyBorder="1">
      <alignment vertical="center"/>
    </xf>
    <xf numFmtId="0" fontId="2" fillId="0" borderId="3" xfId="72" applyBorder="1" applyAlignment="1">
      <alignment horizontal="center" vertical="center"/>
    </xf>
    <xf numFmtId="0" fontId="2" fillId="0" borderId="4" xfId="72"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vertical="center" wrapText="1"/>
    </xf>
    <xf numFmtId="0" fontId="0" fillId="6" borderId="0" xfId="0" applyFill="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0" fillId="0" borderId="0" xfId="0" applyFill="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vertical="center" wrapText="1"/>
    </xf>
    <xf numFmtId="0" fontId="9" fillId="0" borderId="1" xfId="0" applyFont="1" applyBorder="1" applyAlignment="1">
      <alignment horizontal="left" vertical="center" wrapText="1"/>
    </xf>
    <xf numFmtId="176" fontId="11"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1" xfId="0" applyFont="1" applyFill="1" applyBorder="1" applyAlignment="1">
      <alignment vertical="center" wrapText="1"/>
    </xf>
    <xf numFmtId="0" fontId="0" fillId="0" borderId="1" xfId="0" applyBorder="1" applyAlignment="1">
      <alignment vertical="center" wrapText="1"/>
    </xf>
    <xf numFmtId="0" fontId="0" fillId="4" borderId="1" xfId="0"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0" fontId="0" fillId="6" borderId="1" xfId="0" applyFill="1" applyBorder="1" applyAlignment="1">
      <alignment horizontal="left" vertical="center" wrapText="1"/>
    </xf>
    <xf numFmtId="176" fontId="11" fillId="6" borderId="1" xfId="0" applyNumberFormat="1" applyFont="1" applyFill="1" applyBorder="1" applyAlignment="1">
      <alignment horizontal="center" vertical="center" wrapText="1"/>
    </xf>
    <xf numFmtId="0" fontId="7" fillId="7" borderId="1" xfId="0" applyFont="1" applyFill="1" applyBorder="1" applyAlignment="1">
      <alignment vertical="center" wrapText="1"/>
    </xf>
    <xf numFmtId="0" fontId="0" fillId="7" borderId="1" xfId="0" applyFill="1" applyBorder="1" applyAlignment="1">
      <alignment vertical="center" wrapText="1"/>
    </xf>
    <xf numFmtId="0" fontId="7" fillId="8" borderId="1" xfId="0" applyFont="1" applyFill="1" applyBorder="1" applyAlignment="1">
      <alignment vertical="center" wrapText="1"/>
    </xf>
    <xf numFmtId="0" fontId="0" fillId="8" borderId="1" xfId="0" applyFill="1" applyBorder="1" applyAlignment="1">
      <alignment vertical="center" wrapText="1"/>
    </xf>
    <xf numFmtId="0" fontId="7" fillId="9" borderId="1" xfId="0" applyFont="1" applyFill="1" applyBorder="1" applyAlignment="1">
      <alignment vertical="center" wrapText="1"/>
    </xf>
    <xf numFmtId="0" fontId="0" fillId="9" borderId="1" xfId="0" applyFill="1" applyBorder="1" applyAlignment="1">
      <alignment vertical="center" wrapText="1"/>
    </xf>
    <xf numFmtId="0" fontId="0" fillId="0" borderId="1" xfId="0" applyFill="1" applyBorder="1" applyAlignment="1">
      <alignment horizontal="center" vertical="center" wrapText="1"/>
    </xf>
    <xf numFmtId="0" fontId="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9" fontId="14" fillId="0" borderId="0" xfId="0" applyNumberFormat="1" applyFont="1" applyFill="1" applyAlignment="1">
      <alignment vertical="center"/>
    </xf>
    <xf numFmtId="176" fontId="14" fillId="0" borderId="0" xfId="0" applyNumberFormat="1" applyFont="1" applyFill="1" applyAlignment="1">
      <alignment vertical="center"/>
    </xf>
    <xf numFmtId="176" fontId="15"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7" fillId="0" borderId="1" xfId="0" applyNumberFormat="1" applyFont="1" applyFill="1" applyBorder="1" applyAlignment="1" applyProtection="1">
      <alignment horizontal="center" vertical="center" wrapText="1"/>
    </xf>
    <xf numFmtId="176" fontId="18" fillId="0" borderId="1" xfId="0" applyNumberFormat="1" applyFont="1" applyFill="1" applyBorder="1" applyAlignment="1" applyProtection="1">
      <alignment horizontal="center" vertical="center" wrapText="1"/>
    </xf>
    <xf numFmtId="176"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vertical="center" wrapText="1"/>
    </xf>
    <xf numFmtId="0" fontId="14" fillId="0" borderId="1" xfId="0" applyFont="1" applyFill="1" applyBorder="1" applyAlignment="1">
      <alignment horizontal="center" vertical="center"/>
    </xf>
    <xf numFmtId="177" fontId="19" fillId="0" borderId="1" xfId="65" applyNumberFormat="1" applyFont="1" applyFill="1" applyBorder="1" applyAlignment="1">
      <alignment horizontal="center" vertical="center" wrapText="1"/>
    </xf>
    <xf numFmtId="177" fontId="19" fillId="0" borderId="1" xfId="65" applyNumberFormat="1" applyFont="1" applyFill="1" applyBorder="1" applyAlignment="1">
      <alignment horizontal="left" vertical="center" wrapText="1"/>
    </xf>
    <xf numFmtId="178" fontId="19"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xf>
    <xf numFmtId="177" fontId="20" fillId="0" borderId="1" xfId="65"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176" fontId="19"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4" fillId="0" borderId="1" xfId="0" applyFont="1" applyFill="1" applyBorder="1" applyAlignment="1">
      <alignment vertical="center"/>
    </xf>
    <xf numFmtId="177" fontId="21" fillId="0" borderId="1" xfId="65" applyNumberFormat="1" applyFont="1" applyFill="1" applyBorder="1" applyAlignment="1">
      <alignment horizontal="center" vertical="center" wrapText="1"/>
    </xf>
    <xf numFmtId="177" fontId="22" fillId="0" borderId="1" xfId="65" applyNumberFormat="1" applyFont="1" applyFill="1" applyBorder="1" applyAlignment="1">
      <alignment horizontal="left" vertical="center" wrapText="1"/>
    </xf>
    <xf numFmtId="177" fontId="22" fillId="0" borderId="1" xfId="65"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43" fontId="19" fillId="0" borderId="1" xfId="1" applyFont="1" applyFill="1" applyBorder="1" applyAlignment="1">
      <alignment horizontal="left" vertical="center" wrapText="1"/>
    </xf>
    <xf numFmtId="176" fontId="14" fillId="0" borderId="1" xfId="0" applyNumberFormat="1" applyFont="1" applyFill="1" applyBorder="1" applyAlignment="1">
      <alignment vertical="center"/>
    </xf>
    <xf numFmtId="0" fontId="16"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16" fillId="0" borderId="1" xfId="0" applyFont="1" applyFill="1" applyBorder="1" applyAlignment="1">
      <alignment vertical="center"/>
    </xf>
    <xf numFmtId="9" fontId="16" fillId="0"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176" fontId="17" fillId="1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xf>
    <xf numFmtId="9" fontId="14" fillId="0" borderId="1" xfId="0" applyNumberFormat="1" applyFont="1" applyFill="1" applyBorder="1" applyAlignment="1">
      <alignment vertical="center"/>
    </xf>
    <xf numFmtId="2" fontId="6" fillId="0" borderId="1" xfId="0" applyNumberFormat="1" applyFont="1" applyFill="1" applyBorder="1" applyAlignment="1">
      <alignment horizontal="center" vertical="center" shrinkToFit="1"/>
    </xf>
    <xf numFmtId="9" fontId="19" fillId="0" borderId="1" xfId="0" applyNumberFormat="1" applyFont="1" applyFill="1" applyBorder="1" applyAlignment="1">
      <alignment horizontal="center" vertical="center"/>
    </xf>
    <xf numFmtId="9" fontId="16" fillId="0" borderId="1" xfId="0" applyNumberFormat="1" applyFont="1" applyFill="1" applyBorder="1" applyAlignment="1">
      <alignment vertical="center"/>
    </xf>
    <xf numFmtId="2" fontId="24" fillId="0" borderId="1" xfId="0" applyNumberFormat="1" applyFont="1" applyFill="1" applyBorder="1" applyAlignment="1">
      <alignment horizontal="center" vertical="center" shrinkToFit="1"/>
    </xf>
    <xf numFmtId="176" fontId="25"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0" fillId="0" borderId="0" xfId="0" applyFont="1" applyFill="1" applyBorder="1" applyAlignment="1">
      <alignment vertical="center"/>
    </xf>
    <xf numFmtId="177" fontId="19" fillId="0" borderId="0" xfId="65"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9" fillId="0" borderId="1" xfId="0" applyFont="1" applyFill="1" applyBorder="1" applyAlignment="1">
      <alignment vertical="center"/>
    </xf>
    <xf numFmtId="176" fontId="19" fillId="0" borderId="1" xfId="0" applyNumberFormat="1" applyFont="1" applyFill="1" applyBorder="1" applyAlignment="1">
      <alignment vertical="center"/>
    </xf>
    <xf numFmtId="0" fontId="26"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26" fillId="0" borderId="1" xfId="0" applyFont="1" applyFill="1" applyBorder="1" applyAlignment="1">
      <alignment vertical="center"/>
    </xf>
    <xf numFmtId="9" fontId="19" fillId="0" borderId="1" xfId="0" applyNumberFormat="1" applyFont="1" applyFill="1" applyBorder="1" applyAlignment="1">
      <alignment horizontal="center" vertical="center" wrapText="1"/>
    </xf>
    <xf numFmtId="2" fontId="18" fillId="0" borderId="1" xfId="0" applyNumberFormat="1" applyFont="1" applyFill="1" applyBorder="1" applyAlignment="1">
      <alignment horizontal="center" vertical="center" shrinkToFit="1"/>
    </xf>
    <xf numFmtId="0" fontId="12" fillId="0" borderId="0" xfId="0" applyFont="1" applyFill="1" applyAlignment="1">
      <alignment vertical="center" wrapText="1"/>
    </xf>
    <xf numFmtId="9" fontId="26" fillId="0" borderId="1" xfId="0" applyNumberFormat="1" applyFont="1" applyFill="1" applyBorder="1" applyAlignment="1">
      <alignment horizontal="center" vertical="center"/>
    </xf>
    <xf numFmtId="2" fontId="25" fillId="0" borderId="1" xfId="0" applyNumberFormat="1" applyFont="1" applyFill="1" applyBorder="1" applyAlignment="1">
      <alignment horizontal="center" vertical="center" shrinkToFit="1"/>
    </xf>
    <xf numFmtId="0" fontId="28" fillId="10" borderId="0" xfId="0" applyFont="1" applyFill="1" applyAlignment="1">
      <alignment vertical="center" wrapText="1"/>
    </xf>
    <xf numFmtId="0" fontId="11" fillId="10" borderId="0" xfId="0" applyFont="1" applyFill="1" applyAlignment="1">
      <alignment vertical="center" wrapText="1"/>
    </xf>
    <xf numFmtId="0" fontId="11" fillId="11" borderId="0" xfId="0" applyFont="1" applyFill="1" applyAlignment="1">
      <alignment vertical="center" wrapText="1"/>
    </xf>
    <xf numFmtId="0" fontId="0" fillId="10" borderId="0" xfId="0" applyFont="1" applyFill="1" applyAlignment="1">
      <alignment vertical="center" wrapText="1"/>
    </xf>
    <xf numFmtId="0" fontId="28" fillId="10" borderId="0" xfId="0" applyFont="1" applyFill="1" applyAlignment="1">
      <alignment horizontal="center" vertical="center" wrapText="1"/>
    </xf>
    <xf numFmtId="176" fontId="17" fillId="10" borderId="0" xfId="0" applyNumberFormat="1" applyFont="1" applyFill="1" applyAlignment="1">
      <alignment horizontal="center" vertical="center" wrapText="1"/>
    </xf>
    <xf numFmtId="0" fontId="29" fillId="10" borderId="0" xfId="0" applyNumberFormat="1" applyFont="1" applyFill="1" applyBorder="1" applyAlignment="1" applyProtection="1">
      <alignment horizontal="center" vertical="center" wrapText="1"/>
    </xf>
    <xf numFmtId="176" fontId="27" fillId="10" borderId="0" xfId="0" applyNumberFormat="1" applyFont="1" applyFill="1" applyBorder="1" applyAlignment="1" applyProtection="1">
      <alignment horizontal="center" vertical="center" wrapText="1"/>
    </xf>
    <xf numFmtId="0" fontId="17" fillId="10" borderId="1" xfId="0" applyNumberFormat="1" applyFont="1" applyFill="1" applyBorder="1" applyAlignment="1" applyProtection="1">
      <alignment horizontal="center" vertical="center" wrapText="1"/>
    </xf>
    <xf numFmtId="176" fontId="17" fillId="10" borderId="1" xfId="0" applyNumberFormat="1" applyFont="1" applyFill="1" applyBorder="1" applyAlignment="1" applyProtection="1">
      <alignment horizontal="center" vertical="center" wrapText="1"/>
    </xf>
    <xf numFmtId="0" fontId="17" fillId="11" borderId="1" xfId="0" applyNumberFormat="1" applyFont="1" applyFill="1" applyBorder="1" applyAlignment="1" applyProtection="1">
      <alignment horizontal="center" vertical="center" wrapText="1"/>
    </xf>
    <xf numFmtId="176" fontId="17" fillId="11" borderId="1" xfId="0" applyNumberFormat="1" applyFont="1" applyFill="1" applyBorder="1" applyAlignment="1" applyProtection="1">
      <alignment horizontal="center" vertical="center" wrapText="1"/>
    </xf>
    <xf numFmtId="176" fontId="17" fillId="11" borderId="1" xfId="0" applyNumberFormat="1" applyFont="1" applyFill="1" applyBorder="1" applyAlignment="1">
      <alignment horizontal="center" vertical="center" wrapText="1"/>
    </xf>
    <xf numFmtId="0" fontId="17" fillId="10" borderId="1" xfId="0" applyNumberFormat="1" applyFont="1" applyFill="1" applyBorder="1" applyAlignment="1" applyProtection="1">
      <alignment horizontal="left" vertical="center" wrapText="1"/>
    </xf>
    <xf numFmtId="177" fontId="30" fillId="0" borderId="1" xfId="65" applyNumberFormat="1" applyFont="1" applyFill="1" applyBorder="1" applyAlignment="1">
      <alignment horizontal="left" vertical="center" wrapText="1"/>
    </xf>
    <xf numFmtId="177" fontId="30" fillId="0" borderId="1" xfId="65" applyNumberFormat="1" applyFont="1" applyFill="1" applyBorder="1" applyAlignment="1">
      <alignment horizontal="center" vertical="center" wrapText="1"/>
    </xf>
    <xf numFmtId="0" fontId="30" fillId="0" borderId="1" xfId="66" applyFont="1" applyFill="1" applyBorder="1" applyAlignment="1">
      <alignment horizontal="left" vertical="center" wrapText="1"/>
    </xf>
    <xf numFmtId="0" fontId="30" fillId="12" borderId="1" xfId="66"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176" fontId="17" fillId="0" borderId="1" xfId="0" applyNumberFormat="1" applyFont="1" applyFill="1" applyBorder="1" applyAlignment="1" applyProtection="1">
      <alignment horizontal="center" vertical="center" wrapText="1"/>
    </xf>
    <xf numFmtId="0" fontId="17" fillId="4" borderId="1" xfId="0" applyFont="1" applyFill="1" applyBorder="1" applyAlignment="1">
      <alignment vertical="center" wrapText="1"/>
    </xf>
    <xf numFmtId="0" fontId="17" fillId="10" borderId="1" xfId="0" applyFont="1" applyFill="1" applyBorder="1" applyAlignment="1">
      <alignment horizontal="center" vertical="center" wrapText="1"/>
    </xf>
    <xf numFmtId="0" fontId="17" fillId="10" borderId="1" xfId="0" applyFont="1" applyFill="1" applyBorder="1" applyAlignment="1">
      <alignment vertical="center" wrapText="1"/>
    </xf>
    <xf numFmtId="0" fontId="17" fillId="0" borderId="1" xfId="0" applyNumberFormat="1" applyFont="1" applyFill="1" applyBorder="1" applyAlignment="1" applyProtection="1">
      <alignment horizontal="left" vertical="center" wrapText="1"/>
    </xf>
    <xf numFmtId="0" fontId="31" fillId="0"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left" vertical="center" wrapText="1"/>
    </xf>
    <xf numFmtId="176" fontId="21" fillId="0" borderId="0" xfId="0" applyNumberFormat="1" applyFont="1" applyFill="1" applyAlignment="1">
      <alignment vertical="center" wrapText="1"/>
    </xf>
    <xf numFmtId="176" fontId="31" fillId="10" borderId="1" xfId="0" applyNumberFormat="1" applyFont="1" applyFill="1" applyBorder="1" applyAlignment="1" applyProtection="1">
      <alignment horizontal="center" vertical="center" wrapText="1"/>
    </xf>
    <xf numFmtId="176" fontId="31" fillId="10" borderId="1" xfId="0" applyNumberFormat="1" applyFont="1" applyFill="1" applyBorder="1" applyAlignment="1">
      <alignment horizontal="center" vertical="center" wrapText="1"/>
    </xf>
    <xf numFmtId="0" fontId="30" fillId="4" borderId="1" xfId="66" applyFont="1" applyFill="1" applyBorder="1" applyAlignment="1">
      <alignment horizontal="left" vertical="center" wrapText="1"/>
    </xf>
    <xf numFmtId="176" fontId="17" fillId="10" borderId="1" xfId="3" applyNumberFormat="1" applyFont="1" applyFill="1" applyBorder="1" applyAlignment="1">
      <alignment horizontal="center" vertical="center" wrapText="1"/>
    </xf>
    <xf numFmtId="0" fontId="32" fillId="0" borderId="1" xfId="0" applyFont="1" applyBorder="1" applyAlignment="1">
      <alignment vertical="center" wrapText="1"/>
    </xf>
    <xf numFmtId="176" fontId="22" fillId="10" borderId="1" xfId="73" applyNumberFormat="1" applyFont="1" applyFill="1" applyBorder="1" applyAlignment="1" applyProtection="1">
      <alignment horizontal="center" vertical="center" wrapText="1"/>
    </xf>
    <xf numFmtId="0" fontId="33" fillId="0" borderId="1" xfId="0" applyFont="1" applyBorder="1" applyAlignment="1">
      <alignment vertical="center" wrapText="1"/>
    </xf>
    <xf numFmtId="0" fontId="34" fillId="0" borderId="1" xfId="0" applyFont="1" applyBorder="1" applyAlignment="1">
      <alignment vertical="center" wrapText="1"/>
    </xf>
    <xf numFmtId="176" fontId="17" fillId="10" borderId="5" xfId="0" applyNumberFormat="1" applyFont="1" applyFill="1" applyBorder="1" applyAlignment="1">
      <alignment horizontal="center" vertical="center" wrapText="1"/>
    </xf>
    <xf numFmtId="176" fontId="35" fillId="0" borderId="0" xfId="0" applyNumberFormat="1" applyFont="1" applyFill="1" applyAlignment="1">
      <alignment vertical="center" wrapText="1"/>
    </xf>
    <xf numFmtId="0" fontId="31" fillId="10" borderId="1" xfId="0" applyNumberFormat="1" applyFont="1" applyFill="1" applyBorder="1" applyAlignment="1" applyProtection="1">
      <alignment horizontal="center" vertical="center" wrapText="1"/>
    </xf>
    <xf numFmtId="0" fontId="17" fillId="10" borderId="2" xfId="0" applyNumberFormat="1" applyFont="1" applyFill="1" applyBorder="1" applyAlignment="1" applyProtection="1">
      <alignment horizontal="left" vertical="center" wrapText="1"/>
    </xf>
    <xf numFmtId="0" fontId="17" fillId="10" borderId="2" xfId="0" applyNumberFormat="1" applyFont="1" applyFill="1" applyBorder="1" applyAlignment="1" applyProtection="1">
      <alignment horizontal="center" vertical="center" wrapText="1"/>
    </xf>
    <xf numFmtId="176" fontId="35" fillId="10" borderId="1" xfId="0" applyNumberFormat="1" applyFont="1" applyFill="1" applyBorder="1" applyAlignment="1">
      <alignment vertical="center" wrapText="1"/>
    </xf>
    <xf numFmtId="0" fontId="17" fillId="8" borderId="1" xfId="0" applyNumberFormat="1" applyFont="1" applyFill="1" applyBorder="1" applyAlignment="1" applyProtection="1">
      <alignment horizontal="center" vertical="center" wrapText="1"/>
    </xf>
    <xf numFmtId="0" fontId="17" fillId="8" borderId="1" xfId="0" applyNumberFormat="1" applyFont="1" applyFill="1" applyBorder="1" applyAlignment="1" applyProtection="1">
      <alignment horizontal="left" vertical="center" wrapText="1"/>
    </xf>
    <xf numFmtId="176" fontId="35" fillId="10" borderId="1" xfId="0" applyNumberFormat="1" applyFont="1" applyFill="1" applyBorder="1" applyAlignment="1">
      <alignment horizontal="center" vertical="center" wrapText="1"/>
    </xf>
    <xf numFmtId="0" fontId="17" fillId="10" borderId="4" xfId="0" applyNumberFormat="1" applyFont="1" applyFill="1" applyBorder="1" applyAlignment="1" applyProtection="1">
      <alignment horizontal="left" vertical="center" wrapText="1"/>
    </xf>
    <xf numFmtId="0" fontId="17" fillId="10" borderId="4" xfId="0" applyNumberFormat="1" applyFont="1" applyFill="1" applyBorder="1" applyAlignment="1" applyProtection="1">
      <alignment horizontal="center" vertical="center" wrapText="1"/>
    </xf>
    <xf numFmtId="176" fontId="35" fillId="10" borderId="0" xfId="0" applyNumberFormat="1" applyFont="1" applyFill="1" applyAlignment="1">
      <alignment horizontal="center" vertical="center" wrapText="1"/>
    </xf>
    <xf numFmtId="176" fontId="31" fillId="0" borderId="1" xfId="0" applyNumberFormat="1" applyFont="1" applyFill="1" applyBorder="1" applyAlignment="1" applyProtection="1">
      <alignment horizontal="center" vertical="center" wrapText="1"/>
    </xf>
    <xf numFmtId="0" fontId="31" fillId="8" borderId="1" xfId="0" applyNumberFormat="1" applyFont="1" applyFill="1" applyBorder="1" applyAlignment="1" applyProtection="1">
      <alignment horizontal="center" vertical="center" wrapText="1"/>
    </xf>
    <xf numFmtId="0" fontId="0" fillId="0" borderId="0" xfId="0" applyFill="1">
      <alignment vertical="center"/>
    </xf>
    <xf numFmtId="176" fontId="0" fillId="0" borderId="0" xfId="0" applyNumberFormat="1" applyFill="1">
      <alignment vertical="center"/>
    </xf>
    <xf numFmtId="0" fontId="0" fillId="0" borderId="0" xfId="0" applyFill="1" applyAlignment="1">
      <alignment horizontal="center" vertical="center"/>
    </xf>
    <xf numFmtId="0" fontId="29" fillId="0" borderId="1"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left" vertical="center" wrapText="1"/>
    </xf>
    <xf numFmtId="176" fontId="29" fillId="0"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lignment vertical="center"/>
    </xf>
    <xf numFmtId="176" fontId="0" fillId="0" borderId="1" xfId="0" applyNumberFormat="1" applyFill="1" applyBorder="1">
      <alignmen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wrapText="1"/>
    </xf>
    <xf numFmtId="176" fontId="0" fillId="0" borderId="4" xfId="0" applyNumberFormat="1" applyFill="1" applyBorder="1" applyAlignment="1">
      <alignment horizontal="center" vertical="center"/>
    </xf>
    <xf numFmtId="0" fontId="0" fillId="0" borderId="6" xfId="0" applyFill="1" applyBorder="1">
      <alignment vertical="center"/>
    </xf>
    <xf numFmtId="176" fontId="0" fillId="0" borderId="2" xfId="0" applyNumberFormat="1" applyFill="1" applyBorder="1" applyAlignment="1">
      <alignment horizontal="center" vertical="center"/>
    </xf>
    <xf numFmtId="0" fontId="11" fillId="0" borderId="0" xfId="0" applyNumberFormat="1" applyFont="1" applyFill="1" applyBorder="1" applyAlignment="1">
      <alignment vertical="center" wrapText="1"/>
    </xf>
    <xf numFmtId="0" fontId="11" fillId="0" borderId="0" xfId="0" applyFont="1" applyFill="1" applyBorder="1" applyAlignment="1">
      <alignment vertical="center"/>
    </xf>
    <xf numFmtId="0" fontId="36" fillId="0" borderId="0" xfId="0" applyFont="1" applyFill="1" applyAlignment="1">
      <alignment horizontal="center" vertical="center"/>
    </xf>
    <xf numFmtId="49" fontId="37" fillId="0" borderId="1" xfId="67" applyNumberFormat="1" applyFont="1" applyFill="1" applyBorder="1" applyAlignment="1" applyProtection="1">
      <alignment horizontal="left" vertical="center"/>
    </xf>
    <xf numFmtId="49" fontId="37" fillId="0" borderId="1" xfId="67" applyNumberFormat="1" applyFont="1" applyFill="1" applyBorder="1" applyAlignment="1" applyProtection="1">
      <alignment horizontal="left" vertical="center" wrapText="1"/>
    </xf>
    <xf numFmtId="0" fontId="36" fillId="0" borderId="0" xfId="0" applyFont="1" applyFill="1" applyBorder="1" applyAlignment="1">
      <alignment horizontal="center" vertical="center"/>
    </xf>
    <xf numFmtId="0" fontId="18" fillId="0" borderId="1" xfId="68" applyFont="1" applyFill="1" applyBorder="1" applyAlignment="1" applyProtection="1">
      <alignment horizontal="center" vertical="center"/>
    </xf>
    <xf numFmtId="0" fontId="18" fillId="0" borderId="1" xfId="67" applyNumberFormat="1" applyFont="1" applyFill="1" applyBorder="1" applyAlignment="1" applyProtection="1">
      <alignment horizontal="left" vertical="center" wrapText="1"/>
    </xf>
    <xf numFmtId="0" fontId="38" fillId="0" borderId="0" xfId="0" applyNumberFormat="1" applyFont="1" applyFill="1" applyBorder="1" applyAlignment="1">
      <alignment horizontal="justify" vertical="center" wrapText="1"/>
    </xf>
    <xf numFmtId="0" fontId="19" fillId="0" borderId="1" xfId="71" applyNumberFormat="1" applyFont="1" applyFill="1" applyBorder="1" applyAlignment="1" applyProtection="1">
      <alignment horizontal="justify" vertical="center" wrapText="1"/>
    </xf>
    <xf numFmtId="0" fontId="18" fillId="0" borderId="1" xfId="70" applyNumberFormat="1" applyFont="1" applyFill="1" applyBorder="1" applyAlignment="1" applyProtection="1">
      <alignment horizontal="center" vertical="center"/>
    </xf>
    <xf numFmtId="0" fontId="18" fillId="0" borderId="1" xfId="69" applyNumberFormat="1" applyFont="1" applyFill="1" applyBorder="1" applyAlignment="1" applyProtection="1">
      <alignment vertical="center" wrapText="1"/>
    </xf>
    <xf numFmtId="0" fontId="38" fillId="0" borderId="0" xfId="0" applyNumberFormat="1" applyFont="1" applyFill="1" applyBorder="1" applyAlignment="1">
      <alignment horizontal="left" vertical="center" wrapText="1"/>
    </xf>
    <xf numFmtId="0" fontId="18" fillId="0" borderId="1" xfId="60" applyNumberFormat="1" applyFont="1" applyFill="1" applyBorder="1" applyAlignment="1" applyProtection="1">
      <alignment horizontal="left" vertical="center" wrapText="1"/>
    </xf>
    <xf numFmtId="0" fontId="18" fillId="0" borderId="1" xfId="69" applyNumberFormat="1" applyFont="1" applyFill="1" applyBorder="1" applyAlignment="1" applyProtection="1">
      <alignment horizontal="left" vertical="center" wrapText="1"/>
    </xf>
    <xf numFmtId="0" fontId="37" fillId="0" borderId="0" xfId="0" applyFont="1" applyFill="1" applyAlignment="1">
      <alignment horizontal="left" vertical="center"/>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3 2 2" xfId="51"/>
    <cellStyle name="3232 2" xfId="52"/>
    <cellStyle name="常规 7 2" xfId="53"/>
    <cellStyle name="常规 53" xfId="54"/>
    <cellStyle name="常规 3 2" xfId="55"/>
    <cellStyle name="常规 3 3" xfId="56"/>
    <cellStyle name="常规 53 2" xfId="57"/>
    <cellStyle name="3232" xfId="58"/>
    <cellStyle name="常规 2" xfId="59"/>
    <cellStyle name="表体数字 3 2 6 5 3 2" xfId="60"/>
    <cellStyle name="常规 3" xfId="61"/>
    <cellStyle name="常规 4" xfId="62"/>
    <cellStyle name="常规 5" xfId="63"/>
    <cellStyle name="常规 7" xfId="64"/>
    <cellStyle name="常规_金域蓝湾二期B6交楼标准测算500标准（090401唐文调整版）" xfId="65"/>
    <cellStyle name="常规_金色B8西户型装修费用080616" xfId="66"/>
    <cellStyle name="表体数字 3 2 6 6" xfId="67"/>
    <cellStyle name="常规 144 4" xfId="68"/>
    <cellStyle name="常规 10" xfId="69"/>
    <cellStyle name="?餑_x005f_x005f_x005f_x000c_睨_x005f_x005f_x005f_x0017__x005f_x005f_x005f_x000d_帼U_x005f_x005f_x005f_x0001_0_x005f_x005f_x005f_x0005_j'_x005f_x005f_x005f_x0007__x005f_x005f_x005f_x0001__x005f_x005f_x005f_x0001_ 3" xfId="70"/>
    <cellStyle name="常规 11" xfId="71"/>
    <cellStyle name="Normal" xfId="72"/>
    <cellStyle name="千位分隔 2" xfId="7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213360</xdr:colOff>
      <xdr:row>0</xdr:row>
      <xdr:rowOff>83185</xdr:rowOff>
    </xdr:from>
    <xdr:to>
      <xdr:col>4</xdr:col>
      <xdr:colOff>100330</xdr:colOff>
      <xdr:row>17</xdr:row>
      <xdr:rowOff>59055</xdr:rowOff>
    </xdr:to>
    <xdr:pic>
      <xdr:nvPicPr>
        <xdr:cNvPr id="3" name="图片 2"/>
        <xdr:cNvPicPr>
          <a:picLocks noChangeAspect="1"/>
        </xdr:cNvPicPr>
      </xdr:nvPicPr>
      <xdr:blipFill>
        <a:blip r:embed="rId1"/>
        <a:stretch>
          <a:fillRect/>
        </a:stretch>
      </xdr:blipFill>
      <xdr:spPr>
        <a:xfrm>
          <a:off x="213360" y="83185"/>
          <a:ext cx="2868295" cy="2890520"/>
        </a:xfrm>
        <a:prstGeom prst="rect">
          <a:avLst/>
        </a:prstGeom>
        <a:noFill/>
        <a:ln w="9525">
          <a:noFill/>
        </a:ln>
      </xdr:spPr>
    </xdr:pic>
    <xdr:clientData/>
  </xdr:twoCellAnchor>
  <xdr:twoCellAnchor editAs="oneCell">
    <xdr:from>
      <xdr:col>0</xdr:col>
      <xdr:colOff>635</xdr:colOff>
      <xdr:row>75</xdr:row>
      <xdr:rowOff>161925</xdr:rowOff>
    </xdr:from>
    <xdr:to>
      <xdr:col>4</xdr:col>
      <xdr:colOff>468630</xdr:colOff>
      <xdr:row>93</xdr:row>
      <xdr:rowOff>95250</xdr:rowOff>
    </xdr:to>
    <xdr:pic>
      <xdr:nvPicPr>
        <xdr:cNvPr id="6" name="图片 5"/>
        <xdr:cNvPicPr>
          <a:picLocks noChangeAspect="1"/>
        </xdr:cNvPicPr>
      </xdr:nvPicPr>
      <xdr:blipFill>
        <a:blip r:embed="rId2"/>
        <a:srcRect t="8996" b="35089"/>
        <a:stretch>
          <a:fillRect/>
        </a:stretch>
      </xdr:blipFill>
      <xdr:spPr>
        <a:xfrm>
          <a:off x="635" y="13020675"/>
          <a:ext cx="3449320" cy="3019425"/>
        </a:xfrm>
        <a:prstGeom prst="rect">
          <a:avLst/>
        </a:prstGeom>
        <a:noFill/>
        <a:ln w="9525">
          <a:noFill/>
        </a:ln>
      </xdr:spPr>
    </xdr:pic>
    <xdr:clientData/>
  </xdr:twoCellAnchor>
  <xdr:twoCellAnchor editAs="oneCell">
    <xdr:from>
      <xdr:col>4</xdr:col>
      <xdr:colOff>552450</xdr:colOff>
      <xdr:row>76</xdr:row>
      <xdr:rowOff>38100</xdr:rowOff>
    </xdr:from>
    <xdr:to>
      <xdr:col>7</xdr:col>
      <xdr:colOff>790575</xdr:colOff>
      <xdr:row>93</xdr:row>
      <xdr:rowOff>85725</xdr:rowOff>
    </xdr:to>
    <xdr:pic>
      <xdr:nvPicPr>
        <xdr:cNvPr id="7" name="图片 6"/>
        <xdr:cNvPicPr>
          <a:picLocks noChangeAspect="1"/>
        </xdr:cNvPicPr>
      </xdr:nvPicPr>
      <xdr:blipFill>
        <a:blip r:embed="rId3"/>
        <a:srcRect l="7228" t="10009" r="7265" b="34468"/>
        <a:stretch>
          <a:fillRect/>
        </a:stretch>
      </xdr:blipFill>
      <xdr:spPr>
        <a:xfrm>
          <a:off x="3533775" y="13068300"/>
          <a:ext cx="2914650" cy="2962275"/>
        </a:xfrm>
        <a:prstGeom prst="rect">
          <a:avLst/>
        </a:prstGeom>
        <a:noFill/>
        <a:ln w="9525">
          <a:noFill/>
        </a:ln>
      </xdr:spPr>
    </xdr:pic>
    <xdr:clientData/>
  </xdr:twoCellAnchor>
  <xdr:twoCellAnchor editAs="oneCell">
    <xdr:from>
      <xdr:col>0</xdr:col>
      <xdr:colOff>176530</xdr:colOff>
      <xdr:row>17</xdr:row>
      <xdr:rowOff>27940</xdr:rowOff>
    </xdr:from>
    <xdr:to>
      <xdr:col>3</xdr:col>
      <xdr:colOff>683895</xdr:colOff>
      <xdr:row>34</xdr:row>
      <xdr:rowOff>86360</xdr:rowOff>
    </xdr:to>
    <xdr:pic>
      <xdr:nvPicPr>
        <xdr:cNvPr id="2" name="图片 1"/>
        <xdr:cNvPicPr>
          <a:picLocks noChangeAspect="1"/>
        </xdr:cNvPicPr>
      </xdr:nvPicPr>
      <xdr:blipFill>
        <a:blip r:embed="rId4"/>
        <a:srcRect b="32204"/>
        <a:stretch>
          <a:fillRect/>
        </a:stretch>
      </xdr:blipFill>
      <xdr:spPr>
        <a:xfrm>
          <a:off x="176530" y="2942590"/>
          <a:ext cx="2802890" cy="2973070"/>
        </a:xfrm>
        <a:prstGeom prst="rect">
          <a:avLst/>
        </a:prstGeom>
        <a:noFill/>
        <a:ln w="9525">
          <a:noFill/>
        </a:ln>
      </xdr:spPr>
    </xdr:pic>
    <xdr:clientData/>
  </xdr:twoCellAnchor>
  <xdr:twoCellAnchor editAs="oneCell">
    <xdr:from>
      <xdr:col>4</xdr:col>
      <xdr:colOff>570230</xdr:colOff>
      <xdr:row>0</xdr:row>
      <xdr:rowOff>635</xdr:rowOff>
    </xdr:from>
    <xdr:to>
      <xdr:col>7</xdr:col>
      <xdr:colOff>757555</xdr:colOff>
      <xdr:row>17</xdr:row>
      <xdr:rowOff>75565</xdr:rowOff>
    </xdr:to>
    <xdr:pic>
      <xdr:nvPicPr>
        <xdr:cNvPr id="8" name="图片 7"/>
        <xdr:cNvPicPr>
          <a:picLocks noChangeAspect="1"/>
        </xdr:cNvPicPr>
      </xdr:nvPicPr>
      <xdr:blipFill>
        <a:blip r:embed="rId5"/>
        <a:srcRect b="33317"/>
        <a:stretch>
          <a:fillRect/>
        </a:stretch>
      </xdr:blipFill>
      <xdr:spPr>
        <a:xfrm>
          <a:off x="3551555" y="635"/>
          <a:ext cx="2863850" cy="2989580"/>
        </a:xfrm>
        <a:prstGeom prst="rect">
          <a:avLst/>
        </a:prstGeom>
        <a:noFill/>
        <a:ln w="9525">
          <a:noFill/>
        </a:ln>
      </xdr:spPr>
    </xdr:pic>
    <xdr:clientData/>
  </xdr:twoCellAnchor>
  <xdr:twoCellAnchor editAs="oneCell">
    <xdr:from>
      <xdr:col>4</xdr:col>
      <xdr:colOff>463550</xdr:colOff>
      <xdr:row>18</xdr:row>
      <xdr:rowOff>47625</xdr:rowOff>
    </xdr:from>
    <xdr:to>
      <xdr:col>7</xdr:col>
      <xdr:colOff>927735</xdr:colOff>
      <xdr:row>35</xdr:row>
      <xdr:rowOff>19050</xdr:rowOff>
    </xdr:to>
    <xdr:pic>
      <xdr:nvPicPr>
        <xdr:cNvPr id="9" name="图片 8"/>
        <xdr:cNvPicPr>
          <a:picLocks noChangeAspect="1"/>
        </xdr:cNvPicPr>
      </xdr:nvPicPr>
      <xdr:blipFill>
        <a:blip r:embed="rId6"/>
        <a:srcRect t="8150" b="33144"/>
        <a:stretch>
          <a:fillRect/>
        </a:stretch>
      </xdr:blipFill>
      <xdr:spPr>
        <a:xfrm>
          <a:off x="3444875" y="3133725"/>
          <a:ext cx="3140710" cy="2886075"/>
        </a:xfrm>
        <a:prstGeom prst="rect">
          <a:avLst/>
        </a:prstGeom>
        <a:noFill/>
        <a:ln w="9525">
          <a:noFill/>
        </a:ln>
      </xdr:spPr>
    </xdr:pic>
    <xdr:clientData/>
  </xdr:twoCellAnchor>
  <xdr:twoCellAnchor editAs="oneCell">
    <xdr:from>
      <xdr:col>0</xdr:col>
      <xdr:colOff>9525</xdr:colOff>
      <xdr:row>33</xdr:row>
      <xdr:rowOff>123825</xdr:rowOff>
    </xdr:from>
    <xdr:to>
      <xdr:col>4</xdr:col>
      <xdr:colOff>77470</xdr:colOff>
      <xdr:row>50</xdr:row>
      <xdr:rowOff>66675</xdr:rowOff>
    </xdr:to>
    <xdr:pic>
      <xdr:nvPicPr>
        <xdr:cNvPr id="10" name="图片 9"/>
        <xdr:cNvPicPr>
          <a:picLocks noChangeAspect="1"/>
        </xdr:cNvPicPr>
      </xdr:nvPicPr>
      <xdr:blipFill>
        <a:blip r:embed="rId7"/>
        <a:srcRect t="9708" b="32780"/>
        <a:stretch>
          <a:fillRect/>
        </a:stretch>
      </xdr:blipFill>
      <xdr:spPr>
        <a:xfrm>
          <a:off x="9525" y="5781675"/>
          <a:ext cx="3049270" cy="2857500"/>
        </a:xfrm>
        <a:prstGeom prst="rect">
          <a:avLst/>
        </a:prstGeom>
        <a:noFill/>
        <a:ln w="9525">
          <a:noFill/>
        </a:ln>
      </xdr:spPr>
    </xdr:pic>
    <xdr:clientData/>
  </xdr:twoCellAnchor>
  <xdr:twoCellAnchor editAs="oneCell">
    <xdr:from>
      <xdr:col>0</xdr:col>
      <xdr:colOff>180975</xdr:colOff>
      <xdr:row>103</xdr:row>
      <xdr:rowOff>123825</xdr:rowOff>
    </xdr:from>
    <xdr:to>
      <xdr:col>4</xdr:col>
      <xdr:colOff>95250</xdr:colOff>
      <xdr:row>123</xdr:row>
      <xdr:rowOff>104140</xdr:rowOff>
    </xdr:to>
    <xdr:pic>
      <xdr:nvPicPr>
        <xdr:cNvPr id="11" name="图片 10"/>
        <xdr:cNvPicPr>
          <a:picLocks noChangeAspect="1"/>
        </xdr:cNvPicPr>
      </xdr:nvPicPr>
      <xdr:blipFill>
        <a:blip r:embed="rId8"/>
        <a:srcRect l="11027" t="9153" r="12757" b="33514"/>
        <a:stretch>
          <a:fillRect/>
        </a:stretch>
      </xdr:blipFill>
      <xdr:spPr>
        <a:xfrm>
          <a:off x="180975" y="17783175"/>
          <a:ext cx="2895600" cy="3409315"/>
        </a:xfrm>
        <a:prstGeom prst="rect">
          <a:avLst/>
        </a:prstGeom>
        <a:noFill/>
        <a:ln w="9525">
          <a:noFill/>
        </a:ln>
      </xdr:spPr>
    </xdr:pic>
    <xdr:clientData/>
  </xdr:twoCellAnchor>
  <xdr:twoCellAnchor editAs="oneCell">
    <xdr:from>
      <xdr:col>4</xdr:col>
      <xdr:colOff>638175</xdr:colOff>
      <xdr:row>103</xdr:row>
      <xdr:rowOff>161925</xdr:rowOff>
    </xdr:from>
    <xdr:to>
      <xdr:col>7</xdr:col>
      <xdr:colOff>800100</xdr:colOff>
      <xdr:row>123</xdr:row>
      <xdr:rowOff>143510</xdr:rowOff>
    </xdr:to>
    <xdr:pic>
      <xdr:nvPicPr>
        <xdr:cNvPr id="12" name="图片 11"/>
        <xdr:cNvPicPr>
          <a:picLocks noChangeAspect="1"/>
        </xdr:cNvPicPr>
      </xdr:nvPicPr>
      <xdr:blipFill>
        <a:blip r:embed="rId9"/>
        <a:srcRect l="10716" t="8929" r="12971" b="32500"/>
        <a:stretch>
          <a:fillRect/>
        </a:stretch>
      </xdr:blipFill>
      <xdr:spPr>
        <a:xfrm>
          <a:off x="3619500" y="17821275"/>
          <a:ext cx="2838450" cy="3410585"/>
        </a:xfrm>
        <a:prstGeom prst="rect">
          <a:avLst/>
        </a:prstGeom>
        <a:noFill/>
        <a:ln w="9525">
          <a:noFill/>
        </a:ln>
      </xdr:spPr>
    </xdr:pic>
    <xdr:clientData/>
  </xdr:twoCellAnchor>
  <xdr:twoCellAnchor editAs="oneCell">
    <xdr:from>
      <xdr:col>4</xdr:col>
      <xdr:colOff>638810</xdr:colOff>
      <xdr:row>35</xdr:row>
      <xdr:rowOff>85090</xdr:rowOff>
    </xdr:from>
    <xdr:to>
      <xdr:col>7</xdr:col>
      <xdr:colOff>353695</xdr:colOff>
      <xdr:row>49</xdr:row>
      <xdr:rowOff>76835</xdr:rowOff>
    </xdr:to>
    <xdr:pic>
      <xdr:nvPicPr>
        <xdr:cNvPr id="13" name="图片 12"/>
        <xdr:cNvPicPr>
          <a:picLocks noChangeAspect="1"/>
        </xdr:cNvPicPr>
      </xdr:nvPicPr>
      <xdr:blipFill>
        <a:blip r:embed="rId10"/>
        <a:stretch>
          <a:fillRect/>
        </a:stretch>
      </xdr:blipFill>
      <xdr:spPr>
        <a:xfrm>
          <a:off x="3620135" y="6085840"/>
          <a:ext cx="2391410" cy="2392045"/>
        </a:xfrm>
        <a:prstGeom prst="rect">
          <a:avLst/>
        </a:prstGeom>
        <a:noFill/>
        <a:ln w="9525">
          <a:noFill/>
        </a:ln>
      </xdr:spPr>
    </xdr:pic>
    <xdr:clientData/>
  </xdr:twoCellAnchor>
  <xdr:twoCellAnchor editAs="oneCell">
    <xdr:from>
      <xdr:col>0</xdr:col>
      <xdr:colOff>275590</xdr:colOff>
      <xdr:row>53</xdr:row>
      <xdr:rowOff>37465</xdr:rowOff>
    </xdr:from>
    <xdr:to>
      <xdr:col>4</xdr:col>
      <xdr:colOff>133985</xdr:colOff>
      <xdr:row>69</xdr:row>
      <xdr:rowOff>133985</xdr:rowOff>
    </xdr:to>
    <xdr:pic>
      <xdr:nvPicPr>
        <xdr:cNvPr id="14" name="图片 13"/>
        <xdr:cNvPicPr>
          <a:picLocks noChangeAspect="1"/>
        </xdr:cNvPicPr>
      </xdr:nvPicPr>
      <xdr:blipFill>
        <a:blip r:embed="rId11"/>
        <a:stretch>
          <a:fillRect/>
        </a:stretch>
      </xdr:blipFill>
      <xdr:spPr>
        <a:xfrm>
          <a:off x="275590" y="9124315"/>
          <a:ext cx="2839720" cy="2839720"/>
        </a:xfrm>
        <a:prstGeom prst="rect">
          <a:avLst/>
        </a:prstGeom>
        <a:noFill/>
        <a:ln w="9525">
          <a:noFill/>
        </a:ln>
      </xdr:spPr>
    </xdr:pic>
    <xdr:clientData/>
  </xdr:twoCellAnchor>
  <xdr:twoCellAnchor editAs="oneCell">
    <xdr:from>
      <xdr:col>4</xdr:col>
      <xdr:colOff>238760</xdr:colOff>
      <xdr:row>52</xdr:row>
      <xdr:rowOff>85725</xdr:rowOff>
    </xdr:from>
    <xdr:to>
      <xdr:col>7</xdr:col>
      <xdr:colOff>848360</xdr:colOff>
      <xdr:row>69</xdr:row>
      <xdr:rowOff>95250</xdr:rowOff>
    </xdr:to>
    <xdr:pic>
      <xdr:nvPicPr>
        <xdr:cNvPr id="15" name="图片 14"/>
        <xdr:cNvPicPr>
          <a:picLocks noChangeAspect="1"/>
        </xdr:cNvPicPr>
      </xdr:nvPicPr>
      <xdr:blipFill>
        <a:blip r:embed="rId12"/>
        <a:srcRect t="9074" b="34074"/>
        <a:stretch>
          <a:fillRect/>
        </a:stretch>
      </xdr:blipFill>
      <xdr:spPr>
        <a:xfrm>
          <a:off x="3220085" y="9001125"/>
          <a:ext cx="3286125" cy="29241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947;&#21457;\16#\16#&#21806;&#27004;&#37096;&#38472;&#38745;&#38686;&#20132;&#25509;\2.&#30333;&#40557;&#22253;16&#21495;&#38498;&#39033;&#30446;&#21806;&#27004;&#37096;+&#26679;&#26495;&#38388;\1.&#21512;&#21516;&#21450;&#21512;&#21516;&#28165;&#21333;\1&#12289;&#23460;&#20869;&#30828;&#35013;\&#28207;&#21306;16&#21495;&#22320;&#22359;&#30333;&#40557;&#22253;&#26149;&#26195;&#21806;&#27004;&#37096;&#35013;&#39280;&#35013;&#20462;&#24037;&#31243;-&#25307;&#26631;&#28165;&#21333;2015-5-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封面"/>
      <sheetName val="1编制说明"/>
      <sheetName val="2工程造价汇总表"/>
      <sheetName val="3一层售楼部硬装"/>
      <sheetName val="4二层办公司硬装"/>
      <sheetName val="5主要材料清单"/>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3"/>
  <sheetViews>
    <sheetView view="pageBreakPreview" zoomScaleNormal="100" topLeftCell="A6" workbookViewId="0">
      <selection activeCell="E8" sqref="E8"/>
    </sheetView>
  </sheetViews>
  <sheetFormatPr defaultColWidth="8.75" defaultRowHeight="14.25" outlineLevelCol="3"/>
  <cols>
    <col min="1" max="1" width="5.63333333333333" style="186" customWidth="1"/>
    <col min="2" max="2" width="82.1333333333333" style="186" customWidth="1"/>
    <col min="3" max="3" width="9" style="186"/>
    <col min="4" max="4" width="9" style="186" customWidth="1"/>
    <col min="5" max="31" width="9" style="186"/>
    <col min="32" max="16384" width="8.75" style="186"/>
  </cols>
  <sheetData>
    <row r="1" ht="25" customHeight="1" spans="1:2">
      <c r="A1" s="187" t="s">
        <v>0</v>
      </c>
      <c r="B1" s="187"/>
    </row>
    <row r="2" s="185" customFormat="1" ht="23" customHeight="1" spans="1:4">
      <c r="A2" s="188" t="s">
        <v>1</v>
      </c>
      <c r="B2" s="189"/>
      <c r="D2" s="190"/>
    </row>
    <row r="3" s="185" customFormat="1" ht="23" customHeight="1" spans="1:4">
      <c r="A3" s="191">
        <v>1</v>
      </c>
      <c r="B3" s="192" t="s">
        <v>2</v>
      </c>
      <c r="D3" s="193"/>
    </row>
    <row r="4" s="185" customFormat="1" ht="73" customHeight="1" spans="1:4">
      <c r="A4" s="191">
        <v>2</v>
      </c>
      <c r="B4" s="194" t="s">
        <v>3</v>
      </c>
      <c r="D4" s="193"/>
    </row>
    <row r="5" s="185" customFormat="1" ht="28" customHeight="1" spans="1:4">
      <c r="A5" s="188" t="s">
        <v>4</v>
      </c>
      <c r="B5" s="189"/>
      <c r="D5" s="193"/>
    </row>
    <row r="6" s="185" customFormat="1" ht="71" customHeight="1" spans="1:4">
      <c r="A6" s="195">
        <v>1</v>
      </c>
      <c r="B6" s="196" t="s">
        <v>5</v>
      </c>
      <c r="D6" s="193"/>
    </row>
    <row r="7" s="185" customFormat="1" ht="57" customHeight="1" spans="1:4">
      <c r="A7" s="195">
        <v>2</v>
      </c>
      <c r="B7" s="196" t="s">
        <v>6</v>
      </c>
      <c r="D7" s="193"/>
    </row>
    <row r="8" s="185" customFormat="1" ht="45" customHeight="1" spans="1:4">
      <c r="A8" s="195">
        <v>3</v>
      </c>
      <c r="B8" s="196" t="s">
        <v>7</v>
      </c>
      <c r="D8" s="193"/>
    </row>
    <row r="9" s="185" customFormat="1" ht="66" customHeight="1" spans="1:4">
      <c r="A9" s="195">
        <v>4</v>
      </c>
      <c r="B9" s="196" t="s">
        <v>8</v>
      </c>
      <c r="D9" s="197"/>
    </row>
    <row r="10" ht="39" customHeight="1" spans="1:4">
      <c r="A10" s="195">
        <v>5</v>
      </c>
      <c r="B10" s="198" t="s">
        <v>9</v>
      </c>
      <c r="D10" s="197"/>
    </row>
    <row r="11" ht="54" customHeight="1" spans="1:4">
      <c r="A11" s="195">
        <v>6</v>
      </c>
      <c r="B11" s="199" t="s">
        <v>10</v>
      </c>
      <c r="D11" s="197"/>
    </row>
    <row r="12" ht="47" customHeight="1" spans="1:2">
      <c r="A12" s="195">
        <v>7</v>
      </c>
      <c r="B12" s="199" t="s">
        <v>11</v>
      </c>
    </row>
    <row r="13" ht="44" customHeight="1" spans="1:2">
      <c r="A13" s="195">
        <v>8</v>
      </c>
      <c r="B13" s="199" t="s">
        <v>12</v>
      </c>
    </row>
    <row r="14" ht="24" customHeight="1" spans="1:2">
      <c r="A14" s="195">
        <v>9</v>
      </c>
      <c r="B14" s="199" t="s">
        <v>13</v>
      </c>
    </row>
    <row r="15" spans="1:2">
      <c r="A15" s="188" t="s">
        <v>14</v>
      </c>
      <c r="B15" s="189"/>
    </row>
    <row r="16" ht="50" customHeight="1" spans="1:2">
      <c r="A16" s="195">
        <v>1</v>
      </c>
      <c r="B16" s="192" t="s">
        <v>15</v>
      </c>
    </row>
    <row r="17" ht="22" customHeight="1" spans="1:2">
      <c r="A17" s="195">
        <v>2</v>
      </c>
      <c r="B17" s="192" t="s">
        <v>16</v>
      </c>
    </row>
    <row r="18" spans="1:2">
      <c r="A18" s="195">
        <v>3</v>
      </c>
      <c r="B18" s="192" t="s">
        <v>17</v>
      </c>
    </row>
    <row r="19" spans="1:2">
      <c r="A19" s="188" t="s">
        <v>18</v>
      </c>
      <c r="B19" s="189"/>
    </row>
    <row r="20" ht="41" customHeight="1" spans="1:2">
      <c r="A20" s="195">
        <v>1</v>
      </c>
      <c r="B20" s="192" t="s">
        <v>19</v>
      </c>
    </row>
    <row r="21" ht="40" customHeight="1" spans="1:2">
      <c r="A21" s="195">
        <v>2</v>
      </c>
      <c r="B21" s="192" t="s">
        <v>20</v>
      </c>
    </row>
    <row r="22" ht="40" customHeight="1" spans="1:2">
      <c r="A22" s="195">
        <v>3</v>
      </c>
      <c r="B22" s="192" t="s">
        <v>21</v>
      </c>
    </row>
    <row r="23" spans="1:2">
      <c r="A23" s="200" t="s">
        <v>22</v>
      </c>
      <c r="B23" s="200"/>
    </row>
  </sheetData>
  <mergeCells count="6">
    <mergeCell ref="A1:B1"/>
    <mergeCell ref="A2:B2"/>
    <mergeCell ref="A5:B5"/>
    <mergeCell ref="A15:B15"/>
    <mergeCell ref="A19:B19"/>
    <mergeCell ref="A23:B23"/>
  </mergeCells>
  <printOptions horizontalCentered="1"/>
  <pageMargins left="0.196527777777778" right="0.196527777777778" top="0.590277777777778" bottom="0.5902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view="pageBreakPreview" zoomScaleNormal="100" workbookViewId="0">
      <selection activeCell="J24" sqref="J24"/>
    </sheetView>
  </sheetViews>
  <sheetFormatPr defaultColWidth="9" defaultRowHeight="13.5" outlineLevelCol="6"/>
  <cols>
    <col min="1" max="1" width="5.13333333333333" style="168" customWidth="1"/>
    <col min="2" max="2" width="8.88333333333333" style="168" customWidth="1"/>
    <col min="3" max="3" width="19.3833333333333" style="168" customWidth="1"/>
    <col min="4" max="4" width="23.5" style="169" customWidth="1"/>
    <col min="5" max="5" width="21.6333333333333" style="170" customWidth="1"/>
    <col min="6" max="6" width="14.75" style="169" customWidth="1"/>
    <col min="7" max="7" width="8" style="168" customWidth="1"/>
    <col min="8" max="16384" width="9" style="168"/>
  </cols>
  <sheetData>
    <row r="1" ht="51" customHeight="1" spans="1:7">
      <c r="A1" s="171" t="s">
        <v>23</v>
      </c>
      <c r="B1" s="172"/>
      <c r="C1" s="171"/>
      <c r="D1" s="173"/>
      <c r="E1" s="173"/>
      <c r="F1" s="173"/>
      <c r="G1" s="173"/>
    </row>
    <row r="2" ht="42" customHeight="1" spans="1:7">
      <c r="A2" s="174" t="s">
        <v>24</v>
      </c>
      <c r="B2" s="174" t="s">
        <v>25</v>
      </c>
      <c r="C2" s="174" t="s">
        <v>26</v>
      </c>
      <c r="D2" s="175" t="s">
        <v>27</v>
      </c>
      <c r="E2" s="174" t="s">
        <v>28</v>
      </c>
      <c r="F2" s="175" t="s">
        <v>29</v>
      </c>
      <c r="G2" s="174" t="s">
        <v>30</v>
      </c>
    </row>
    <row r="3" ht="27" customHeight="1" spans="1:7">
      <c r="A3" s="176">
        <v>1</v>
      </c>
      <c r="B3" s="176" t="s">
        <v>31</v>
      </c>
      <c r="C3" s="177" t="str">
        <f>'户内精装修（硬装部分）'!B6</f>
        <v>地面</v>
      </c>
      <c r="D3" s="175">
        <f>+'户内精装修（硬装部分）'!L6</f>
        <v>5368.81519552</v>
      </c>
      <c r="E3" s="174">
        <v>1</v>
      </c>
      <c r="F3" s="178">
        <f>+D3*E3</f>
        <v>5368.81519552</v>
      </c>
      <c r="G3" s="177"/>
    </row>
    <row r="4" ht="27" customHeight="1" spans="1:7">
      <c r="A4" s="179"/>
      <c r="B4" s="179"/>
      <c r="C4" s="177" t="str">
        <f>'户内精装修（硬装部分）'!B19</f>
        <v>地暖</v>
      </c>
      <c r="D4" s="175">
        <f>+'户内精装修（硬装部分）'!L19</f>
        <v>2155.2100864</v>
      </c>
      <c r="E4" s="174">
        <v>1</v>
      </c>
      <c r="F4" s="178">
        <f>+D4*E4</f>
        <v>2155.2100864</v>
      </c>
      <c r="G4" s="177"/>
    </row>
    <row r="5" ht="27" customHeight="1" spans="1:7">
      <c r="A5" s="179"/>
      <c r="B5" s="179"/>
      <c r="C5" s="177" t="str">
        <f>'户内精装修（硬装部分）'!B21</f>
        <v>墙面</v>
      </c>
      <c r="D5" s="175">
        <f ca="1">+'户内精装修（硬装部分）'!L21</f>
        <v>22230.04076944</v>
      </c>
      <c r="E5" s="174">
        <v>1</v>
      </c>
      <c r="F5" s="178">
        <f ca="1">+D5*E5</f>
        <v>22230.04076944</v>
      </c>
      <c r="G5" s="177"/>
    </row>
    <row r="6" ht="27" customHeight="1" spans="1:7">
      <c r="A6" s="179"/>
      <c r="B6" s="179"/>
      <c r="C6" s="177" t="str">
        <f>'户内精装修（硬装部分）'!B35</f>
        <v>天花</v>
      </c>
      <c r="D6" s="175">
        <f ca="1">+'户内精装修（硬装部分）'!L35</f>
        <v>2801.784832</v>
      </c>
      <c r="E6" s="174">
        <v>1</v>
      </c>
      <c r="F6" s="178">
        <f ca="1">+D6*E6</f>
        <v>2801.784832</v>
      </c>
      <c r="G6" s="177"/>
    </row>
    <row r="7" ht="27" customHeight="1" spans="1:7">
      <c r="A7" s="179"/>
      <c r="B7" s="179"/>
      <c r="C7" s="177" t="s">
        <v>32</v>
      </c>
      <c r="D7" s="175">
        <f>安装!N167</f>
        <v>16084.104848896</v>
      </c>
      <c r="E7" s="174">
        <v>1</v>
      </c>
      <c r="F7" s="178">
        <f>+D7*E7</f>
        <v>16084.104848896</v>
      </c>
      <c r="G7" s="177"/>
    </row>
    <row r="8" ht="27" customHeight="1" spans="1:7">
      <c r="A8" s="179"/>
      <c r="B8" s="179"/>
      <c r="C8" s="177" t="s">
        <v>33</v>
      </c>
      <c r="D8" s="175"/>
      <c r="E8" s="174"/>
      <c r="F8" s="178">
        <f ca="1">SUM(F3:F7)</f>
        <v>48639.955732256</v>
      </c>
      <c r="G8" s="177"/>
    </row>
    <row r="9" ht="27" customHeight="1" spans="1:7">
      <c r="A9" s="180"/>
      <c r="B9" s="180"/>
      <c r="C9" s="177" t="s">
        <v>34</v>
      </c>
      <c r="D9" s="175" t="s">
        <v>35</v>
      </c>
      <c r="E9" s="174">
        <v>4</v>
      </c>
      <c r="F9" s="178">
        <f ca="1">+F8*E9</f>
        <v>194559.822929024</v>
      </c>
      <c r="G9" s="177"/>
    </row>
    <row r="10" ht="21" customHeight="1" spans="1:7">
      <c r="A10" s="176">
        <v>2</v>
      </c>
      <c r="B10" s="181" t="s">
        <v>36</v>
      </c>
      <c r="C10" s="177" t="str">
        <f>'户内精装修（硬装部分）'!B43</f>
        <v>地面</v>
      </c>
      <c r="D10" s="175">
        <f>+'户内精装修（硬装部分）'!L43</f>
        <v>7016.7604192</v>
      </c>
      <c r="E10" s="174">
        <v>1</v>
      </c>
      <c r="F10" s="178">
        <f>+D10*E10</f>
        <v>7016.7604192</v>
      </c>
      <c r="G10" s="177"/>
    </row>
    <row r="11" ht="21" customHeight="1" spans="1:7">
      <c r="A11" s="179"/>
      <c r="B11" s="179"/>
      <c r="C11" s="177" t="str">
        <f>'户内精装修（硬装部分）'!B57</f>
        <v>地暖</v>
      </c>
      <c r="D11" s="175">
        <f>+'户内精装修（硬装部分）'!L57</f>
        <v>3075.7518848</v>
      </c>
      <c r="E11" s="174">
        <v>1</v>
      </c>
      <c r="F11" s="178">
        <f>+D11*E11</f>
        <v>3075.7518848</v>
      </c>
      <c r="G11" s="177"/>
    </row>
    <row r="12" ht="21" customHeight="1" spans="1:7">
      <c r="A12" s="179"/>
      <c r="B12" s="179"/>
      <c r="C12" s="177" t="str">
        <f>'户内精装修（硬装部分）'!B59</f>
        <v>墙面</v>
      </c>
      <c r="D12" s="175">
        <f ca="1">+'户内精装修（硬装部分）'!L59</f>
        <v>22472.606477888</v>
      </c>
      <c r="E12" s="174">
        <v>1</v>
      </c>
      <c r="F12" s="178">
        <f ca="1">+D12*E12</f>
        <v>22472.606477888</v>
      </c>
      <c r="G12" s="177"/>
    </row>
    <row r="13" ht="21" customHeight="1" spans="1:7">
      <c r="A13" s="179"/>
      <c r="B13" s="179"/>
      <c r="C13" s="177" t="str">
        <f>'户内精装修（硬装部分）'!B74</f>
        <v>天花</v>
      </c>
      <c r="D13" s="175">
        <f>+'户内精装修（硬装部分）'!L74</f>
        <v>3468.457608</v>
      </c>
      <c r="E13" s="174">
        <v>1</v>
      </c>
      <c r="F13" s="178">
        <f>+D13*E13</f>
        <v>3468.457608</v>
      </c>
      <c r="G13" s="177"/>
    </row>
    <row r="14" ht="21" customHeight="1" spans="1:7">
      <c r="A14" s="179"/>
      <c r="B14" s="179"/>
      <c r="C14" s="177" t="s">
        <v>32</v>
      </c>
      <c r="D14" s="175">
        <f>+安装!N59</f>
        <v>17125.213276472</v>
      </c>
      <c r="E14" s="174">
        <v>1</v>
      </c>
      <c r="F14" s="178">
        <f>+D14*E14</f>
        <v>17125.213276472</v>
      </c>
      <c r="G14" s="177"/>
    </row>
    <row r="15" ht="21" customHeight="1" spans="1:7">
      <c r="A15" s="179"/>
      <c r="B15" s="179"/>
      <c r="C15" s="168" t="s">
        <v>33</v>
      </c>
      <c r="D15" s="182"/>
      <c r="E15" s="174">
        <v>1</v>
      </c>
      <c r="F15" s="178">
        <f ca="1">SUM(F10:F14)</f>
        <v>53158.78966636</v>
      </c>
      <c r="G15" s="177"/>
    </row>
    <row r="16" ht="21" customHeight="1" spans="1:7">
      <c r="A16" s="179"/>
      <c r="B16" s="179"/>
      <c r="C16" s="177" t="s">
        <v>34</v>
      </c>
      <c r="D16" s="175" t="s">
        <v>35</v>
      </c>
      <c r="E16" s="174">
        <v>10</v>
      </c>
      <c r="F16" s="178">
        <f ca="1">+F15*E16</f>
        <v>531587.8966636</v>
      </c>
      <c r="G16" s="177"/>
    </row>
    <row r="17" ht="24" customHeight="1" spans="1:7">
      <c r="A17" s="176">
        <v>3</v>
      </c>
      <c r="B17" s="181" t="s">
        <v>37</v>
      </c>
      <c r="C17" s="177" t="str">
        <f>'户内精装修（硬装部分）'!B82</f>
        <v>地面</v>
      </c>
      <c r="D17" s="175">
        <f ca="1">'户内精装修（硬装部分）'!L82</f>
        <v>11823.24174584</v>
      </c>
      <c r="E17" s="174">
        <v>1</v>
      </c>
      <c r="F17" s="178">
        <f ca="1">+D17*E17</f>
        <v>11823.24174584</v>
      </c>
      <c r="G17" s="177"/>
    </row>
    <row r="18" ht="24" customHeight="1" spans="1:7">
      <c r="A18" s="179"/>
      <c r="B18" s="179"/>
      <c r="C18" s="177" t="str">
        <f>'户内精装修（硬装部分）'!B96</f>
        <v>地暖</v>
      </c>
      <c r="D18" s="175">
        <f>'户内精装修（硬装部分）'!L96</f>
        <v>4661.50272</v>
      </c>
      <c r="E18" s="174">
        <v>1</v>
      </c>
      <c r="F18" s="178">
        <f>+D18*E18</f>
        <v>4661.50272</v>
      </c>
      <c r="G18" s="177"/>
    </row>
    <row r="19" ht="24" customHeight="1" spans="1:7">
      <c r="A19" s="179"/>
      <c r="B19" s="179"/>
      <c r="C19" s="177" t="str">
        <f>'户内精装修（硬装部分）'!B98</f>
        <v>墙面</v>
      </c>
      <c r="D19" s="175">
        <f ca="1">'户内精装修（硬装部分）'!L98</f>
        <v>28490.2209290272</v>
      </c>
      <c r="E19" s="174">
        <v>1</v>
      </c>
      <c r="F19" s="178">
        <f ca="1">+D19*E19</f>
        <v>28490.2209290272</v>
      </c>
      <c r="G19" s="177"/>
    </row>
    <row r="20" ht="24" customHeight="1" spans="1:7">
      <c r="A20" s="179"/>
      <c r="B20" s="179"/>
      <c r="C20" s="177" t="str">
        <f>'户内精装修（硬装部分）'!B116</f>
        <v>天花</v>
      </c>
      <c r="D20" s="175">
        <f>'户内精装修（硬装部分）'!L116</f>
        <v>5467.50320256</v>
      </c>
      <c r="E20" s="174">
        <v>1</v>
      </c>
      <c r="F20" s="178">
        <f>+D20*E20</f>
        <v>5467.50320256</v>
      </c>
      <c r="G20" s="177"/>
    </row>
    <row r="21" ht="24" customHeight="1" spans="1:7">
      <c r="A21" s="179"/>
      <c r="B21" s="179"/>
      <c r="C21" s="183" t="s">
        <v>32</v>
      </c>
      <c r="D21" s="175">
        <f>安装!N114</f>
        <v>18598.724400592</v>
      </c>
      <c r="E21" s="174">
        <v>1</v>
      </c>
      <c r="F21" s="178">
        <f>+D21*E21</f>
        <v>18598.724400592</v>
      </c>
      <c r="G21" s="177"/>
    </row>
    <row r="22" ht="24" customHeight="1" spans="1:7">
      <c r="A22" s="179"/>
      <c r="B22" s="179"/>
      <c r="C22" s="168" t="s">
        <v>33</v>
      </c>
      <c r="D22" s="184"/>
      <c r="E22" s="174">
        <v>1</v>
      </c>
      <c r="F22" s="178">
        <f ca="1">SUM(F17:F21)</f>
        <v>69041.1929980192</v>
      </c>
      <c r="G22" s="177"/>
    </row>
    <row r="23" ht="24" customHeight="1" spans="1:7">
      <c r="A23" s="180"/>
      <c r="B23" s="180"/>
      <c r="C23" s="177" t="s">
        <v>34</v>
      </c>
      <c r="D23" s="175" t="s">
        <v>35</v>
      </c>
      <c r="E23" s="174">
        <v>1</v>
      </c>
      <c r="F23" s="178">
        <f ca="1">+F22*E23</f>
        <v>69041.1929980192</v>
      </c>
      <c r="G23" s="177"/>
    </row>
    <row r="24" ht="24" customHeight="1" spans="1:7">
      <c r="A24" s="176">
        <v>4</v>
      </c>
      <c r="B24" s="176" t="s">
        <v>38</v>
      </c>
      <c r="C24" s="183" t="str">
        <f>'户内精装修（硬装部分）'!B124</f>
        <v>地面</v>
      </c>
      <c r="D24" s="175">
        <f ca="1">'户内精装修（硬装部分）'!L124</f>
        <v>11270.69265</v>
      </c>
      <c r="E24" s="174">
        <v>1</v>
      </c>
      <c r="F24" s="178">
        <f ca="1">+D24*E24</f>
        <v>11270.69265</v>
      </c>
      <c r="G24" s="177"/>
    </row>
    <row r="25" ht="24" customHeight="1" spans="1:7">
      <c r="A25" s="179"/>
      <c r="B25" s="179"/>
      <c r="C25" s="183" t="str">
        <f>'户内精装修（硬装部分）'!B138</f>
        <v>地暖</v>
      </c>
      <c r="D25" s="175">
        <f>'户内精装修（硬装部分）'!L138</f>
        <v>4717.146784</v>
      </c>
      <c r="E25" s="174">
        <v>1</v>
      </c>
      <c r="F25" s="178">
        <f>+D25*E25</f>
        <v>4717.146784</v>
      </c>
      <c r="G25" s="177"/>
    </row>
    <row r="26" ht="24" customHeight="1" spans="1:7">
      <c r="A26" s="179"/>
      <c r="B26" s="179"/>
      <c r="C26" s="183" t="str">
        <f>'户内精装修（硬装部分）'!B140</f>
        <v>墙面</v>
      </c>
      <c r="D26" s="175">
        <f ca="1">'户内精装修（硬装部分）'!L140</f>
        <v>26653.469348352</v>
      </c>
      <c r="E26" s="174">
        <v>1</v>
      </c>
      <c r="F26" s="178">
        <f ca="1">+D26*E26</f>
        <v>26653.469348352</v>
      </c>
      <c r="G26" s="177"/>
    </row>
    <row r="27" ht="24" customHeight="1" spans="1:7">
      <c r="A27" s="179"/>
      <c r="B27" s="179"/>
      <c r="C27" s="183" t="str">
        <f>'户内精装修（硬装部分）'!B158</f>
        <v>天花</v>
      </c>
      <c r="D27" s="175">
        <f>'户内精装修（硬装部分）'!L158</f>
        <v>4620.2604336</v>
      </c>
      <c r="E27" s="174">
        <v>1</v>
      </c>
      <c r="F27" s="178">
        <f>+D27*E27</f>
        <v>4620.2604336</v>
      </c>
      <c r="G27" s="177"/>
    </row>
    <row r="28" ht="24" customHeight="1" spans="1:7">
      <c r="A28" s="179"/>
      <c r="B28" s="179"/>
      <c r="C28" s="183" t="s">
        <v>32</v>
      </c>
      <c r="D28" s="175">
        <f>安装!N222</f>
        <v>17549.521391472</v>
      </c>
      <c r="E28" s="174">
        <v>1</v>
      </c>
      <c r="F28" s="178">
        <f>+D28*E28</f>
        <v>17549.521391472</v>
      </c>
      <c r="G28" s="177"/>
    </row>
    <row r="29" ht="24" customHeight="1" spans="1:7">
      <c r="A29" s="179"/>
      <c r="B29" s="179"/>
      <c r="C29" s="168" t="s">
        <v>33</v>
      </c>
      <c r="D29" s="182"/>
      <c r="E29" s="174">
        <v>1</v>
      </c>
      <c r="F29" s="178">
        <f ca="1">SUM(F24:F28)</f>
        <v>64811.090607424</v>
      </c>
      <c r="G29" s="177"/>
    </row>
    <row r="30" ht="24" customHeight="1" spans="1:7">
      <c r="A30" s="180"/>
      <c r="B30" s="180"/>
      <c r="C30" s="177" t="s">
        <v>34</v>
      </c>
      <c r="D30" s="175" t="s">
        <v>35</v>
      </c>
      <c r="E30" s="174">
        <v>1</v>
      </c>
      <c r="F30" s="178">
        <f ca="1">+F29*E30</f>
        <v>64811.090607424</v>
      </c>
      <c r="G30" s="177"/>
    </row>
    <row r="31" ht="18" customHeight="1" spans="1:7">
      <c r="A31" s="174">
        <v>5</v>
      </c>
      <c r="B31" s="177" t="s">
        <v>34</v>
      </c>
      <c r="C31" s="177"/>
      <c r="D31" s="175"/>
      <c r="E31" s="174"/>
      <c r="F31" s="178">
        <f ca="1">F30+F23+F16+F9</f>
        <v>860000.003198067</v>
      </c>
      <c r="G31" s="177"/>
    </row>
  </sheetData>
  <mergeCells count="9">
    <mergeCell ref="A1:G1"/>
    <mergeCell ref="A3:A9"/>
    <mergeCell ref="A10:A16"/>
    <mergeCell ref="A17:A23"/>
    <mergeCell ref="A24:A30"/>
    <mergeCell ref="B3:B9"/>
    <mergeCell ref="B10:B16"/>
    <mergeCell ref="B17:B23"/>
    <mergeCell ref="B24:B30"/>
  </mergeCells>
  <pageMargins left="0.739583333333333" right="0.739583333333333" top="0.739583333333333" bottom="0.739583333333333" header="0.5" footer="0.5"/>
  <pageSetup paperSize="9" scale="8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7"/>
  <sheetViews>
    <sheetView view="pageBreakPreview" zoomScaleNormal="100" topLeftCell="A72" workbookViewId="0">
      <selection activeCell="O75" sqref="O75"/>
    </sheetView>
  </sheetViews>
  <sheetFormatPr defaultColWidth="9" defaultRowHeight="13.5"/>
  <cols>
    <col min="1" max="1" width="5" style="122" customWidth="1"/>
    <col min="2" max="2" width="12" style="122" customWidth="1"/>
    <col min="3" max="3" width="33.25" style="118" customWidth="1"/>
    <col min="4" max="4" width="6.38333333333333" style="122" customWidth="1"/>
    <col min="5" max="5" width="6.5" style="123" customWidth="1"/>
    <col min="6" max="10" width="8.25" style="123" customWidth="1"/>
    <col min="11" max="11" width="10.3833333333333" style="123" customWidth="1"/>
    <col min="12" max="12" width="8.25" style="123" customWidth="1"/>
    <col min="13" max="13" width="10" style="122" customWidth="1"/>
    <col min="14" max="16384" width="9" style="118"/>
  </cols>
  <sheetData>
    <row r="1" s="118" customFormat="1" ht="35.1" customHeight="1" spans="1:13">
      <c r="A1" s="124" t="s">
        <v>39</v>
      </c>
      <c r="B1" s="124"/>
      <c r="C1" s="124"/>
      <c r="D1" s="124"/>
      <c r="E1" s="125"/>
      <c r="F1" s="125"/>
      <c r="G1" s="125"/>
      <c r="H1" s="125"/>
      <c r="I1" s="125"/>
      <c r="J1" s="125"/>
      <c r="K1" s="125"/>
      <c r="L1" s="125"/>
      <c r="M1" s="124"/>
    </row>
    <row r="2" s="119" customFormat="1" ht="33.95" customHeight="1" spans="1:13">
      <c r="A2" s="126" t="s">
        <v>24</v>
      </c>
      <c r="B2" s="126" t="s">
        <v>40</v>
      </c>
      <c r="C2" s="126" t="s">
        <v>41</v>
      </c>
      <c r="D2" s="126" t="s">
        <v>42</v>
      </c>
      <c r="E2" s="127" t="s">
        <v>43</v>
      </c>
      <c r="F2" s="95" t="s">
        <v>44</v>
      </c>
      <c r="G2" s="95"/>
      <c r="H2" s="95"/>
      <c r="I2" s="95"/>
      <c r="J2" s="95"/>
      <c r="K2" s="95" t="s">
        <v>45</v>
      </c>
      <c r="L2" s="95" t="s">
        <v>46</v>
      </c>
      <c r="M2" s="95" t="s">
        <v>30</v>
      </c>
    </row>
    <row r="3" s="119" customFormat="1" ht="33.95" customHeight="1" spans="1:13">
      <c r="A3" s="126"/>
      <c r="B3" s="126"/>
      <c r="C3" s="126"/>
      <c r="D3" s="126"/>
      <c r="E3" s="127"/>
      <c r="F3" s="95" t="s">
        <v>47</v>
      </c>
      <c r="G3" s="95" t="s">
        <v>48</v>
      </c>
      <c r="H3" s="95" t="s">
        <v>49</v>
      </c>
      <c r="I3" s="95" t="s">
        <v>50</v>
      </c>
      <c r="J3" s="95" t="s">
        <v>51</v>
      </c>
      <c r="K3" s="95"/>
      <c r="L3" s="95"/>
      <c r="M3" s="95"/>
    </row>
    <row r="4" s="119" customFormat="1" ht="21.95" customHeight="1" spans="1:13">
      <c r="A4" s="126"/>
      <c r="B4" s="126"/>
      <c r="C4" s="126"/>
      <c r="D4" s="126"/>
      <c r="E4" s="127"/>
      <c r="F4" s="95"/>
      <c r="G4" s="95"/>
      <c r="H4" s="95"/>
      <c r="I4" s="149">
        <v>0.12</v>
      </c>
      <c r="J4" s="149">
        <v>0.09</v>
      </c>
      <c r="K4" s="95"/>
      <c r="L4" s="95"/>
      <c r="M4" s="95"/>
    </row>
    <row r="5" s="120" customFormat="1" ht="18" customHeight="1" spans="1:13">
      <c r="A5" s="128" t="s">
        <v>52</v>
      </c>
      <c r="B5" s="128" t="s">
        <v>53</v>
      </c>
      <c r="C5" s="128" t="s">
        <v>54</v>
      </c>
      <c r="D5" s="128"/>
      <c r="E5" s="129"/>
      <c r="F5" s="130"/>
      <c r="G5" s="130"/>
      <c r="H5" s="130"/>
      <c r="I5" s="130"/>
      <c r="J5" s="130"/>
      <c r="K5" s="130"/>
      <c r="L5" s="130"/>
      <c r="M5" s="130"/>
    </row>
    <row r="6" s="121" customFormat="1" ht="26" customHeight="1" spans="1:13">
      <c r="A6" s="126">
        <v>1</v>
      </c>
      <c r="B6" s="126" t="s">
        <v>55</v>
      </c>
      <c r="C6" s="126"/>
      <c r="D6" s="126"/>
      <c r="E6" s="127"/>
      <c r="F6" s="95"/>
      <c r="G6" s="95"/>
      <c r="H6" s="95"/>
      <c r="I6" s="95"/>
      <c r="J6" s="95"/>
      <c r="K6" s="95"/>
      <c r="L6" s="95">
        <f>SUM(L7:L18)</f>
        <v>5368.81519552</v>
      </c>
      <c r="M6" s="95"/>
    </row>
    <row r="7" s="121" customFormat="1" ht="102" customHeight="1" outlineLevel="1" spans="1:14">
      <c r="A7" s="126">
        <v>1.1</v>
      </c>
      <c r="B7" s="126" t="s">
        <v>56</v>
      </c>
      <c r="C7" s="131" t="s">
        <v>57</v>
      </c>
      <c r="D7" s="126" t="s">
        <v>58</v>
      </c>
      <c r="E7" s="127">
        <f>14.76+0.111+0.111+0.37</f>
        <v>15.352</v>
      </c>
      <c r="F7" s="95">
        <v>52</v>
      </c>
      <c r="G7" s="95">
        <v>75</v>
      </c>
      <c r="H7" s="95">
        <v>16</v>
      </c>
      <c r="I7" s="95">
        <f>+(F7+G7+H7)*$I$4</f>
        <v>17.16</v>
      </c>
      <c r="J7" s="95">
        <f>+(F7+G7+H7+I7)*$J$4</f>
        <v>14.4144</v>
      </c>
      <c r="K7" s="95">
        <f t="shared" ref="K7:K12" si="0">SUBTOTAL(9,F7:J7)</f>
        <v>174.5744</v>
      </c>
      <c r="L7" s="95">
        <f>E7*K7</f>
        <v>2680.0661888</v>
      </c>
      <c r="M7" s="150" t="s">
        <v>59</v>
      </c>
      <c r="N7" s="121" t="s">
        <v>60</v>
      </c>
    </row>
    <row r="8" s="121" customFormat="1" ht="102" customHeight="1" outlineLevel="1" spans="1:13">
      <c r="A8" s="126">
        <v>1.2</v>
      </c>
      <c r="B8" s="126" t="s">
        <v>56</v>
      </c>
      <c r="C8" s="131" t="s">
        <v>61</v>
      </c>
      <c r="D8" s="126" t="s">
        <v>58</v>
      </c>
      <c r="E8" s="127">
        <v>2.58</v>
      </c>
      <c r="F8" s="95">
        <f>+$F$7</f>
        <v>52</v>
      </c>
      <c r="G8" s="95">
        <f t="shared" ref="G8:G11" si="1">+$G$7</f>
        <v>75</v>
      </c>
      <c r="H8" s="95">
        <f t="shared" ref="H8:H11" si="2">+$H$7</f>
        <v>16</v>
      </c>
      <c r="I8" s="95">
        <f>+(F8+G8+H8)*$I$4</f>
        <v>17.16</v>
      </c>
      <c r="J8" s="95">
        <f>+(F8+G8+H8+I8)*$J$4</f>
        <v>14.4144</v>
      </c>
      <c r="K8" s="151">
        <f t="shared" si="0"/>
        <v>174.5744</v>
      </c>
      <c r="L8" s="95">
        <f t="shared" ref="L7:L19" si="3">E8*K8</f>
        <v>450.401952</v>
      </c>
      <c r="M8" s="150" t="s">
        <v>59</v>
      </c>
    </row>
    <row r="9" s="121" customFormat="1" ht="69" customHeight="1" outlineLevel="1" spans="1:13">
      <c r="A9" s="126">
        <v>1.3</v>
      </c>
      <c r="B9" s="126" t="s">
        <v>62</v>
      </c>
      <c r="C9" s="131" t="s">
        <v>63</v>
      </c>
      <c r="D9" s="126" t="s">
        <v>58</v>
      </c>
      <c r="E9" s="127">
        <v>1.26</v>
      </c>
      <c r="F9" s="95">
        <v>12</v>
      </c>
      <c r="G9" s="95">
        <v>13</v>
      </c>
      <c r="H9" s="95">
        <v>3</v>
      </c>
      <c r="I9" s="95">
        <f>+(F9+G9+H9)*$I$4</f>
        <v>3.36</v>
      </c>
      <c r="J9" s="95">
        <f>+(F9+G9+H9+I9)*$J$4</f>
        <v>2.8224</v>
      </c>
      <c r="K9" s="95">
        <f t="shared" si="0"/>
        <v>34.1824</v>
      </c>
      <c r="L9" s="95">
        <f t="shared" si="3"/>
        <v>43.069824</v>
      </c>
      <c r="M9" s="152"/>
    </row>
    <row r="10" s="121" customFormat="1" ht="90" customHeight="1" outlineLevel="1" spans="1:14">
      <c r="A10" s="126">
        <v>1.4</v>
      </c>
      <c r="B10" s="126" t="s">
        <v>56</v>
      </c>
      <c r="C10" s="131" t="s">
        <v>64</v>
      </c>
      <c r="D10" s="126" t="s">
        <v>58</v>
      </c>
      <c r="E10" s="127">
        <v>3.9578</v>
      </c>
      <c r="F10" s="95">
        <f t="shared" ref="F8:F11" si="4">+$F$7</f>
        <v>52</v>
      </c>
      <c r="G10" s="95">
        <f t="shared" si="1"/>
        <v>75</v>
      </c>
      <c r="H10" s="95">
        <f t="shared" si="2"/>
        <v>16</v>
      </c>
      <c r="I10" s="95">
        <f>+(F10+G10+H10)*$I$4</f>
        <v>17.16</v>
      </c>
      <c r="J10" s="95">
        <f>+(F10+G10+H10+I10)*$J$4</f>
        <v>14.4144</v>
      </c>
      <c r="K10" s="151">
        <f t="shared" ref="K10:K14" si="5">SUBTOTAL(9,F10:J10)</f>
        <v>174.5744</v>
      </c>
      <c r="L10" s="95">
        <f t="shared" si="3"/>
        <v>690.93056032</v>
      </c>
      <c r="M10" s="150" t="s">
        <v>59</v>
      </c>
      <c r="N10" s="121" t="s">
        <v>60</v>
      </c>
    </row>
    <row r="11" s="121" customFormat="1" ht="90" customHeight="1" outlineLevel="1" spans="1:13">
      <c r="A11" s="126">
        <v>1.5</v>
      </c>
      <c r="B11" s="126" t="s">
        <v>56</v>
      </c>
      <c r="C11" s="131" t="s">
        <v>65</v>
      </c>
      <c r="D11" s="126" t="s">
        <v>58</v>
      </c>
      <c r="E11" s="127">
        <v>2.596</v>
      </c>
      <c r="F11" s="95">
        <f t="shared" si="4"/>
        <v>52</v>
      </c>
      <c r="G11" s="95">
        <f t="shared" si="1"/>
        <v>75</v>
      </c>
      <c r="H11" s="95">
        <f t="shared" si="2"/>
        <v>16</v>
      </c>
      <c r="I11" s="95">
        <f>+(F11+G11+H11)*$I$4</f>
        <v>17.16</v>
      </c>
      <c r="J11" s="95">
        <f>+(F11+G11+H11+I11)*$J$4</f>
        <v>14.4144</v>
      </c>
      <c r="K11" s="151">
        <f t="shared" si="0"/>
        <v>174.5744</v>
      </c>
      <c r="L11" s="95">
        <f t="shared" si="3"/>
        <v>453.1951424</v>
      </c>
      <c r="M11" s="150" t="s">
        <v>59</v>
      </c>
    </row>
    <row r="12" s="121" customFormat="1" ht="55" customHeight="1" outlineLevel="1" spans="1:13">
      <c r="A12" s="126">
        <v>1.6</v>
      </c>
      <c r="B12" s="132" t="s">
        <v>66</v>
      </c>
      <c r="C12" s="132" t="s">
        <v>67</v>
      </c>
      <c r="D12" s="133" t="s">
        <v>68</v>
      </c>
      <c r="E12" s="127">
        <f>19.99-2.3-1.1-0.8*2-1.2-1.2-0.35</f>
        <v>12.24</v>
      </c>
      <c r="F12" s="95">
        <v>8</v>
      </c>
      <c r="G12" s="95">
        <v>16</v>
      </c>
      <c r="H12" s="95">
        <v>2</v>
      </c>
      <c r="I12" s="95">
        <f>+(F12+G12+H12)*$I$4</f>
        <v>3.12</v>
      </c>
      <c r="J12" s="95">
        <f>+(F12+G12+H12+I12)*$J$4</f>
        <v>2.6208</v>
      </c>
      <c r="K12" s="95">
        <f t="shared" si="0"/>
        <v>31.7408</v>
      </c>
      <c r="L12" s="95">
        <f t="shared" si="3"/>
        <v>388.507392</v>
      </c>
      <c r="M12" s="95"/>
    </row>
    <row r="13" s="121" customFormat="1" ht="115" customHeight="1" outlineLevel="1" spans="1:13">
      <c r="A13" s="126">
        <v>1.7</v>
      </c>
      <c r="B13" s="132" t="s">
        <v>69</v>
      </c>
      <c r="C13" s="134" t="s">
        <v>70</v>
      </c>
      <c r="D13" s="133" t="s">
        <v>58</v>
      </c>
      <c r="E13" s="127">
        <f>3.96</f>
        <v>3.96</v>
      </c>
      <c r="F13" s="95">
        <v>14</v>
      </c>
      <c r="G13" s="95">
        <v>15</v>
      </c>
      <c r="H13" s="95">
        <v>3</v>
      </c>
      <c r="I13" s="95">
        <f>+(F13+G13+H13)*$I$4</f>
        <v>3.84</v>
      </c>
      <c r="J13" s="95">
        <f>+(F13+G13+H13+I13)*$J$4</f>
        <v>3.2256</v>
      </c>
      <c r="K13" s="151">
        <f t="shared" si="5"/>
        <v>39.0656</v>
      </c>
      <c r="L13" s="95">
        <f t="shared" si="3"/>
        <v>154.699776</v>
      </c>
      <c r="M13" s="95"/>
    </row>
    <row r="14" s="121" customFormat="1" ht="102" customHeight="1" outlineLevel="1" spans="1:13">
      <c r="A14" s="126">
        <v>1.8</v>
      </c>
      <c r="B14" s="131" t="s">
        <v>71</v>
      </c>
      <c r="C14" s="131" t="s">
        <v>72</v>
      </c>
      <c r="D14" s="126" t="s">
        <v>58</v>
      </c>
      <c r="E14" s="127">
        <f>9.12*0.3</f>
        <v>2.736</v>
      </c>
      <c r="F14" s="95">
        <v>13</v>
      </c>
      <c r="G14" s="95">
        <v>12.5</v>
      </c>
      <c r="H14" s="95">
        <v>2</v>
      </c>
      <c r="I14" s="95">
        <f>+(F14+G14+H14)*$I$4</f>
        <v>3.3</v>
      </c>
      <c r="J14" s="95">
        <f>+(F14+G14+H14+I14)*$J$4</f>
        <v>2.772</v>
      </c>
      <c r="K14" s="151">
        <f t="shared" ref="K14:K16" si="6">SUBTOTAL(9,F14:J14)</f>
        <v>33.572</v>
      </c>
      <c r="L14" s="95">
        <f t="shared" si="3"/>
        <v>91.852992</v>
      </c>
      <c r="M14" s="95"/>
    </row>
    <row r="15" s="121" customFormat="1" ht="110" customHeight="1" outlineLevel="1" spans="1:13">
      <c r="A15" s="126">
        <v>1.9</v>
      </c>
      <c r="B15" s="132" t="s">
        <v>69</v>
      </c>
      <c r="C15" s="134" t="s">
        <v>73</v>
      </c>
      <c r="D15" s="133" t="s">
        <v>58</v>
      </c>
      <c r="E15" s="127">
        <f>2.85+0.68</f>
        <v>3.53</v>
      </c>
      <c r="F15" s="95">
        <f>+$F$13</f>
        <v>14</v>
      </c>
      <c r="G15" s="95">
        <f>+$G$13</f>
        <v>15</v>
      </c>
      <c r="H15" s="95">
        <f>+$H$13</f>
        <v>3</v>
      </c>
      <c r="I15" s="95">
        <f>+(F15+G15+H15)*$I$4</f>
        <v>3.84</v>
      </c>
      <c r="J15" s="95">
        <f>+(F15+G15+H15+I15)*$J$4</f>
        <v>3.2256</v>
      </c>
      <c r="K15" s="151">
        <f t="shared" si="6"/>
        <v>39.0656</v>
      </c>
      <c r="L15" s="95">
        <f t="shared" si="3"/>
        <v>137.901568</v>
      </c>
      <c r="M15" s="95"/>
    </row>
    <row r="16" s="121" customFormat="1" ht="81" customHeight="1" outlineLevel="1" spans="1:13">
      <c r="A16" s="127">
        <v>1.1</v>
      </c>
      <c r="B16" s="131" t="s">
        <v>71</v>
      </c>
      <c r="C16" s="131" t="s">
        <v>74</v>
      </c>
      <c r="D16" s="126" t="s">
        <v>58</v>
      </c>
      <c r="E16" s="127">
        <f>(6.8-0.8+0.3*0.5)*0.3</f>
        <v>1.845</v>
      </c>
      <c r="F16" s="95">
        <f>+$F$14</f>
        <v>13</v>
      </c>
      <c r="G16" s="95">
        <f>+$G$14</f>
        <v>12.5</v>
      </c>
      <c r="H16" s="95">
        <f>+$H$14</f>
        <v>2</v>
      </c>
      <c r="I16" s="95">
        <f>+(F16+G16+H16)*$I$4</f>
        <v>3.3</v>
      </c>
      <c r="J16" s="95">
        <f>+(F16+G16+H16+I16)*$J$4</f>
        <v>2.772</v>
      </c>
      <c r="K16" s="151">
        <f t="shared" si="6"/>
        <v>33.572</v>
      </c>
      <c r="L16" s="95">
        <f t="shared" si="3"/>
        <v>61.94034</v>
      </c>
      <c r="M16" s="95"/>
    </row>
    <row r="17" s="121" customFormat="1" ht="81" customHeight="1" outlineLevel="1" spans="1:13">
      <c r="A17" s="127">
        <v>1.11</v>
      </c>
      <c r="B17" s="132" t="s">
        <v>69</v>
      </c>
      <c r="C17" s="134" t="s">
        <v>75</v>
      </c>
      <c r="D17" s="133" t="s">
        <v>58</v>
      </c>
      <c r="E17" s="127">
        <f>2.85</f>
        <v>2.85</v>
      </c>
      <c r="F17" s="95">
        <f>+$F$13</f>
        <v>14</v>
      </c>
      <c r="G17" s="95">
        <f>+$G$13</f>
        <v>15</v>
      </c>
      <c r="H17" s="95">
        <f>+$H$13</f>
        <v>3</v>
      </c>
      <c r="I17" s="95">
        <f>+(F17+G17+H17)*$I$4</f>
        <v>3.84</v>
      </c>
      <c r="J17" s="95">
        <f>+(F17+G17+H17+I17)*$J$4</f>
        <v>3.2256</v>
      </c>
      <c r="K17" s="151">
        <f t="shared" ref="K17:K20" si="7">SUBTOTAL(9,F17:J17)</f>
        <v>39.0656</v>
      </c>
      <c r="L17" s="95">
        <f t="shared" si="3"/>
        <v>111.33696</v>
      </c>
      <c r="M17" s="95"/>
    </row>
    <row r="18" s="121" customFormat="1" ht="81" customHeight="1" outlineLevel="1" spans="1:13">
      <c r="A18" s="127">
        <v>1.12</v>
      </c>
      <c r="B18" s="131" t="s">
        <v>71</v>
      </c>
      <c r="C18" s="131" t="s">
        <v>76</v>
      </c>
      <c r="D18" s="126" t="s">
        <v>58</v>
      </c>
      <c r="E18" s="127">
        <f>(6.8-0.8+0.5*0.5)*0.5</f>
        <v>3.125</v>
      </c>
      <c r="F18" s="95">
        <f>+$F$14</f>
        <v>13</v>
      </c>
      <c r="G18" s="95">
        <f>+$G$14</f>
        <v>12.5</v>
      </c>
      <c r="H18" s="95">
        <f>+$H$14</f>
        <v>2</v>
      </c>
      <c r="I18" s="95">
        <f>+(F18+G18+H18)*$I$4</f>
        <v>3.3</v>
      </c>
      <c r="J18" s="95">
        <f>+(F18+G18+H18+I18)*$J$4</f>
        <v>2.772</v>
      </c>
      <c r="K18" s="151">
        <f t="shared" si="7"/>
        <v>33.572</v>
      </c>
      <c r="L18" s="95">
        <f t="shared" si="3"/>
        <v>104.9125</v>
      </c>
      <c r="M18" s="95"/>
    </row>
    <row r="19" s="121" customFormat="1" ht="27" customHeight="1" spans="1:13">
      <c r="A19" s="126">
        <v>2</v>
      </c>
      <c r="B19" s="133" t="s">
        <v>77</v>
      </c>
      <c r="C19" s="134"/>
      <c r="D19" s="133"/>
      <c r="E19" s="127"/>
      <c r="F19" s="95"/>
      <c r="G19" s="95"/>
      <c r="H19" s="95"/>
      <c r="I19" s="95"/>
      <c r="J19" s="95"/>
      <c r="K19" s="95"/>
      <c r="L19" s="95">
        <f>L20</f>
        <v>2155.2100864</v>
      </c>
      <c r="M19" s="152"/>
    </row>
    <row r="20" s="121" customFormat="1" ht="189" customHeight="1" outlineLevel="1" spans="1:13">
      <c r="A20" s="126">
        <v>2.1</v>
      </c>
      <c r="B20" s="132" t="s">
        <v>77</v>
      </c>
      <c r="C20" s="135" t="s">
        <v>78</v>
      </c>
      <c r="D20" s="133" t="s">
        <v>58</v>
      </c>
      <c r="E20" s="127">
        <f>E7+E8+E11</f>
        <v>20.528</v>
      </c>
      <c r="F20" s="95">
        <v>24</v>
      </c>
      <c r="G20" s="95">
        <v>48</v>
      </c>
      <c r="H20" s="95">
        <v>14</v>
      </c>
      <c r="I20" s="95">
        <f>+(F20+G20+H20)*$I$4</f>
        <v>10.32</v>
      </c>
      <c r="J20" s="95">
        <f>+(F20+G20+H20+I20)*$J$4</f>
        <v>8.6688</v>
      </c>
      <c r="K20" s="151">
        <f t="shared" si="7"/>
        <v>104.9888</v>
      </c>
      <c r="L20" s="95">
        <f>E20*K20</f>
        <v>2155.2100864</v>
      </c>
      <c r="M20" s="152" t="s">
        <v>79</v>
      </c>
    </row>
    <row r="21" s="121" customFormat="1" ht="26.1" customHeight="1" spans="1:13">
      <c r="A21" s="126">
        <v>3</v>
      </c>
      <c r="B21" s="126" t="s">
        <v>80</v>
      </c>
      <c r="C21" s="126"/>
      <c r="D21" s="126"/>
      <c r="E21" s="127"/>
      <c r="F21" s="95"/>
      <c r="G21" s="95"/>
      <c r="H21" s="95"/>
      <c r="I21" s="95"/>
      <c r="J21" s="95"/>
      <c r="K21" s="95"/>
      <c r="L21" s="95">
        <f ca="1">SUM(L22:L34)</f>
        <v>22230.04076944</v>
      </c>
      <c r="M21" s="95"/>
    </row>
    <row r="22" s="118" customFormat="1" ht="90" customHeight="1" outlineLevel="1" spans="1:13">
      <c r="A22" s="65">
        <v>3.1</v>
      </c>
      <c r="B22" s="136" t="s">
        <v>81</v>
      </c>
      <c r="C22" s="137" t="s">
        <v>82</v>
      </c>
      <c r="D22" s="65" t="s">
        <v>58</v>
      </c>
      <c r="E22" s="138">
        <f ca="1">计算式!F4+计算式!F5+计算式!F7+计算式!F8+计算式!F9+计算式!F12</f>
        <v>31.206</v>
      </c>
      <c r="F22" s="138">
        <v>24</v>
      </c>
      <c r="G22" s="138">
        <v>24</v>
      </c>
      <c r="H22" s="127">
        <v>5</v>
      </c>
      <c r="I22" s="95">
        <f>+(F22+G22+H22)*$I$4</f>
        <v>6.36</v>
      </c>
      <c r="J22" s="95">
        <f>+(F22+G22+H22+I22)*$J$4</f>
        <v>5.3424</v>
      </c>
      <c r="K22" s="95">
        <f t="shared" ref="K22:K34" si="8">SUBTOTAL(9,F22:J22)</f>
        <v>64.7024</v>
      </c>
      <c r="L22" s="95">
        <f ca="1" t="shared" ref="L20:L25" si="9">E22*K22</f>
        <v>2019.1030944</v>
      </c>
      <c r="M22" s="126" t="s">
        <v>83</v>
      </c>
    </row>
    <row r="23" s="118" customFormat="1" ht="90" customHeight="1" outlineLevel="1" spans="1:13">
      <c r="A23" s="65">
        <v>3.2</v>
      </c>
      <c r="B23" s="136" t="s">
        <v>84</v>
      </c>
      <c r="C23" s="139" t="s">
        <v>85</v>
      </c>
      <c r="D23" s="65" t="s">
        <v>68</v>
      </c>
      <c r="E23" s="138">
        <f ca="1">计算式!F6</f>
        <v>5.33</v>
      </c>
      <c r="F23" s="138">
        <v>24</v>
      </c>
      <c r="G23" s="138">
        <v>45</v>
      </c>
      <c r="H23" s="127">
        <v>12</v>
      </c>
      <c r="I23" s="95">
        <f>+(F23+G23+H23)*$I$4</f>
        <v>9.72</v>
      </c>
      <c r="J23" s="95">
        <f>+(F23+G23+H23+I23)*$J$4</f>
        <v>8.1648</v>
      </c>
      <c r="K23" s="95">
        <f t="shared" si="8"/>
        <v>98.8848</v>
      </c>
      <c r="L23" s="95">
        <f ca="1" t="shared" si="9"/>
        <v>527.055984</v>
      </c>
      <c r="M23" s="126"/>
    </row>
    <row r="24" s="118" customFormat="1" ht="81" customHeight="1" outlineLevel="1" spans="1:13">
      <c r="A24" s="65">
        <v>3.3</v>
      </c>
      <c r="B24" s="136" t="s">
        <v>86</v>
      </c>
      <c r="C24" s="137" t="s">
        <v>87</v>
      </c>
      <c r="D24" s="65" t="s">
        <v>58</v>
      </c>
      <c r="E24" s="138">
        <f ca="1">计算式!F10</f>
        <v>3.8465</v>
      </c>
      <c r="F24" s="138">
        <v>225</v>
      </c>
      <c r="G24" s="138">
        <v>495</v>
      </c>
      <c r="H24" s="127">
        <v>75</v>
      </c>
      <c r="I24" s="95">
        <f>+(F24+G24+H24)*$I$4</f>
        <v>95.4</v>
      </c>
      <c r="J24" s="95">
        <f>+(F24+G24+H24+I24)*$J$4</f>
        <v>80.136</v>
      </c>
      <c r="K24" s="95">
        <f t="shared" si="8"/>
        <v>970.536</v>
      </c>
      <c r="L24" s="95">
        <f ca="1" t="shared" si="9"/>
        <v>3733.166724</v>
      </c>
      <c r="M24" s="126"/>
    </row>
    <row r="25" s="118" customFormat="1" ht="90" customHeight="1" outlineLevel="1" spans="1:13">
      <c r="A25" s="126">
        <v>3.4</v>
      </c>
      <c r="B25" s="140" t="s">
        <v>88</v>
      </c>
      <c r="C25" s="141" t="s">
        <v>89</v>
      </c>
      <c r="D25" s="126" t="s">
        <v>58</v>
      </c>
      <c r="E25" s="127">
        <f ca="1">计算式!F11</f>
        <v>2.889</v>
      </c>
      <c r="F25" s="127">
        <v>82</v>
      </c>
      <c r="G25" s="127">
        <v>128</v>
      </c>
      <c r="H25" s="127">
        <f>38+12</f>
        <v>50</v>
      </c>
      <c r="I25" s="95">
        <f>+(F25+G25+H25)*$I$4</f>
        <v>31.2</v>
      </c>
      <c r="J25" s="95">
        <f>+(F25+G25+H25+I25)*$J$4</f>
        <v>26.208</v>
      </c>
      <c r="K25" s="95">
        <f t="shared" si="8"/>
        <v>317.408</v>
      </c>
      <c r="L25" s="95">
        <f ca="1" t="shared" si="9"/>
        <v>916.991712</v>
      </c>
      <c r="M25" s="126"/>
    </row>
    <row r="26" s="121" customFormat="1" ht="78" customHeight="1" outlineLevel="1" spans="1:13">
      <c r="A26" s="65">
        <v>3.5</v>
      </c>
      <c r="B26" s="126" t="s">
        <v>90</v>
      </c>
      <c r="C26" s="141" t="s">
        <v>91</v>
      </c>
      <c r="D26" s="126" t="s">
        <v>92</v>
      </c>
      <c r="E26" s="127">
        <v>1</v>
      </c>
      <c r="F26" s="95">
        <v>85</v>
      </c>
      <c r="G26" s="95">
        <v>650</v>
      </c>
      <c r="H26" s="95">
        <v>32</v>
      </c>
      <c r="I26" s="95">
        <f>+(F26+G26+H26)*$I$4</f>
        <v>92.04</v>
      </c>
      <c r="J26" s="95">
        <f>+(F26+G26+H26+I26)*$J$4</f>
        <v>77.3136</v>
      </c>
      <c r="K26" s="95">
        <f t="shared" si="8"/>
        <v>936.3536</v>
      </c>
      <c r="L26" s="95">
        <f t="shared" ref="L26:L34" si="10">E26*K26</f>
        <v>936.3536</v>
      </c>
      <c r="M26" s="95" t="s">
        <v>93</v>
      </c>
    </row>
    <row r="27" s="121" customFormat="1" ht="75" customHeight="1" outlineLevel="1" spans="1:13">
      <c r="A27" s="65">
        <v>3.6</v>
      </c>
      <c r="B27" s="126" t="s">
        <v>94</v>
      </c>
      <c r="C27" s="141" t="s">
        <v>95</v>
      </c>
      <c r="D27" s="126" t="s">
        <v>92</v>
      </c>
      <c r="E27" s="127">
        <v>1</v>
      </c>
      <c r="F27" s="95">
        <v>85</v>
      </c>
      <c r="G27" s="95">
        <v>650</v>
      </c>
      <c r="H27" s="95">
        <v>15</v>
      </c>
      <c r="I27" s="95">
        <f>+(F27+G27+H27)*$I$4</f>
        <v>90</v>
      </c>
      <c r="J27" s="95">
        <f>+(F27+G27+H27+I27)*$J$4</f>
        <v>75.6</v>
      </c>
      <c r="K27" s="95">
        <f t="shared" si="8"/>
        <v>915.6</v>
      </c>
      <c r="L27" s="95">
        <f t="shared" si="10"/>
        <v>915.6</v>
      </c>
      <c r="M27" s="95" t="s">
        <v>93</v>
      </c>
    </row>
    <row r="28" s="121" customFormat="1" ht="99" customHeight="1" outlineLevel="1" spans="1:13">
      <c r="A28" s="65">
        <v>3.7</v>
      </c>
      <c r="B28" s="126" t="s">
        <v>96</v>
      </c>
      <c r="C28" s="142" t="s">
        <v>97</v>
      </c>
      <c r="D28" s="126" t="s">
        <v>58</v>
      </c>
      <c r="E28" s="127">
        <f ca="1">计算式!F16+计算式!F18+计算式!F20+计算式!F22+计算式!F24+计算式!F25+计算式!F26+计算式!F27</f>
        <v>29.345</v>
      </c>
      <c r="F28" s="95">
        <v>54</v>
      </c>
      <c r="G28" s="95">
        <v>75</v>
      </c>
      <c r="H28" s="95">
        <v>16.8</v>
      </c>
      <c r="I28" s="95">
        <f>+(F28+G28+H28)*$I$4</f>
        <v>17.496</v>
      </c>
      <c r="J28" s="95">
        <f>+(F28+G28+H28+I28)*$J$4</f>
        <v>14.69664</v>
      </c>
      <c r="K28" s="95">
        <f t="shared" si="8"/>
        <v>177.99264</v>
      </c>
      <c r="L28" s="95">
        <f ca="1" t="shared" si="10"/>
        <v>5223.1940208</v>
      </c>
      <c r="M28" s="150" t="s">
        <v>59</v>
      </c>
    </row>
    <row r="29" s="121" customFormat="1" ht="72" customHeight="1" outlineLevel="1" spans="1:13">
      <c r="A29" s="126">
        <v>3.8</v>
      </c>
      <c r="B29" s="126" t="s">
        <v>98</v>
      </c>
      <c r="C29" s="142" t="s">
        <v>99</v>
      </c>
      <c r="D29" s="126" t="s">
        <v>58</v>
      </c>
      <c r="E29" s="127">
        <f ca="1">计算式!F17+计算式!F19+计算式!F21</f>
        <v>2.487</v>
      </c>
      <c r="F29" s="95">
        <f>+$F$28</f>
        <v>54</v>
      </c>
      <c r="G29" s="95">
        <f>+$G$28</f>
        <v>75</v>
      </c>
      <c r="H29" s="95">
        <v>16.8</v>
      </c>
      <c r="I29" s="95">
        <f>+(F29+G29+H29)*$I$4</f>
        <v>17.496</v>
      </c>
      <c r="J29" s="95">
        <f>+(F29+G29+H29+I29)*$J$4</f>
        <v>14.69664</v>
      </c>
      <c r="K29" s="95">
        <f t="shared" si="8"/>
        <v>177.99264</v>
      </c>
      <c r="L29" s="95">
        <f ca="1" t="shared" si="10"/>
        <v>442.66769568</v>
      </c>
      <c r="M29" s="95" t="s">
        <v>100</v>
      </c>
    </row>
    <row r="30" s="121" customFormat="1" ht="81" customHeight="1" outlineLevel="1" spans="1:13">
      <c r="A30" s="65">
        <v>3.9</v>
      </c>
      <c r="B30" s="126" t="s">
        <v>101</v>
      </c>
      <c r="C30" s="131" t="s">
        <v>102</v>
      </c>
      <c r="D30" s="126" t="s">
        <v>58</v>
      </c>
      <c r="E30" s="127">
        <v>16.204</v>
      </c>
      <c r="F30" s="95">
        <f>+$F$28</f>
        <v>54</v>
      </c>
      <c r="G30" s="95">
        <f>+$G$28</f>
        <v>75</v>
      </c>
      <c r="H30" s="95">
        <v>16.8</v>
      </c>
      <c r="I30" s="95">
        <f>+(F30+G30+H30)*$I$4</f>
        <v>17.496</v>
      </c>
      <c r="J30" s="95">
        <f>+(F30+G30+H30+I30)*$J$4</f>
        <v>14.69664</v>
      </c>
      <c r="K30" s="95">
        <f t="shared" si="8"/>
        <v>177.99264</v>
      </c>
      <c r="L30" s="95">
        <f t="shared" si="10"/>
        <v>2884.19273856</v>
      </c>
      <c r="M30" s="95"/>
    </row>
    <row r="31" s="121" customFormat="1" ht="78" customHeight="1" outlineLevel="1" spans="1:13">
      <c r="A31" s="127">
        <v>3.1</v>
      </c>
      <c r="B31" s="126" t="s">
        <v>103</v>
      </c>
      <c r="C31" s="131" t="s">
        <v>104</v>
      </c>
      <c r="D31" s="126" t="s">
        <v>68</v>
      </c>
      <c r="E31" s="127">
        <f>2.72+0.94</f>
        <v>3.66</v>
      </c>
      <c r="F31" s="95">
        <v>112</v>
      </c>
      <c r="G31" s="95">
        <v>580</v>
      </c>
      <c r="H31" s="95">
        <v>54</v>
      </c>
      <c r="I31" s="95">
        <f>+(F31+G31+H31)*$I$4</f>
        <v>89.52</v>
      </c>
      <c r="J31" s="95">
        <f>+(F31+G31+H31+I31)*$J$4</f>
        <v>75.1968</v>
      </c>
      <c r="K31" s="95">
        <f t="shared" si="8"/>
        <v>910.7168</v>
      </c>
      <c r="L31" s="95">
        <f t="shared" si="10"/>
        <v>3333.223488</v>
      </c>
      <c r="M31" s="95"/>
    </row>
    <row r="32" s="121" customFormat="1" ht="78" customHeight="1" outlineLevel="1" spans="1:13">
      <c r="A32" s="126">
        <v>3.11</v>
      </c>
      <c r="B32" s="126" t="s">
        <v>105</v>
      </c>
      <c r="C32" s="131" t="s">
        <v>106</v>
      </c>
      <c r="D32" s="126" t="s">
        <v>68</v>
      </c>
      <c r="E32" s="127">
        <v>1.54</v>
      </c>
      <c r="F32" s="95">
        <v>112</v>
      </c>
      <c r="G32" s="95">
        <v>450</v>
      </c>
      <c r="H32" s="95">
        <v>54</v>
      </c>
      <c r="I32" s="95">
        <f>+(F32+G32+H32)*$I$4</f>
        <v>73.92</v>
      </c>
      <c r="J32" s="95">
        <f>+(F32+G32+H32+I32)*$J$4</f>
        <v>62.0928</v>
      </c>
      <c r="K32" s="95">
        <f t="shared" si="8"/>
        <v>752.0128</v>
      </c>
      <c r="L32" s="95">
        <f t="shared" si="10"/>
        <v>1158.099712</v>
      </c>
      <c r="M32" s="95"/>
    </row>
    <row r="33" s="121" customFormat="1" ht="78" customHeight="1" outlineLevel="1" spans="1:13">
      <c r="A33" s="126">
        <v>3.12</v>
      </c>
      <c r="B33" s="126" t="s">
        <v>107</v>
      </c>
      <c r="C33" s="131" t="s">
        <v>108</v>
      </c>
      <c r="D33" s="126" t="s">
        <v>109</v>
      </c>
      <c r="E33" s="127">
        <v>1</v>
      </c>
      <c r="F33" s="95">
        <v>8</v>
      </c>
      <c r="G33" s="95">
        <v>35</v>
      </c>
      <c r="H33" s="95">
        <v>2</v>
      </c>
      <c r="I33" s="95">
        <f>+(F33+G33+H33)*$I$4</f>
        <v>5.4</v>
      </c>
      <c r="J33" s="95">
        <f>+(F33+G33+H33+I33)*$J$4</f>
        <v>4.536</v>
      </c>
      <c r="K33" s="95">
        <f t="shared" si="8"/>
        <v>54.936</v>
      </c>
      <c r="L33" s="95">
        <f t="shared" si="10"/>
        <v>54.936</v>
      </c>
      <c r="M33" s="95" t="s">
        <v>110</v>
      </c>
    </row>
    <row r="34" s="121" customFormat="1" ht="78" customHeight="1" outlineLevel="1" spans="1:13">
      <c r="A34" s="126">
        <v>3.13</v>
      </c>
      <c r="B34" s="126" t="s">
        <v>111</v>
      </c>
      <c r="C34" s="131" t="s">
        <v>108</v>
      </c>
      <c r="D34" s="126" t="s">
        <v>109</v>
      </c>
      <c r="E34" s="127">
        <v>1</v>
      </c>
      <c r="F34" s="95">
        <v>10</v>
      </c>
      <c r="G34" s="95">
        <v>58</v>
      </c>
      <c r="H34" s="95">
        <v>2</v>
      </c>
      <c r="I34" s="95">
        <f>+(F34+G34+H34)*$I$4</f>
        <v>8.4</v>
      </c>
      <c r="J34" s="95">
        <f>+(F34+G34+H34+I34)*$J$4</f>
        <v>7.056</v>
      </c>
      <c r="K34" s="95">
        <f t="shared" si="8"/>
        <v>85.456</v>
      </c>
      <c r="L34" s="95">
        <f t="shared" si="10"/>
        <v>85.456</v>
      </c>
      <c r="M34" s="95" t="s">
        <v>110</v>
      </c>
    </row>
    <row r="35" s="121" customFormat="1" ht="30" customHeight="1" spans="1:13">
      <c r="A35" s="126">
        <v>4</v>
      </c>
      <c r="B35" s="126" t="s">
        <v>112</v>
      </c>
      <c r="C35" s="126"/>
      <c r="D35" s="126"/>
      <c r="E35" s="127"/>
      <c r="F35" s="95"/>
      <c r="G35" s="95"/>
      <c r="H35" s="95"/>
      <c r="I35" s="95"/>
      <c r="J35" s="95"/>
      <c r="K35" s="95"/>
      <c r="L35" s="95">
        <f ca="1">SUM(L36:L41)</f>
        <v>2801.784832</v>
      </c>
      <c r="M35" s="95"/>
    </row>
    <row r="36" s="121" customFormat="1" ht="139" customHeight="1" outlineLevel="1" spans="1:13">
      <c r="A36" s="126">
        <v>4.1</v>
      </c>
      <c r="B36" s="126" t="s">
        <v>113</v>
      </c>
      <c r="C36" s="131" t="s">
        <v>114</v>
      </c>
      <c r="D36" s="126" t="s">
        <v>115</v>
      </c>
      <c r="E36" s="127">
        <f ca="1">计算式!F34+计算式!F35</f>
        <v>6.19</v>
      </c>
      <c r="F36" s="95">
        <v>38</v>
      </c>
      <c r="G36" s="95">
        <v>12</v>
      </c>
      <c r="H36" s="95">
        <v>35</v>
      </c>
      <c r="I36" s="95">
        <f>+(F36+G36+H36)*$I$4</f>
        <v>10.2</v>
      </c>
      <c r="J36" s="95">
        <f>+(F36+G36+H36+I36)*$J$4</f>
        <v>8.568</v>
      </c>
      <c r="K36" s="95">
        <f t="shared" ref="K36:K43" si="11">SUBTOTAL(9,F36:J36)</f>
        <v>103.768</v>
      </c>
      <c r="L36" s="95">
        <f ca="1" t="shared" ref="L36:L41" si="12">E36*K36</f>
        <v>642.32392</v>
      </c>
      <c r="M36" s="95"/>
    </row>
    <row r="37" s="121" customFormat="1" ht="195" customHeight="1" outlineLevel="1" spans="1:13">
      <c r="A37" s="126">
        <v>4.2</v>
      </c>
      <c r="B37" s="65" t="s">
        <v>116</v>
      </c>
      <c r="C37" s="131" t="s">
        <v>117</v>
      </c>
      <c r="D37" s="126" t="s">
        <v>115</v>
      </c>
      <c r="E37" s="127">
        <f ca="1">计算式!F36+计算式!F37</f>
        <v>8.494</v>
      </c>
      <c r="F37" s="95">
        <f>38+19+5</f>
        <v>62</v>
      </c>
      <c r="G37" s="95">
        <f>38+13+4</f>
        <v>55</v>
      </c>
      <c r="H37" s="95">
        <v>18</v>
      </c>
      <c r="I37" s="95">
        <f>+(F37+G37+H37)*$I$4</f>
        <v>16.2</v>
      </c>
      <c r="J37" s="95">
        <f>+(F37+G37+H37+I37)*$J$4</f>
        <v>13.608</v>
      </c>
      <c r="K37" s="95">
        <f t="shared" si="11"/>
        <v>164.808</v>
      </c>
      <c r="L37" s="95">
        <f ca="1" t="shared" si="12"/>
        <v>1399.879152</v>
      </c>
      <c r="M37" s="95"/>
    </row>
    <row r="38" s="121" customFormat="1" ht="144" customHeight="1" outlineLevel="1" spans="1:13">
      <c r="A38" s="143">
        <v>4.4</v>
      </c>
      <c r="B38" s="143" t="s">
        <v>118</v>
      </c>
      <c r="C38" s="144" t="s">
        <v>119</v>
      </c>
      <c r="D38" s="143" t="s">
        <v>58</v>
      </c>
      <c r="E38" s="145">
        <f ca="1">计算式!F38</f>
        <v>6.54</v>
      </c>
      <c r="F38" s="146">
        <v>21</v>
      </c>
      <c r="G38" s="147">
        <v>8</v>
      </c>
      <c r="H38" s="147">
        <v>3</v>
      </c>
      <c r="I38" s="147">
        <f>+(F38+G38+H38)*$I$4</f>
        <v>3.84</v>
      </c>
      <c r="J38" s="147">
        <f>+(F38+G38+H38+I38)*$J$4</f>
        <v>3.2256</v>
      </c>
      <c r="K38" s="147">
        <f t="shared" si="11"/>
        <v>39.0656</v>
      </c>
      <c r="L38" s="95">
        <f ca="1" t="shared" si="12"/>
        <v>255.489024</v>
      </c>
      <c r="M38" s="153" t="s">
        <v>120</v>
      </c>
    </row>
    <row r="39" s="121" customFormat="1" ht="117" customHeight="1" outlineLevel="1" spans="1:13">
      <c r="A39" s="126">
        <v>4.3</v>
      </c>
      <c r="B39" s="65" t="s">
        <v>121</v>
      </c>
      <c r="C39" s="131" t="s">
        <v>122</v>
      </c>
      <c r="D39" s="126" t="s">
        <v>58</v>
      </c>
      <c r="E39" s="127">
        <f ca="1">计算式!F40</f>
        <v>3.96</v>
      </c>
      <c r="F39" s="95">
        <f t="shared" ref="F39:H39" si="13">+$F$38</f>
        <v>21</v>
      </c>
      <c r="G39" s="95">
        <f>+$G$38</f>
        <v>8</v>
      </c>
      <c r="H39" s="95">
        <f>+$H$38</f>
        <v>3</v>
      </c>
      <c r="I39" s="95">
        <f>+(F39+G39+H39)*$I$4</f>
        <v>3.84</v>
      </c>
      <c r="J39" s="95">
        <f>+(F39+G39+H39+I39)*$J$4</f>
        <v>3.2256</v>
      </c>
      <c r="K39" s="95">
        <f t="shared" si="11"/>
        <v>39.0656</v>
      </c>
      <c r="L39" s="95">
        <f ca="1" t="shared" si="12"/>
        <v>154.699776</v>
      </c>
      <c r="M39" s="95"/>
    </row>
    <row r="40" s="121" customFormat="1" ht="81" customHeight="1" outlineLevel="1" spans="1:13">
      <c r="A40" s="126">
        <v>4.5</v>
      </c>
      <c r="B40" s="126" t="s">
        <v>123</v>
      </c>
      <c r="C40" s="131" t="s">
        <v>124</v>
      </c>
      <c r="D40" s="126" t="s">
        <v>68</v>
      </c>
      <c r="E40" s="127"/>
      <c r="F40" s="95">
        <v>6</v>
      </c>
      <c r="G40" s="95">
        <v>12</v>
      </c>
      <c r="H40" s="95">
        <v>2</v>
      </c>
      <c r="I40" s="95">
        <f>+(F40+G40+H40)*$I$4</f>
        <v>2.4</v>
      </c>
      <c r="J40" s="95">
        <f>+(F40+G40+H40+I40)*$J$4</f>
        <v>2.016</v>
      </c>
      <c r="K40" s="95">
        <f t="shared" si="11"/>
        <v>24.416</v>
      </c>
      <c r="L40" s="95">
        <f t="shared" si="12"/>
        <v>0</v>
      </c>
      <c r="M40" s="154"/>
    </row>
    <row r="41" s="121" customFormat="1" ht="96" customHeight="1" outlineLevel="1" spans="1:13">
      <c r="A41" s="126">
        <v>4.6</v>
      </c>
      <c r="B41" s="126" t="s">
        <v>125</v>
      </c>
      <c r="C41" s="131" t="s">
        <v>126</v>
      </c>
      <c r="D41" s="126" t="s">
        <v>68</v>
      </c>
      <c r="E41" s="127">
        <f ca="1">计算式!F39</f>
        <v>3.18</v>
      </c>
      <c r="F41" s="95">
        <f>25+19</f>
        <v>44</v>
      </c>
      <c r="G41" s="95">
        <v>26</v>
      </c>
      <c r="H41" s="95">
        <v>20</v>
      </c>
      <c r="I41" s="95">
        <f>+(F41+G41+H41)*$I$4</f>
        <v>10.8</v>
      </c>
      <c r="J41" s="95">
        <f>+(F41+G41+H41+I41)*$J$4</f>
        <v>9.072</v>
      </c>
      <c r="K41" s="95">
        <f t="shared" si="11"/>
        <v>109.872</v>
      </c>
      <c r="L41" s="95">
        <f ca="1" t="shared" si="12"/>
        <v>349.39296</v>
      </c>
      <c r="M41" s="154"/>
    </row>
    <row r="42" s="120" customFormat="1" ht="18" customHeight="1" spans="1:13">
      <c r="A42" s="128" t="s">
        <v>127</v>
      </c>
      <c r="B42" s="128" t="s">
        <v>128</v>
      </c>
      <c r="C42" s="128" t="s">
        <v>54</v>
      </c>
      <c r="D42" s="128"/>
      <c r="E42" s="129"/>
      <c r="F42" s="130"/>
      <c r="G42" s="130"/>
      <c r="H42" s="130"/>
      <c r="I42" s="130"/>
      <c r="J42" s="130"/>
      <c r="K42" s="130"/>
      <c r="L42" s="130"/>
      <c r="M42" s="130"/>
    </row>
    <row r="43" s="121" customFormat="1" ht="18" customHeight="1" spans="1:13">
      <c r="A43" s="126">
        <v>1</v>
      </c>
      <c r="B43" s="126" t="s">
        <v>55</v>
      </c>
      <c r="C43" s="126"/>
      <c r="D43" s="126"/>
      <c r="E43" s="127"/>
      <c r="F43" s="95"/>
      <c r="G43" s="95"/>
      <c r="H43" s="95"/>
      <c r="I43" s="95"/>
      <c r="J43" s="95"/>
      <c r="K43" s="95"/>
      <c r="L43" s="95">
        <f>SUM(L44:L56)</f>
        <v>7016.7604192</v>
      </c>
      <c r="M43" s="95"/>
    </row>
    <row r="44" s="121" customFormat="1" ht="102" customHeight="1" outlineLevel="1" spans="1:13">
      <c r="A44" s="126">
        <v>1.1</v>
      </c>
      <c r="B44" s="126" t="s">
        <v>56</v>
      </c>
      <c r="C44" s="131" t="s">
        <v>57</v>
      </c>
      <c r="D44" s="126" t="s">
        <v>58</v>
      </c>
      <c r="E44" s="127">
        <v>24.171</v>
      </c>
      <c r="F44" s="95">
        <f t="shared" ref="F44:F48" si="14">+$F$7</f>
        <v>52</v>
      </c>
      <c r="G44" s="95">
        <f t="shared" ref="G44:G48" si="15">+$G$7</f>
        <v>75</v>
      </c>
      <c r="H44" s="95">
        <f t="shared" ref="H44:H48" si="16">+$H$7</f>
        <v>16</v>
      </c>
      <c r="I44" s="95">
        <f>+(F44+G44+H44)*$I$4</f>
        <v>17.16</v>
      </c>
      <c r="J44" s="95">
        <f>+(F44+G44+H44+I44)*$J$4</f>
        <v>14.4144</v>
      </c>
      <c r="K44" s="151">
        <f t="shared" ref="K44:K46" si="17">SUBTOTAL(9,F44:J44)</f>
        <v>174.5744</v>
      </c>
      <c r="L44" s="95">
        <f t="shared" ref="L42:L56" si="18">E44*K44</f>
        <v>4219.6378224</v>
      </c>
      <c r="M44" s="152" t="s">
        <v>129</v>
      </c>
    </row>
    <row r="45" s="121" customFormat="1" ht="102" customHeight="1" outlineLevel="1" spans="1:13">
      <c r="A45" s="126">
        <v>1.2</v>
      </c>
      <c r="B45" s="126" t="s">
        <v>56</v>
      </c>
      <c r="C45" s="131" t="s">
        <v>61</v>
      </c>
      <c r="D45" s="126" t="s">
        <v>58</v>
      </c>
      <c r="E45" s="127">
        <v>2.11</v>
      </c>
      <c r="F45" s="95">
        <f t="shared" si="14"/>
        <v>52</v>
      </c>
      <c r="G45" s="95">
        <f t="shared" si="15"/>
        <v>75</v>
      </c>
      <c r="H45" s="95">
        <f t="shared" si="16"/>
        <v>16</v>
      </c>
      <c r="I45" s="95">
        <f>+(F45+G45+H45)*$I$4</f>
        <v>17.16</v>
      </c>
      <c r="J45" s="95">
        <f>+(F45+G45+H45+I45)*$J$4</f>
        <v>14.4144</v>
      </c>
      <c r="K45" s="151">
        <f t="shared" si="17"/>
        <v>174.5744</v>
      </c>
      <c r="L45" s="95">
        <f t="shared" si="18"/>
        <v>368.351984</v>
      </c>
      <c r="M45" s="150" t="s">
        <v>59</v>
      </c>
    </row>
    <row r="46" s="121" customFormat="1" ht="69" customHeight="1" outlineLevel="1" spans="1:13">
      <c r="A46" s="126">
        <v>1.3</v>
      </c>
      <c r="B46" s="126" t="s">
        <v>62</v>
      </c>
      <c r="C46" s="131" t="s">
        <v>63</v>
      </c>
      <c r="D46" s="126" t="s">
        <v>58</v>
      </c>
      <c r="E46" s="127">
        <v>1.54</v>
      </c>
      <c r="F46" s="95">
        <f>+$F$9</f>
        <v>12</v>
      </c>
      <c r="G46" s="95">
        <f>+$G$9</f>
        <v>13</v>
      </c>
      <c r="H46" s="95">
        <f>+$H$9</f>
        <v>3</v>
      </c>
      <c r="I46" s="95">
        <f>+(F46+G46+H46)*$I$4</f>
        <v>3.36</v>
      </c>
      <c r="J46" s="95">
        <f>+(F46+G46+H46+I46)*$J$4</f>
        <v>2.8224</v>
      </c>
      <c r="K46" s="95">
        <f t="shared" si="17"/>
        <v>34.1824</v>
      </c>
      <c r="L46" s="95">
        <f t="shared" si="18"/>
        <v>52.640896</v>
      </c>
      <c r="M46" s="152"/>
    </row>
    <row r="47" s="121" customFormat="1" ht="90" customHeight="1" outlineLevel="1" spans="1:13">
      <c r="A47" s="126">
        <v>1.4</v>
      </c>
      <c r="B47" s="126" t="s">
        <v>56</v>
      </c>
      <c r="C47" s="131" t="s">
        <v>64</v>
      </c>
      <c r="D47" s="126" t="s">
        <v>58</v>
      </c>
      <c r="E47" s="127">
        <v>3.416</v>
      </c>
      <c r="F47" s="95">
        <f t="shared" si="14"/>
        <v>52</v>
      </c>
      <c r="G47" s="95">
        <f t="shared" si="15"/>
        <v>75</v>
      </c>
      <c r="H47" s="95">
        <f t="shared" si="16"/>
        <v>16</v>
      </c>
      <c r="I47" s="95">
        <f>+(F47+G47+H47)*$I$4</f>
        <v>17.16</v>
      </c>
      <c r="J47" s="95">
        <f>+(F47+G47+H47+I47)*$J$4</f>
        <v>14.4144</v>
      </c>
      <c r="K47" s="151">
        <f t="shared" ref="K47:K51" si="19">SUBTOTAL(9,F47:J47)</f>
        <v>174.5744</v>
      </c>
      <c r="L47" s="95">
        <f t="shared" si="18"/>
        <v>596.3461504</v>
      </c>
      <c r="M47" s="150" t="s">
        <v>59</v>
      </c>
    </row>
    <row r="48" s="121" customFormat="1" ht="90" customHeight="1" outlineLevel="1" spans="1:13">
      <c r="A48" s="126">
        <v>1.5</v>
      </c>
      <c r="B48" s="126" t="s">
        <v>56</v>
      </c>
      <c r="C48" s="131" t="s">
        <v>65</v>
      </c>
      <c r="D48" s="126" t="s">
        <v>58</v>
      </c>
      <c r="E48" s="127">
        <v>3.015</v>
      </c>
      <c r="F48" s="95">
        <f t="shared" si="14"/>
        <v>52</v>
      </c>
      <c r="G48" s="95">
        <f t="shared" si="15"/>
        <v>75</v>
      </c>
      <c r="H48" s="95">
        <f t="shared" si="16"/>
        <v>16</v>
      </c>
      <c r="I48" s="95">
        <f>+(F48+G48+H48)*$I$4</f>
        <v>17.16</v>
      </c>
      <c r="J48" s="95">
        <f>+(F48+G48+H48+I48)*$J$4</f>
        <v>14.4144</v>
      </c>
      <c r="K48" s="151">
        <f t="shared" si="19"/>
        <v>174.5744</v>
      </c>
      <c r="L48" s="95">
        <f t="shared" si="18"/>
        <v>526.341816</v>
      </c>
      <c r="M48" s="150" t="s">
        <v>59</v>
      </c>
    </row>
    <row r="49" s="121" customFormat="1" ht="55" customHeight="1" outlineLevel="1" spans="1:13">
      <c r="A49" s="126">
        <v>1.6</v>
      </c>
      <c r="B49" s="132" t="s">
        <v>66</v>
      </c>
      <c r="C49" s="132" t="s">
        <v>67</v>
      </c>
      <c r="D49" s="133" t="s">
        <v>68</v>
      </c>
      <c r="E49" s="127">
        <f>24-0.84*2-0.14*2*2-1.08-1.58-0.24*2</f>
        <v>18.62</v>
      </c>
      <c r="F49" s="95">
        <f t="shared" ref="F49:H49" si="20">+$F$12</f>
        <v>8</v>
      </c>
      <c r="G49" s="95">
        <f>+$G$12</f>
        <v>16</v>
      </c>
      <c r="H49" s="95">
        <f>+$H$12</f>
        <v>2</v>
      </c>
      <c r="I49" s="95">
        <f>+(F49+G49+H49)*$I$4</f>
        <v>3.12</v>
      </c>
      <c r="J49" s="95">
        <f>+(F49+G49+H49+I49)*$J$4</f>
        <v>2.6208</v>
      </c>
      <c r="K49" s="95">
        <f t="shared" si="19"/>
        <v>31.7408</v>
      </c>
      <c r="L49" s="95">
        <f t="shared" si="18"/>
        <v>591.013696</v>
      </c>
      <c r="M49" s="95"/>
    </row>
    <row r="50" s="121" customFormat="1" ht="115" customHeight="1" outlineLevel="1" spans="1:13">
      <c r="A50" s="126">
        <v>1.7</v>
      </c>
      <c r="B50" s="132" t="s">
        <v>69</v>
      </c>
      <c r="C50" s="134" t="s">
        <v>70</v>
      </c>
      <c r="D50" s="133" t="s">
        <v>58</v>
      </c>
      <c r="E50" s="127">
        <v>3.694</v>
      </c>
      <c r="F50" s="95">
        <f t="shared" ref="F50:F54" si="21">+$F$13</f>
        <v>14</v>
      </c>
      <c r="G50" s="95">
        <f t="shared" ref="G50:G54" si="22">+$G$13</f>
        <v>15</v>
      </c>
      <c r="H50" s="95">
        <f t="shared" ref="H50:H54" si="23">+$H$13</f>
        <v>3</v>
      </c>
      <c r="I50" s="95">
        <f>+(F50+G50+H50)*$I$4</f>
        <v>3.84</v>
      </c>
      <c r="J50" s="95">
        <f>+(F50+G50+H50+I50)*$J$4</f>
        <v>3.2256</v>
      </c>
      <c r="K50" s="151">
        <f t="shared" si="19"/>
        <v>39.0656</v>
      </c>
      <c r="L50" s="95">
        <f t="shared" si="18"/>
        <v>144.3083264</v>
      </c>
      <c r="M50" s="95"/>
    </row>
    <row r="51" s="121" customFormat="1" ht="102" customHeight="1" outlineLevel="1" spans="1:13">
      <c r="A51" s="126">
        <v>1.8</v>
      </c>
      <c r="B51" s="131" t="s">
        <v>71</v>
      </c>
      <c r="C51" s="131" t="s">
        <v>72</v>
      </c>
      <c r="D51" s="126" t="s">
        <v>58</v>
      </c>
      <c r="E51" s="127">
        <f>8.4*0.3</f>
        <v>2.52</v>
      </c>
      <c r="F51" s="95">
        <f t="shared" ref="F51:F55" si="24">+$F$14</f>
        <v>13</v>
      </c>
      <c r="G51" s="95">
        <f t="shared" ref="G51:G55" si="25">+$G$14</f>
        <v>12.5</v>
      </c>
      <c r="H51" s="95">
        <f t="shared" ref="H51:H55" si="26">+$H$14</f>
        <v>2</v>
      </c>
      <c r="I51" s="95">
        <f>+(F51+G51+H51)*$I$4</f>
        <v>3.3</v>
      </c>
      <c r="J51" s="95">
        <f>+(F51+G51+H51+I51)*$J$4</f>
        <v>2.772</v>
      </c>
      <c r="K51" s="151">
        <f t="shared" si="19"/>
        <v>33.572</v>
      </c>
      <c r="L51" s="95">
        <f t="shared" si="18"/>
        <v>84.60144</v>
      </c>
      <c r="M51" s="95"/>
    </row>
    <row r="52" s="121" customFormat="1" ht="110" customHeight="1" outlineLevel="1" spans="1:13">
      <c r="A52" s="126">
        <v>1.9</v>
      </c>
      <c r="B52" s="132" t="s">
        <v>69</v>
      </c>
      <c r="C52" s="134" t="s">
        <v>73</v>
      </c>
      <c r="D52" s="133" t="s">
        <v>58</v>
      </c>
      <c r="E52" s="127">
        <v>3.95</v>
      </c>
      <c r="F52" s="95">
        <f t="shared" si="21"/>
        <v>14</v>
      </c>
      <c r="G52" s="95">
        <f t="shared" si="22"/>
        <v>15</v>
      </c>
      <c r="H52" s="95">
        <f t="shared" si="23"/>
        <v>3</v>
      </c>
      <c r="I52" s="95">
        <f>+(F52+G52+H52)*$I$4</f>
        <v>3.84</v>
      </c>
      <c r="J52" s="95">
        <f>+(F52+G52+H52+I52)*$J$4</f>
        <v>3.2256</v>
      </c>
      <c r="K52" s="151">
        <f t="shared" ref="K52:K56" si="27">SUBTOTAL(9,F52:J52)</f>
        <v>39.0656</v>
      </c>
      <c r="L52" s="95">
        <f t="shared" si="18"/>
        <v>154.30912</v>
      </c>
      <c r="M52" s="95"/>
    </row>
    <row r="53" s="121" customFormat="1" ht="81" customHeight="1" outlineLevel="1" spans="1:13">
      <c r="A53" s="127">
        <v>1.1</v>
      </c>
      <c r="B53" s="131" t="s">
        <v>71</v>
      </c>
      <c r="C53" s="131" t="s">
        <v>74</v>
      </c>
      <c r="D53" s="126" t="s">
        <v>58</v>
      </c>
      <c r="E53" s="127">
        <f>7.5*0.3</f>
        <v>2.25</v>
      </c>
      <c r="F53" s="95">
        <f t="shared" si="24"/>
        <v>13</v>
      </c>
      <c r="G53" s="95">
        <f t="shared" si="25"/>
        <v>12.5</v>
      </c>
      <c r="H53" s="95">
        <f t="shared" si="26"/>
        <v>2</v>
      </c>
      <c r="I53" s="95">
        <f>+(F53+G53+H53)*$I$4</f>
        <v>3.3</v>
      </c>
      <c r="J53" s="95">
        <f>+(F53+G53+H53+I53)*$J$4</f>
        <v>2.772</v>
      </c>
      <c r="K53" s="151">
        <f t="shared" si="27"/>
        <v>33.572</v>
      </c>
      <c r="L53" s="95">
        <f t="shared" si="18"/>
        <v>75.537</v>
      </c>
      <c r="M53" s="95"/>
    </row>
    <row r="54" s="121" customFormat="1" ht="81" customHeight="1" outlineLevel="1" spans="1:13">
      <c r="A54" s="127">
        <v>1.11</v>
      </c>
      <c r="B54" s="132" t="s">
        <v>69</v>
      </c>
      <c r="C54" s="134" t="s">
        <v>75</v>
      </c>
      <c r="D54" s="133" t="s">
        <v>58</v>
      </c>
      <c r="E54" s="127">
        <v>3.28</v>
      </c>
      <c r="F54" s="95">
        <f t="shared" si="21"/>
        <v>14</v>
      </c>
      <c r="G54" s="95">
        <f t="shared" si="22"/>
        <v>15</v>
      </c>
      <c r="H54" s="95">
        <f t="shared" si="23"/>
        <v>3</v>
      </c>
      <c r="I54" s="95">
        <f>+(F54+G54+H54)*$I$4</f>
        <v>3.84</v>
      </c>
      <c r="J54" s="95">
        <f>+(F54+G54+H54+I54)*$J$4</f>
        <v>3.2256</v>
      </c>
      <c r="K54" s="151">
        <f t="shared" si="27"/>
        <v>39.0656</v>
      </c>
      <c r="L54" s="95">
        <f t="shared" si="18"/>
        <v>128.135168</v>
      </c>
      <c r="M54" s="95"/>
    </row>
    <row r="55" s="121" customFormat="1" ht="81" customHeight="1" outlineLevel="1" spans="1:13">
      <c r="A55" s="127">
        <v>1.12</v>
      </c>
      <c r="B55" s="131" t="s">
        <v>71</v>
      </c>
      <c r="C55" s="131" t="s">
        <v>76</v>
      </c>
      <c r="D55" s="126" t="s">
        <v>58</v>
      </c>
      <c r="E55" s="127">
        <f>7.5*0.3</f>
        <v>2.25</v>
      </c>
      <c r="F55" s="95">
        <f t="shared" si="24"/>
        <v>13</v>
      </c>
      <c r="G55" s="95">
        <f t="shared" si="25"/>
        <v>12.5</v>
      </c>
      <c r="H55" s="95">
        <f t="shared" si="26"/>
        <v>2</v>
      </c>
      <c r="I55" s="95">
        <f>+(F55+G55+H55)*$I$4</f>
        <v>3.3</v>
      </c>
      <c r="J55" s="95">
        <f>+(F55+G55+H55+I55)*$J$4</f>
        <v>2.772</v>
      </c>
      <c r="K55" s="151">
        <f t="shared" si="27"/>
        <v>33.572</v>
      </c>
      <c r="L55" s="95">
        <f t="shared" si="18"/>
        <v>75.537</v>
      </c>
      <c r="M55" s="95"/>
    </row>
    <row r="56" s="121" customFormat="1" ht="123" customHeight="1" outlineLevel="1" spans="1:13">
      <c r="A56" s="126">
        <v>1.11</v>
      </c>
      <c r="B56" s="133" t="s">
        <v>130</v>
      </c>
      <c r="C56" s="148" t="s">
        <v>131</v>
      </c>
      <c r="D56" s="133" t="s">
        <v>58</v>
      </c>
      <c r="E56" s="138">
        <v>0</v>
      </c>
      <c r="F56" s="95">
        <v>105</v>
      </c>
      <c r="G56" s="95">
        <v>180</v>
      </c>
      <c r="H56" s="95">
        <v>38</v>
      </c>
      <c r="I56" s="95">
        <f>+(F56+G56+H56)*$I$4</f>
        <v>38.76</v>
      </c>
      <c r="J56" s="95">
        <f>+(F56+G56+H56+I56)*$J$4</f>
        <v>32.5584</v>
      </c>
      <c r="K56" s="95">
        <f t="shared" si="27"/>
        <v>394.3184</v>
      </c>
      <c r="L56" s="95">
        <f t="shared" si="18"/>
        <v>0</v>
      </c>
      <c r="M56" s="152"/>
    </row>
    <row r="57" s="121" customFormat="1" ht="27" customHeight="1" spans="1:13">
      <c r="A57" s="126">
        <v>2</v>
      </c>
      <c r="B57" s="133" t="s">
        <v>77</v>
      </c>
      <c r="C57" s="134"/>
      <c r="D57" s="133"/>
      <c r="E57" s="127"/>
      <c r="F57" s="95"/>
      <c r="G57" s="95"/>
      <c r="H57" s="95"/>
      <c r="I57" s="95"/>
      <c r="J57" s="95"/>
      <c r="K57" s="95"/>
      <c r="L57" s="95">
        <f>L58</f>
        <v>3075.7518848</v>
      </c>
      <c r="M57" s="152"/>
    </row>
    <row r="58" s="121" customFormat="1" ht="189" customHeight="1" outlineLevel="1" spans="1:13">
      <c r="A58" s="126">
        <v>2.1</v>
      </c>
      <c r="B58" s="132" t="s">
        <v>77</v>
      </c>
      <c r="C58" s="135" t="s">
        <v>78</v>
      </c>
      <c r="D58" s="133" t="s">
        <v>58</v>
      </c>
      <c r="E58" s="127">
        <f>E44+E45+E48</f>
        <v>29.296</v>
      </c>
      <c r="F58" s="95">
        <f>+F20</f>
        <v>24</v>
      </c>
      <c r="G58" s="95">
        <f>+G20</f>
        <v>48</v>
      </c>
      <c r="H58" s="95">
        <f>+H20</f>
        <v>14</v>
      </c>
      <c r="I58" s="95">
        <f>+(F58+G58+H58)*$I$4</f>
        <v>10.32</v>
      </c>
      <c r="J58" s="95">
        <f>+(F58+G58+H58+I58)*$J$4</f>
        <v>8.6688</v>
      </c>
      <c r="K58" s="151">
        <f t="shared" ref="K58:K73" si="28">SUBTOTAL(9,F58:J58)</f>
        <v>104.9888</v>
      </c>
      <c r="L58" s="95">
        <f>E58*K58</f>
        <v>3075.7518848</v>
      </c>
      <c r="M58" s="152"/>
    </row>
    <row r="59" s="121" customFormat="1" ht="26.1" customHeight="1" spans="1:13">
      <c r="A59" s="126">
        <v>3</v>
      </c>
      <c r="B59" s="126" t="s">
        <v>80</v>
      </c>
      <c r="C59" s="126"/>
      <c r="D59" s="126"/>
      <c r="E59" s="127"/>
      <c r="F59" s="95"/>
      <c r="G59" s="95"/>
      <c r="H59" s="95"/>
      <c r="I59" s="95"/>
      <c r="J59" s="95"/>
      <c r="K59" s="95"/>
      <c r="L59" s="95">
        <f ca="1">SUM(L60:L73)</f>
        <v>22472.606477888</v>
      </c>
      <c r="M59" s="95"/>
    </row>
    <row r="60" s="118" customFormat="1" ht="90" customHeight="1" outlineLevel="1" spans="1:13">
      <c r="A60" s="65">
        <v>3.1</v>
      </c>
      <c r="B60" s="136" t="s">
        <v>81</v>
      </c>
      <c r="C60" s="137" t="s">
        <v>82</v>
      </c>
      <c r="D60" s="65" t="s">
        <v>58</v>
      </c>
      <c r="E60" s="138">
        <f ca="1">计算式!F43+计算式!F46+计算式!F48+计算式!F49+计算式!F53+计算式!F54</f>
        <v>30.438</v>
      </c>
      <c r="F60" s="138">
        <f t="shared" ref="F60:H60" si="29">+$F$22</f>
        <v>24</v>
      </c>
      <c r="G60" s="138">
        <f>+$G$22</f>
        <v>24</v>
      </c>
      <c r="H60" s="138">
        <f>+$H$22</f>
        <v>5</v>
      </c>
      <c r="I60" s="95">
        <f>+(F60+G60+H60)*$I$4</f>
        <v>6.36</v>
      </c>
      <c r="J60" s="95">
        <f>+(F60+G60+H60+I60)*$J$4</f>
        <v>5.3424</v>
      </c>
      <c r="K60" s="95">
        <f t="shared" si="28"/>
        <v>64.7024</v>
      </c>
      <c r="L60" s="95">
        <f ca="1" t="shared" ref="L58:L67" si="30">E60*K60</f>
        <v>1969.4116512</v>
      </c>
      <c r="M60" s="126" t="s">
        <v>83</v>
      </c>
    </row>
    <row r="61" s="118" customFormat="1" ht="90" customHeight="1" outlineLevel="1" spans="1:13">
      <c r="A61" s="65">
        <v>3.2</v>
      </c>
      <c r="B61" s="136" t="s">
        <v>84</v>
      </c>
      <c r="C61" s="139" t="s">
        <v>85</v>
      </c>
      <c r="D61" s="65" t="s">
        <v>68</v>
      </c>
      <c r="E61" s="138">
        <f ca="1">计算式!F44</f>
        <v>5.36</v>
      </c>
      <c r="F61" s="138">
        <f t="shared" ref="F61:H61" si="31">+$F$23</f>
        <v>24</v>
      </c>
      <c r="G61" s="138">
        <f>+$G$23</f>
        <v>45</v>
      </c>
      <c r="H61" s="138">
        <f>+$H$23</f>
        <v>12</v>
      </c>
      <c r="I61" s="95">
        <f>+(F61+G61+H61)*$I$4</f>
        <v>9.72</v>
      </c>
      <c r="J61" s="95">
        <f>+(F61+G61+H61+I61)*$J$4</f>
        <v>8.1648</v>
      </c>
      <c r="K61" s="95">
        <f t="shared" si="28"/>
        <v>98.8848</v>
      </c>
      <c r="L61" s="95">
        <f ca="1" t="shared" si="30"/>
        <v>530.022528</v>
      </c>
      <c r="M61" s="126"/>
    </row>
    <row r="62" s="118" customFormat="1" ht="81" customHeight="1" outlineLevel="1" spans="1:13">
      <c r="A62" s="65">
        <v>3.3</v>
      </c>
      <c r="B62" s="136" t="s">
        <v>86</v>
      </c>
      <c r="C62" s="137" t="s">
        <v>87</v>
      </c>
      <c r="D62" s="65" t="s">
        <v>58</v>
      </c>
      <c r="E62" s="138">
        <f ca="1">计算式!F45</f>
        <v>3.36</v>
      </c>
      <c r="F62" s="138">
        <f t="shared" ref="F62:H62" si="32">+$F$24</f>
        <v>225</v>
      </c>
      <c r="G62" s="138">
        <f>+$G$24</f>
        <v>495</v>
      </c>
      <c r="H62" s="138">
        <f>+$H$24</f>
        <v>75</v>
      </c>
      <c r="I62" s="95">
        <f>+(F62+G62+H62)*$I$4</f>
        <v>95.4</v>
      </c>
      <c r="J62" s="95">
        <f>+(F62+G62+H62+I62)*$J$4</f>
        <v>80.136</v>
      </c>
      <c r="K62" s="95">
        <f t="shared" si="28"/>
        <v>970.536</v>
      </c>
      <c r="L62" s="95">
        <f ca="1" t="shared" si="30"/>
        <v>3261.00096</v>
      </c>
      <c r="M62" s="126"/>
    </row>
    <row r="63" s="118" customFormat="1" ht="90" customHeight="1" outlineLevel="1" spans="1:13">
      <c r="A63" s="126">
        <v>3.4</v>
      </c>
      <c r="B63" s="140" t="s">
        <v>88</v>
      </c>
      <c r="C63" s="141" t="s">
        <v>89</v>
      </c>
      <c r="D63" s="126" t="s">
        <v>58</v>
      </c>
      <c r="E63" s="127">
        <f ca="1">计算式!F50</f>
        <v>5.44</v>
      </c>
      <c r="F63" s="127">
        <f t="shared" ref="F63:H63" si="33">+$F$25</f>
        <v>82</v>
      </c>
      <c r="G63" s="127">
        <f>+$G$25</f>
        <v>128</v>
      </c>
      <c r="H63" s="127">
        <f>+$H$25</f>
        <v>50</v>
      </c>
      <c r="I63" s="95">
        <f>+(F63+G63+H63)*$I$4</f>
        <v>31.2</v>
      </c>
      <c r="J63" s="95">
        <f>+(F63+G63+H63+I63)*$J$4</f>
        <v>26.208</v>
      </c>
      <c r="K63" s="95">
        <f t="shared" si="28"/>
        <v>317.408</v>
      </c>
      <c r="L63" s="95">
        <f ca="1" t="shared" si="30"/>
        <v>1726.69952</v>
      </c>
      <c r="M63" s="126"/>
    </row>
    <row r="64" s="121" customFormat="1" ht="78" customHeight="1" outlineLevel="1" spans="1:13">
      <c r="A64" s="65">
        <v>3.5</v>
      </c>
      <c r="B64" s="126" t="s">
        <v>90</v>
      </c>
      <c r="C64" s="141" t="s">
        <v>91</v>
      </c>
      <c r="D64" s="126" t="s">
        <v>92</v>
      </c>
      <c r="E64" s="127">
        <v>1</v>
      </c>
      <c r="F64" s="95">
        <f t="shared" ref="F64:H64" si="34">+$F$26</f>
        <v>85</v>
      </c>
      <c r="G64" s="95">
        <f>+$G$26</f>
        <v>650</v>
      </c>
      <c r="H64" s="95">
        <f>+$H$26</f>
        <v>32</v>
      </c>
      <c r="I64" s="95">
        <f>+(F64+G64+H64)*$I$4</f>
        <v>92.04</v>
      </c>
      <c r="J64" s="95">
        <f>+(F64+G64+H64+I64)*$J$4</f>
        <v>77.3136</v>
      </c>
      <c r="K64" s="95">
        <f t="shared" si="28"/>
        <v>936.3536</v>
      </c>
      <c r="L64" s="95">
        <f t="shared" si="30"/>
        <v>936.3536</v>
      </c>
      <c r="M64" s="95" t="s">
        <v>93</v>
      </c>
    </row>
    <row r="65" s="121" customFormat="1" ht="75" customHeight="1" outlineLevel="1" spans="1:13">
      <c r="A65" s="65">
        <v>3.6</v>
      </c>
      <c r="B65" s="126" t="s">
        <v>94</v>
      </c>
      <c r="C65" s="141" t="s">
        <v>95</v>
      </c>
      <c r="D65" s="126" t="s">
        <v>92</v>
      </c>
      <c r="E65" s="127">
        <v>1</v>
      </c>
      <c r="F65" s="95">
        <f t="shared" ref="F65:H65" si="35">+$F$27</f>
        <v>85</v>
      </c>
      <c r="G65" s="95">
        <f>+$G$27</f>
        <v>650</v>
      </c>
      <c r="H65" s="95">
        <f>+$H$27</f>
        <v>15</v>
      </c>
      <c r="I65" s="95">
        <f>+(F65+G65+H65)*$I$4</f>
        <v>90</v>
      </c>
      <c r="J65" s="95">
        <f>+(F65+G65+H65+I65)*$J$4</f>
        <v>75.6</v>
      </c>
      <c r="K65" s="95">
        <f t="shared" si="28"/>
        <v>915.6</v>
      </c>
      <c r="L65" s="95">
        <f t="shared" si="30"/>
        <v>915.6</v>
      </c>
      <c r="M65" s="95" t="s">
        <v>93</v>
      </c>
    </row>
    <row r="66" s="121" customFormat="1" ht="99" customHeight="1" outlineLevel="1" spans="1:13">
      <c r="A66" s="65">
        <v>3.7</v>
      </c>
      <c r="B66" s="126" t="s">
        <v>96</v>
      </c>
      <c r="C66" s="142" t="s">
        <v>97</v>
      </c>
      <c r="D66" s="126" t="s">
        <v>58</v>
      </c>
      <c r="E66" s="127">
        <f ca="1">计算式!F56+计算式!F58+计算式!F59+计算式!F60+计算式!F65+计算式!F66+计算式!F67+计算式!F68</f>
        <v>29.7742</v>
      </c>
      <c r="F66" s="95">
        <f t="shared" ref="F66:F68" si="36">+$F$28</f>
        <v>54</v>
      </c>
      <c r="G66" s="95">
        <f t="shared" ref="G66:G68" si="37">+$G$28</f>
        <v>75</v>
      </c>
      <c r="H66" s="95">
        <f>+$H$28</f>
        <v>16.8</v>
      </c>
      <c r="I66" s="95">
        <f>+(F66+G66+H66)*$I$4</f>
        <v>17.496</v>
      </c>
      <c r="J66" s="95">
        <f>+(F66+G66+H66+I66)*$J$4</f>
        <v>14.69664</v>
      </c>
      <c r="K66" s="95">
        <f t="shared" si="28"/>
        <v>177.99264</v>
      </c>
      <c r="L66" s="95">
        <f ca="1" t="shared" si="30"/>
        <v>5299.588461888</v>
      </c>
      <c r="M66" s="150" t="s">
        <v>59</v>
      </c>
    </row>
    <row r="67" s="121" customFormat="1" ht="72" customHeight="1" outlineLevel="1" spans="1:13">
      <c r="A67" s="126">
        <v>3.8</v>
      </c>
      <c r="B67" s="126" t="s">
        <v>98</v>
      </c>
      <c r="C67" s="142" t="s">
        <v>99</v>
      </c>
      <c r="D67" s="126" t="s">
        <v>58</v>
      </c>
      <c r="E67" s="127">
        <f ca="1">计算式!F57+计算式!F61</f>
        <v>2.48</v>
      </c>
      <c r="F67" s="95">
        <f t="shared" si="36"/>
        <v>54</v>
      </c>
      <c r="G67" s="95">
        <f t="shared" si="37"/>
        <v>75</v>
      </c>
      <c r="H67" s="95">
        <v>16.8</v>
      </c>
      <c r="I67" s="95">
        <f>+(F67+G67+H67)*$I$4</f>
        <v>17.496</v>
      </c>
      <c r="J67" s="95">
        <f>+(F67+G67+H67+I67)*$J$4</f>
        <v>14.69664</v>
      </c>
      <c r="K67" s="95">
        <f t="shared" si="28"/>
        <v>177.99264</v>
      </c>
      <c r="L67" s="95">
        <f ca="1" t="shared" si="30"/>
        <v>441.4217472</v>
      </c>
      <c r="M67" s="95"/>
    </row>
    <row r="68" s="121" customFormat="1" ht="81" customHeight="1" outlineLevel="1" spans="1:13">
      <c r="A68" s="65">
        <v>3.9</v>
      </c>
      <c r="B68" s="126" t="s">
        <v>101</v>
      </c>
      <c r="C68" s="131" t="s">
        <v>102</v>
      </c>
      <c r="D68" s="126" t="s">
        <v>58</v>
      </c>
      <c r="E68" s="127">
        <v>15.29</v>
      </c>
      <c r="F68" s="95">
        <f t="shared" si="36"/>
        <v>54</v>
      </c>
      <c r="G68" s="95">
        <f t="shared" si="37"/>
        <v>75</v>
      </c>
      <c r="H68" s="95">
        <v>16.8</v>
      </c>
      <c r="I68" s="95">
        <f>+(F68+G68+H68)*$I$4</f>
        <v>17.496</v>
      </c>
      <c r="J68" s="95">
        <f>+(F68+G68+H68+I68)*$J$4</f>
        <v>14.69664</v>
      </c>
      <c r="K68" s="95">
        <f t="shared" si="28"/>
        <v>177.99264</v>
      </c>
      <c r="L68" s="95">
        <f t="shared" ref="L68:L73" si="38">E68*K68</f>
        <v>2721.5074656</v>
      </c>
      <c r="M68" s="95"/>
    </row>
    <row r="69" s="121" customFormat="1" ht="78" customHeight="1" outlineLevel="1" spans="1:13">
      <c r="A69" s="127">
        <v>3.1</v>
      </c>
      <c r="B69" s="126" t="s">
        <v>103</v>
      </c>
      <c r="C69" s="131" t="s">
        <v>104</v>
      </c>
      <c r="D69" s="126" t="s">
        <v>68</v>
      </c>
      <c r="E69" s="127">
        <f ca="1">计算式!F62</f>
        <v>3.43</v>
      </c>
      <c r="F69" s="95">
        <f t="shared" ref="F69:H69" si="39">+$F$31</f>
        <v>112</v>
      </c>
      <c r="G69" s="95">
        <f>+$G$31</f>
        <v>580</v>
      </c>
      <c r="H69" s="95">
        <f>+$H$31</f>
        <v>54</v>
      </c>
      <c r="I69" s="95">
        <f>+(F69+G69+H69)*$I$4</f>
        <v>89.52</v>
      </c>
      <c r="J69" s="95">
        <f>+(F69+G69+H69+I69)*$J$4</f>
        <v>75.1968</v>
      </c>
      <c r="K69" s="95">
        <f t="shared" si="28"/>
        <v>910.7168</v>
      </c>
      <c r="L69" s="95">
        <f ca="1" t="shared" si="38"/>
        <v>3123.758624</v>
      </c>
      <c r="M69" s="95"/>
    </row>
    <row r="70" s="121" customFormat="1" ht="78" customHeight="1" outlineLevel="1" spans="1:13">
      <c r="A70" s="126">
        <v>3.11</v>
      </c>
      <c r="B70" s="126" t="s">
        <v>105</v>
      </c>
      <c r="C70" s="131" t="s">
        <v>106</v>
      </c>
      <c r="D70" s="126" t="s">
        <v>68</v>
      </c>
      <c r="E70" s="127">
        <f ca="1">计算式!F63</f>
        <v>1.55</v>
      </c>
      <c r="F70" s="95">
        <f>+$F$32</f>
        <v>112</v>
      </c>
      <c r="G70" s="95">
        <f>+$G$32</f>
        <v>450</v>
      </c>
      <c r="H70" s="95">
        <f>+$H$32</f>
        <v>54</v>
      </c>
      <c r="I70" s="95">
        <f>+(F70+G70+H70)*$I$4</f>
        <v>73.92</v>
      </c>
      <c r="J70" s="95">
        <f>+(F70+G70+H70+I70)*$J$4</f>
        <v>62.0928</v>
      </c>
      <c r="K70" s="95">
        <f t="shared" si="28"/>
        <v>752.0128</v>
      </c>
      <c r="L70" s="95">
        <f ca="1" t="shared" si="38"/>
        <v>1165.61984</v>
      </c>
      <c r="M70" s="95"/>
    </row>
    <row r="71" s="121" customFormat="1" ht="78" customHeight="1" outlineLevel="1" spans="1:13">
      <c r="A71" s="126">
        <v>3.12</v>
      </c>
      <c r="B71" s="126" t="s">
        <v>107</v>
      </c>
      <c r="C71" s="131" t="s">
        <v>108</v>
      </c>
      <c r="D71" s="126" t="s">
        <v>109</v>
      </c>
      <c r="E71" s="127">
        <v>1</v>
      </c>
      <c r="F71" s="95">
        <f t="shared" ref="F71:H71" si="40">+$F$33</f>
        <v>8</v>
      </c>
      <c r="G71" s="95">
        <f>+$G$33</f>
        <v>35</v>
      </c>
      <c r="H71" s="95">
        <f>+$H$33</f>
        <v>2</v>
      </c>
      <c r="I71" s="95">
        <f>+(F71+G71+H71)*$I$4</f>
        <v>5.4</v>
      </c>
      <c r="J71" s="95">
        <f>+(F71+G71+H71+I71)*$J$4</f>
        <v>4.536</v>
      </c>
      <c r="K71" s="95">
        <f t="shared" si="28"/>
        <v>54.936</v>
      </c>
      <c r="L71" s="95">
        <f t="shared" si="38"/>
        <v>54.936</v>
      </c>
      <c r="M71" s="95"/>
    </row>
    <row r="72" s="121" customFormat="1" ht="78" customHeight="1" outlineLevel="1" spans="1:13">
      <c r="A72" s="126">
        <v>3.13</v>
      </c>
      <c r="B72" s="126" t="s">
        <v>111</v>
      </c>
      <c r="C72" s="131" t="s">
        <v>108</v>
      </c>
      <c r="D72" s="126" t="s">
        <v>109</v>
      </c>
      <c r="E72" s="127">
        <v>1</v>
      </c>
      <c r="F72" s="95">
        <f t="shared" ref="F72:H72" si="41">+$F$34</f>
        <v>10</v>
      </c>
      <c r="G72" s="95">
        <f>+$G$34</f>
        <v>58</v>
      </c>
      <c r="H72" s="95">
        <f>+$H$34</f>
        <v>2</v>
      </c>
      <c r="I72" s="95">
        <f>+(F72+G72+H72)*$I$4</f>
        <v>8.4</v>
      </c>
      <c r="J72" s="95">
        <f>+(F72+G72+H72+I72)*$J$4</f>
        <v>7.056</v>
      </c>
      <c r="K72" s="95">
        <f t="shared" si="28"/>
        <v>85.456</v>
      </c>
      <c r="L72" s="95">
        <f t="shared" si="38"/>
        <v>85.456</v>
      </c>
      <c r="M72" s="95"/>
    </row>
    <row r="73" s="121" customFormat="1" ht="179" customHeight="1" outlineLevel="1" spans="1:13">
      <c r="A73" s="126">
        <v>3.2</v>
      </c>
      <c r="B73" s="140" t="s">
        <v>132</v>
      </c>
      <c r="C73" s="134" t="s">
        <v>133</v>
      </c>
      <c r="D73" s="126" t="s">
        <v>68</v>
      </c>
      <c r="E73" s="138">
        <f ca="1">计算式!F47</f>
        <v>1.52</v>
      </c>
      <c r="F73" s="127">
        <v>35</v>
      </c>
      <c r="G73" s="127">
        <v>85</v>
      </c>
      <c r="H73" s="127">
        <v>10</v>
      </c>
      <c r="I73" s="95">
        <f>+(F73+G73+H73)*$I$4</f>
        <v>15.6</v>
      </c>
      <c r="J73" s="95">
        <f>+(F73+G73+H73+I73)*$J$4</f>
        <v>13.104</v>
      </c>
      <c r="K73" s="95">
        <f t="shared" si="28"/>
        <v>158.704</v>
      </c>
      <c r="L73" s="95">
        <f ca="1" t="shared" si="38"/>
        <v>241.23008</v>
      </c>
      <c r="M73" s="126"/>
    </row>
    <row r="74" s="121" customFormat="1" ht="30" customHeight="1" spans="1:13">
      <c r="A74" s="126">
        <v>4</v>
      </c>
      <c r="B74" s="126" t="s">
        <v>112</v>
      </c>
      <c r="C74" s="126" t="s">
        <v>134</v>
      </c>
      <c r="D74" s="126"/>
      <c r="E74" s="127"/>
      <c r="F74" s="95"/>
      <c r="G74" s="95"/>
      <c r="H74" s="95"/>
      <c r="I74" s="95"/>
      <c r="J74" s="95"/>
      <c r="K74" s="95"/>
      <c r="L74" s="95">
        <f>SUM(L75:L80)</f>
        <v>3468.457608</v>
      </c>
      <c r="M74" s="95"/>
    </row>
    <row r="75" s="121" customFormat="1" ht="139" customHeight="1" outlineLevel="1" spans="1:13">
      <c r="A75" s="126">
        <v>4.1</v>
      </c>
      <c r="B75" s="126" t="s">
        <v>113</v>
      </c>
      <c r="C75" s="131" t="s">
        <v>114</v>
      </c>
      <c r="D75" s="126" t="s">
        <v>115</v>
      </c>
      <c r="E75" s="127">
        <f>3.015+3.65</f>
        <v>6.665</v>
      </c>
      <c r="F75" s="95">
        <f>+$F$36</f>
        <v>38</v>
      </c>
      <c r="G75" s="95">
        <f>+$G$36</f>
        <v>12</v>
      </c>
      <c r="H75" s="95">
        <f>+$H$36</f>
        <v>35</v>
      </c>
      <c r="I75" s="95">
        <f>+(F75+G75+H75)*$I$4</f>
        <v>10.2</v>
      </c>
      <c r="J75" s="95">
        <f>+(F75+G75+H75+I75)*$J$4</f>
        <v>8.568</v>
      </c>
      <c r="K75" s="95">
        <f t="shared" ref="K75:K80" si="42">SUBTOTAL(9,F75:J75)</f>
        <v>103.768</v>
      </c>
      <c r="L75" s="95">
        <f t="shared" ref="L75:L80" si="43">E75*K75</f>
        <v>691.61372</v>
      </c>
      <c r="M75" s="95"/>
    </row>
    <row r="76" s="121" customFormat="1" ht="195" customHeight="1" outlineLevel="1" spans="1:13">
      <c r="A76" s="126">
        <v>4.2</v>
      </c>
      <c r="B76" s="65" t="s">
        <v>116</v>
      </c>
      <c r="C76" s="131" t="s">
        <v>117</v>
      </c>
      <c r="D76" s="126" t="s">
        <v>115</v>
      </c>
      <c r="E76" s="127">
        <f>16.36-6.954</f>
        <v>9.406</v>
      </c>
      <c r="F76" s="95">
        <f t="shared" ref="F76:H76" si="44">+$F$37</f>
        <v>62</v>
      </c>
      <c r="G76" s="95">
        <f>+$G$37</f>
        <v>55</v>
      </c>
      <c r="H76" s="95">
        <f>+$H$37</f>
        <v>18</v>
      </c>
      <c r="I76" s="95">
        <f>+(F76+G76+H76)*$I$4</f>
        <v>16.2</v>
      </c>
      <c r="J76" s="95">
        <f>+(F76+G76+H76+I76)*$J$4</f>
        <v>13.608</v>
      </c>
      <c r="K76" s="95">
        <f t="shared" si="42"/>
        <v>164.808</v>
      </c>
      <c r="L76" s="95">
        <f t="shared" si="43"/>
        <v>1550.184048</v>
      </c>
      <c r="M76" s="95"/>
    </row>
    <row r="77" s="121" customFormat="1" ht="144" customHeight="1" outlineLevel="1" spans="1:13">
      <c r="A77" s="143">
        <v>4.4</v>
      </c>
      <c r="B77" s="65" t="s">
        <v>118</v>
      </c>
      <c r="C77" s="142" t="s">
        <v>119</v>
      </c>
      <c r="D77" s="65" t="s">
        <v>58</v>
      </c>
      <c r="E77" s="155">
        <f>6.14+7.955</f>
        <v>14.095</v>
      </c>
      <c r="F77" s="95">
        <f>+$F$38</f>
        <v>21</v>
      </c>
      <c r="G77" s="95">
        <f>+$G$38</f>
        <v>8</v>
      </c>
      <c r="H77" s="95">
        <f>+$H$38</f>
        <v>3</v>
      </c>
      <c r="I77" s="95">
        <f>+(F77+G77+H77)*$I$4</f>
        <v>3.84</v>
      </c>
      <c r="J77" s="95">
        <f>+(F77+G77+H77+I77)*$J$4</f>
        <v>3.2256</v>
      </c>
      <c r="K77" s="95">
        <f t="shared" si="42"/>
        <v>39.0656</v>
      </c>
      <c r="L77" s="95">
        <f t="shared" si="43"/>
        <v>550.629632</v>
      </c>
      <c r="M77" s="39" t="s">
        <v>120</v>
      </c>
    </row>
    <row r="78" s="121" customFormat="1" ht="91" customHeight="1" outlineLevel="1" spans="1:13">
      <c r="A78" s="126">
        <v>4.3</v>
      </c>
      <c r="B78" s="65" t="s">
        <v>121</v>
      </c>
      <c r="C78" s="131" t="s">
        <v>122</v>
      </c>
      <c r="D78" s="126" t="s">
        <v>58</v>
      </c>
      <c r="E78" s="127">
        <v>3.415</v>
      </c>
      <c r="F78" s="95">
        <f>+$F$38</f>
        <v>21</v>
      </c>
      <c r="G78" s="95">
        <f>+$G$38</f>
        <v>8</v>
      </c>
      <c r="H78" s="95">
        <f>+$H$38</f>
        <v>3</v>
      </c>
      <c r="I78" s="95">
        <f>+(F78+G78+H78)*$I$4</f>
        <v>3.84</v>
      </c>
      <c r="J78" s="95">
        <f>+(F78+G78+H78+I78)*$J$4</f>
        <v>3.2256</v>
      </c>
      <c r="K78" s="95">
        <f t="shared" si="42"/>
        <v>39.0656</v>
      </c>
      <c r="L78" s="95">
        <f t="shared" si="43"/>
        <v>133.409024</v>
      </c>
      <c r="M78" s="95"/>
    </row>
    <row r="79" s="121" customFormat="1" ht="68.1" customHeight="1" outlineLevel="1" spans="1:13">
      <c r="A79" s="126">
        <v>4.5</v>
      </c>
      <c r="B79" s="126" t="s">
        <v>123</v>
      </c>
      <c r="C79" s="131" t="s">
        <v>124</v>
      </c>
      <c r="D79" s="126" t="s">
        <v>68</v>
      </c>
      <c r="E79" s="127">
        <v>9.939</v>
      </c>
      <c r="F79" s="95">
        <f t="shared" ref="F79:H79" si="45">+$F$40</f>
        <v>6</v>
      </c>
      <c r="G79" s="95">
        <f>+$G$40</f>
        <v>12</v>
      </c>
      <c r="H79" s="95">
        <f>+$H$40</f>
        <v>2</v>
      </c>
      <c r="I79" s="95">
        <f>+(F79+G79+H79)*$I$4</f>
        <v>2.4</v>
      </c>
      <c r="J79" s="95">
        <f>+(F79+G79+H79+I79)*$J$4</f>
        <v>2.016</v>
      </c>
      <c r="K79" s="95">
        <f t="shared" si="42"/>
        <v>24.416</v>
      </c>
      <c r="L79" s="95">
        <f t="shared" si="43"/>
        <v>242.670624</v>
      </c>
      <c r="M79" s="154"/>
    </row>
    <row r="80" s="121" customFormat="1" ht="83" customHeight="1" outlineLevel="1" spans="1:13">
      <c r="A80" s="126">
        <v>4.6</v>
      </c>
      <c r="B80" s="126" t="s">
        <v>125</v>
      </c>
      <c r="C80" s="131" t="s">
        <v>126</v>
      </c>
      <c r="D80" s="126" t="s">
        <v>68</v>
      </c>
      <c r="E80" s="127">
        <v>2.73</v>
      </c>
      <c r="F80" s="95">
        <f t="shared" ref="F80:H80" si="46">+$F$41</f>
        <v>44</v>
      </c>
      <c r="G80" s="95">
        <f>+$G$41</f>
        <v>26</v>
      </c>
      <c r="H80" s="95">
        <f>+$H$41</f>
        <v>20</v>
      </c>
      <c r="I80" s="95">
        <f>+(F80+G80+H80)*$I$4</f>
        <v>10.8</v>
      </c>
      <c r="J80" s="95">
        <f>+(F80+G80+H80+I80)*$J$4</f>
        <v>9.072</v>
      </c>
      <c r="K80" s="95">
        <f t="shared" si="42"/>
        <v>109.872</v>
      </c>
      <c r="L80" s="95">
        <f t="shared" si="43"/>
        <v>299.95056</v>
      </c>
      <c r="M80" s="154"/>
    </row>
    <row r="81" s="120" customFormat="1" ht="18" customHeight="1" spans="1:13">
      <c r="A81" s="128" t="s">
        <v>135</v>
      </c>
      <c r="B81" s="128" t="s">
        <v>136</v>
      </c>
      <c r="C81" s="128" t="s">
        <v>54</v>
      </c>
      <c r="D81" s="128"/>
      <c r="E81" s="129"/>
      <c r="F81" s="130"/>
      <c r="G81" s="130"/>
      <c r="H81" s="130"/>
      <c r="I81" s="130"/>
      <c r="J81" s="130"/>
      <c r="K81" s="130"/>
      <c r="L81" s="130"/>
      <c r="M81" s="130"/>
    </row>
    <row r="82" s="121" customFormat="1" ht="33" customHeight="1" spans="1:13">
      <c r="A82" s="126">
        <v>1</v>
      </c>
      <c r="B82" s="126" t="s">
        <v>55</v>
      </c>
      <c r="C82" s="126"/>
      <c r="D82" s="126"/>
      <c r="E82" s="127"/>
      <c r="F82" s="95"/>
      <c r="G82" s="95"/>
      <c r="H82" s="95"/>
      <c r="I82" s="95"/>
      <c r="J82" s="95"/>
      <c r="K82" s="95"/>
      <c r="L82" s="95">
        <f ca="1">SUM(L83:L95)</f>
        <v>11823.24174584</v>
      </c>
      <c r="M82" s="95"/>
    </row>
    <row r="83" s="121" customFormat="1" ht="102" customHeight="1" outlineLevel="1" spans="1:13">
      <c r="A83" s="126">
        <v>1.1</v>
      </c>
      <c r="B83" s="126" t="s">
        <v>56</v>
      </c>
      <c r="C83" s="131" t="s">
        <v>137</v>
      </c>
      <c r="D83" s="126" t="s">
        <v>58</v>
      </c>
      <c r="E83" s="127">
        <v>38.81</v>
      </c>
      <c r="F83" s="95">
        <f t="shared" ref="F83:F87" si="47">+$F$7</f>
        <v>52</v>
      </c>
      <c r="G83" s="95">
        <f t="shared" ref="G83:G87" si="48">+$G$7</f>
        <v>75</v>
      </c>
      <c r="H83" s="95">
        <f t="shared" ref="H83:H87" si="49">+$H$7</f>
        <v>16</v>
      </c>
      <c r="I83" s="95">
        <f>+(F83+G83+H83)*$I$4</f>
        <v>17.16</v>
      </c>
      <c r="J83" s="95">
        <f>+(F83+G83+H83+I83)*$J$4</f>
        <v>14.4144</v>
      </c>
      <c r="K83" s="151">
        <f t="shared" ref="K83:K85" si="50">SUBTOTAL(9,F83:J83)</f>
        <v>174.5744</v>
      </c>
      <c r="L83" s="95">
        <f t="shared" ref="L83:L95" si="51">E83*K83</f>
        <v>6775.232464</v>
      </c>
      <c r="M83" s="150" t="s">
        <v>59</v>
      </c>
    </row>
    <row r="84" s="121" customFormat="1" ht="102" customHeight="1" outlineLevel="1" spans="1:13">
      <c r="A84" s="126">
        <v>1.2</v>
      </c>
      <c r="B84" s="126" t="s">
        <v>56</v>
      </c>
      <c r="C84" s="131" t="s">
        <v>61</v>
      </c>
      <c r="D84" s="126" t="s">
        <v>58</v>
      </c>
      <c r="E84" s="127">
        <v>3.14</v>
      </c>
      <c r="F84" s="95">
        <f t="shared" si="47"/>
        <v>52</v>
      </c>
      <c r="G84" s="95">
        <f t="shared" si="48"/>
        <v>75</v>
      </c>
      <c r="H84" s="95">
        <f t="shared" si="49"/>
        <v>16</v>
      </c>
      <c r="I84" s="95">
        <f>+(F84+G84+H84)*$I$4</f>
        <v>17.16</v>
      </c>
      <c r="J84" s="95">
        <f>+(F84+G84+H84+I84)*$J$4</f>
        <v>14.4144</v>
      </c>
      <c r="K84" s="151">
        <f t="shared" si="50"/>
        <v>174.5744</v>
      </c>
      <c r="L84" s="95">
        <f t="shared" si="51"/>
        <v>548.163616</v>
      </c>
      <c r="M84" s="150" t="s">
        <v>59</v>
      </c>
    </row>
    <row r="85" s="121" customFormat="1" ht="69" customHeight="1" outlineLevel="1" spans="1:13">
      <c r="A85" s="126">
        <v>1.3</v>
      </c>
      <c r="B85" s="126" t="s">
        <v>62</v>
      </c>
      <c r="C85" s="131" t="s">
        <v>63</v>
      </c>
      <c r="D85" s="126" t="s">
        <v>58</v>
      </c>
      <c r="E85" s="127">
        <v>1.412</v>
      </c>
      <c r="F85" s="95">
        <v>16</v>
      </c>
      <c r="G85" s="95">
        <f>+$G$9</f>
        <v>13</v>
      </c>
      <c r="H85" s="95">
        <f>+$H$9</f>
        <v>3</v>
      </c>
      <c r="I85" s="95">
        <f>+(F85+G85+H85)*$I$4</f>
        <v>3.84</v>
      </c>
      <c r="J85" s="95">
        <f>+(F85+G85+H85+I85)*$J$4</f>
        <v>3.2256</v>
      </c>
      <c r="K85" s="95">
        <f t="shared" si="50"/>
        <v>39.0656</v>
      </c>
      <c r="L85" s="95">
        <f t="shared" si="51"/>
        <v>55.1606272</v>
      </c>
      <c r="M85" s="152"/>
    </row>
    <row r="86" s="121" customFormat="1" ht="90" customHeight="1" outlineLevel="1" spans="1:13">
      <c r="A86" s="126">
        <v>1.4</v>
      </c>
      <c r="B86" s="126" t="s">
        <v>56</v>
      </c>
      <c r="C86" s="131" t="s">
        <v>64</v>
      </c>
      <c r="D86" s="126" t="s">
        <v>58</v>
      </c>
      <c r="E86" s="127">
        <f>2.53+4.088</f>
        <v>6.618</v>
      </c>
      <c r="F86" s="95">
        <f t="shared" si="47"/>
        <v>52</v>
      </c>
      <c r="G86" s="95">
        <f t="shared" si="48"/>
        <v>75</v>
      </c>
      <c r="H86" s="95">
        <f t="shared" si="49"/>
        <v>16</v>
      </c>
      <c r="I86" s="95">
        <f>+(F86+G86+H86)*$I$4</f>
        <v>17.16</v>
      </c>
      <c r="J86" s="95">
        <f>+(F86+G86+H86+I86)*$J$4</f>
        <v>14.4144</v>
      </c>
      <c r="K86" s="151">
        <f t="shared" ref="K86:K90" si="52">SUBTOTAL(9,F86:J86)</f>
        <v>174.5744</v>
      </c>
      <c r="L86" s="95">
        <f t="shared" si="51"/>
        <v>1155.3333792</v>
      </c>
      <c r="M86" s="150" t="s">
        <v>59</v>
      </c>
    </row>
    <row r="87" s="121" customFormat="1" ht="90" customHeight="1" outlineLevel="1" spans="1:13">
      <c r="A87" s="126">
        <v>1.5</v>
      </c>
      <c r="B87" s="126" t="s">
        <v>56</v>
      </c>
      <c r="C87" s="131" t="s">
        <v>65</v>
      </c>
      <c r="D87" s="126" t="s">
        <v>58</v>
      </c>
      <c r="E87" s="127">
        <v>2.45</v>
      </c>
      <c r="F87" s="95">
        <f t="shared" si="47"/>
        <v>52</v>
      </c>
      <c r="G87" s="95">
        <f t="shared" si="48"/>
        <v>75</v>
      </c>
      <c r="H87" s="95">
        <f t="shared" si="49"/>
        <v>16</v>
      </c>
      <c r="I87" s="95">
        <f>+(F87+G87+H87)*$I$4</f>
        <v>17.16</v>
      </c>
      <c r="J87" s="95">
        <f>+(F87+G87+H87+I87)*$J$4</f>
        <v>14.4144</v>
      </c>
      <c r="K87" s="151">
        <f t="shared" si="52"/>
        <v>174.5744</v>
      </c>
      <c r="L87" s="95">
        <f t="shared" si="51"/>
        <v>427.70728</v>
      </c>
      <c r="M87" s="150" t="s">
        <v>59</v>
      </c>
    </row>
    <row r="88" s="121" customFormat="1" ht="55" customHeight="1" outlineLevel="1" spans="1:13">
      <c r="A88" s="126">
        <v>1.6</v>
      </c>
      <c r="B88" s="132" t="s">
        <v>66</v>
      </c>
      <c r="C88" s="132" t="s">
        <v>67</v>
      </c>
      <c r="D88" s="133" t="s">
        <v>68</v>
      </c>
      <c r="E88" s="127">
        <f ca="1">计算式!F76+计算式!F79+计算式!F82+计算式!F88+计算式!F91+计算式!F93+计算式!F95+计算式!F97+计算式!F99+计算式!F101+计算式!F104+计算式!F106+计算式!F109+计算式!F115+计算式!F118</f>
        <v>29.908</v>
      </c>
      <c r="F88" s="95">
        <f>+$F$12</f>
        <v>8</v>
      </c>
      <c r="G88" s="95">
        <f>+$G$12</f>
        <v>16</v>
      </c>
      <c r="H88" s="95">
        <f>+$H$12</f>
        <v>2</v>
      </c>
      <c r="I88" s="95">
        <f>+(F88+G88+H88)*$I$4</f>
        <v>3.12</v>
      </c>
      <c r="J88" s="95">
        <f>+(F88+G88+H88+I88)*$J$4</f>
        <v>2.6208</v>
      </c>
      <c r="K88" s="95">
        <f t="shared" si="52"/>
        <v>31.7408</v>
      </c>
      <c r="L88" s="95">
        <f ca="1" t="shared" si="51"/>
        <v>949.3038464</v>
      </c>
      <c r="M88" s="95"/>
    </row>
    <row r="89" s="121" customFormat="1" ht="115" customHeight="1" outlineLevel="1" spans="1:13">
      <c r="A89" s="126">
        <v>1.7</v>
      </c>
      <c r="B89" s="132" t="s">
        <v>69</v>
      </c>
      <c r="C89" s="134" t="s">
        <v>70</v>
      </c>
      <c r="D89" s="133" t="s">
        <v>58</v>
      </c>
      <c r="E89" s="127">
        <f>E86</f>
        <v>6.618</v>
      </c>
      <c r="F89" s="95">
        <f t="shared" ref="F89:F93" si="53">+$F$13</f>
        <v>14</v>
      </c>
      <c r="G89" s="95">
        <f t="shared" ref="G89:G93" si="54">+$G$13</f>
        <v>15</v>
      </c>
      <c r="H89" s="95">
        <f t="shared" ref="H89:H93" si="55">+$H$13</f>
        <v>3</v>
      </c>
      <c r="I89" s="95">
        <f>+(F89+G89+H89)*$I$4</f>
        <v>3.84</v>
      </c>
      <c r="J89" s="95">
        <f>+(F89+G89+H89+I89)*$J$4</f>
        <v>3.2256</v>
      </c>
      <c r="K89" s="151">
        <f t="shared" si="52"/>
        <v>39.0656</v>
      </c>
      <c r="L89" s="95">
        <f t="shared" si="51"/>
        <v>258.5361408</v>
      </c>
      <c r="M89" s="95"/>
    </row>
    <row r="90" s="121" customFormat="1" ht="102" customHeight="1" outlineLevel="1" spans="1:13">
      <c r="A90" s="126">
        <v>1.8</v>
      </c>
      <c r="B90" s="131" t="s">
        <v>71</v>
      </c>
      <c r="C90" s="131" t="s">
        <v>72</v>
      </c>
      <c r="D90" s="126" t="s">
        <v>58</v>
      </c>
      <c r="E90" s="127">
        <f>(9.16+7.339)*0.3</f>
        <v>4.9497</v>
      </c>
      <c r="F90" s="95">
        <f t="shared" ref="F90:F94" si="56">+$F$14</f>
        <v>13</v>
      </c>
      <c r="G90" s="95">
        <f t="shared" ref="G90:G94" si="57">+$G$14</f>
        <v>12.5</v>
      </c>
      <c r="H90" s="95">
        <f t="shared" ref="H90:H94" si="58">+$H$14</f>
        <v>2</v>
      </c>
      <c r="I90" s="95">
        <f>+(F90+G90+H90)*$I$4</f>
        <v>3.3</v>
      </c>
      <c r="J90" s="95">
        <f>+(F90+G90+H90+I90)*$J$4</f>
        <v>2.772</v>
      </c>
      <c r="K90" s="151">
        <f t="shared" si="52"/>
        <v>33.572</v>
      </c>
      <c r="L90" s="95">
        <f t="shared" si="51"/>
        <v>166.1713284</v>
      </c>
      <c r="M90" s="95"/>
    </row>
    <row r="91" s="121" customFormat="1" ht="110" customHeight="1" outlineLevel="1" spans="1:13">
      <c r="A91" s="126">
        <v>1.9</v>
      </c>
      <c r="B91" s="132" t="s">
        <v>69</v>
      </c>
      <c r="C91" s="134" t="s">
        <v>73</v>
      </c>
      <c r="D91" s="133" t="s">
        <v>58</v>
      </c>
      <c r="E91" s="127">
        <v>5.07</v>
      </c>
      <c r="F91" s="95">
        <f t="shared" si="53"/>
        <v>14</v>
      </c>
      <c r="G91" s="95">
        <f t="shared" si="54"/>
        <v>15</v>
      </c>
      <c r="H91" s="95">
        <f t="shared" si="55"/>
        <v>3</v>
      </c>
      <c r="I91" s="95">
        <f>+(F91+G91+H91)*$I$4</f>
        <v>3.84</v>
      </c>
      <c r="J91" s="95">
        <f>+(F91+G91+H91+I91)*$J$4</f>
        <v>3.2256</v>
      </c>
      <c r="K91" s="151">
        <f t="shared" ref="K91:K95" si="59">SUBTOTAL(9,F91:J91)</f>
        <v>39.0656</v>
      </c>
      <c r="L91" s="95">
        <f t="shared" si="51"/>
        <v>198.062592</v>
      </c>
      <c r="M91" s="95"/>
    </row>
    <row r="92" s="121" customFormat="1" ht="81" customHeight="1" outlineLevel="1" spans="1:13">
      <c r="A92" s="127">
        <v>1.1</v>
      </c>
      <c r="B92" s="131" t="s">
        <v>71</v>
      </c>
      <c r="C92" s="131" t="s">
        <v>74</v>
      </c>
      <c r="D92" s="126" t="s">
        <v>58</v>
      </c>
      <c r="E92" s="127">
        <f>(6.39-0.76+0.2*2+4.272-1.32+0.3+0.2)*0.3</f>
        <v>2.8446</v>
      </c>
      <c r="F92" s="95">
        <f t="shared" si="56"/>
        <v>13</v>
      </c>
      <c r="G92" s="95">
        <f t="shared" si="57"/>
        <v>12.5</v>
      </c>
      <c r="H92" s="95">
        <f t="shared" si="58"/>
        <v>2</v>
      </c>
      <c r="I92" s="95">
        <f>+(F92+G92+H92)*$I$4</f>
        <v>3.3</v>
      </c>
      <c r="J92" s="95">
        <f>+(F92+G92+H92+I92)*$J$4</f>
        <v>2.772</v>
      </c>
      <c r="K92" s="151">
        <f t="shared" si="59"/>
        <v>33.572</v>
      </c>
      <c r="L92" s="95">
        <f t="shared" si="51"/>
        <v>95.4989112</v>
      </c>
      <c r="M92" s="95"/>
    </row>
    <row r="93" s="121" customFormat="1" ht="81" customHeight="1" outlineLevel="1" spans="1:13">
      <c r="A93" s="127">
        <v>1.11</v>
      </c>
      <c r="B93" s="132" t="s">
        <v>69</v>
      </c>
      <c r="C93" s="134" t="s">
        <v>75</v>
      </c>
      <c r="D93" s="133" t="s">
        <v>58</v>
      </c>
      <c r="E93" s="127">
        <f>2.699+1.4999</f>
        <v>4.1989</v>
      </c>
      <c r="F93" s="95">
        <f t="shared" si="53"/>
        <v>14</v>
      </c>
      <c r="G93" s="95">
        <f t="shared" si="54"/>
        <v>15</v>
      </c>
      <c r="H93" s="95">
        <f t="shared" si="55"/>
        <v>3</v>
      </c>
      <c r="I93" s="95">
        <f>+(F93+G93+H93)*$I$4</f>
        <v>3.84</v>
      </c>
      <c r="J93" s="95">
        <f>+(F93+G93+H93+I93)*$J$4</f>
        <v>3.2256</v>
      </c>
      <c r="K93" s="151">
        <f t="shared" si="59"/>
        <v>39.0656</v>
      </c>
      <c r="L93" s="95">
        <f t="shared" si="51"/>
        <v>164.03254784</v>
      </c>
      <c r="M93" s="95"/>
    </row>
    <row r="94" s="121" customFormat="1" ht="81" customHeight="1" outlineLevel="1" spans="1:13">
      <c r="A94" s="127">
        <v>1.12</v>
      </c>
      <c r="B94" s="131" t="s">
        <v>71</v>
      </c>
      <c r="C94" s="131" t="s">
        <v>76</v>
      </c>
      <c r="D94" s="126" t="s">
        <v>58</v>
      </c>
      <c r="E94" s="127">
        <f>(6.6-0.8+0.2*2+5-1.6)*0.3</f>
        <v>2.88</v>
      </c>
      <c r="F94" s="95">
        <f t="shared" si="56"/>
        <v>13</v>
      </c>
      <c r="G94" s="95">
        <f t="shared" si="57"/>
        <v>12.5</v>
      </c>
      <c r="H94" s="95">
        <f t="shared" si="58"/>
        <v>2</v>
      </c>
      <c r="I94" s="95">
        <f>+(F94+G94+H94)*$I$4</f>
        <v>3.3</v>
      </c>
      <c r="J94" s="95">
        <f>+(F94+G94+H94+I94)*$J$4</f>
        <v>2.772</v>
      </c>
      <c r="K94" s="151">
        <f t="shared" si="59"/>
        <v>33.572</v>
      </c>
      <c r="L94" s="95">
        <f t="shared" si="51"/>
        <v>96.68736</v>
      </c>
      <c r="M94" s="95"/>
    </row>
    <row r="95" s="121" customFormat="1" ht="123" customHeight="1" outlineLevel="1" spans="1:13">
      <c r="A95" s="126">
        <v>1.11</v>
      </c>
      <c r="B95" s="133" t="s">
        <v>130</v>
      </c>
      <c r="C95" s="148" t="s">
        <v>131</v>
      </c>
      <c r="D95" s="133" t="s">
        <v>58</v>
      </c>
      <c r="E95" s="138">
        <v>2.367</v>
      </c>
      <c r="F95" s="95">
        <f t="shared" ref="F95:H95" si="60">+$F$56</f>
        <v>105</v>
      </c>
      <c r="G95" s="95">
        <f>+$G$56</f>
        <v>180</v>
      </c>
      <c r="H95" s="95">
        <f>+$H$56</f>
        <v>38</v>
      </c>
      <c r="I95" s="95">
        <f>+(F95+G95+H95)*$I$4</f>
        <v>38.76</v>
      </c>
      <c r="J95" s="95">
        <f>+(F95+G95+H95+I95)*$J$4</f>
        <v>32.5584</v>
      </c>
      <c r="K95" s="95">
        <f t="shared" si="59"/>
        <v>394.3184</v>
      </c>
      <c r="L95" s="95">
        <f t="shared" si="51"/>
        <v>933.3516528</v>
      </c>
      <c r="M95" s="152"/>
    </row>
    <row r="96" s="121" customFormat="1" ht="27" customHeight="1" spans="1:13">
      <c r="A96" s="126">
        <v>2</v>
      </c>
      <c r="B96" s="133" t="s">
        <v>77</v>
      </c>
      <c r="C96" s="134"/>
      <c r="D96" s="133"/>
      <c r="E96" s="127"/>
      <c r="F96" s="95"/>
      <c r="G96" s="95"/>
      <c r="H96" s="95"/>
      <c r="I96" s="95"/>
      <c r="J96" s="95"/>
      <c r="K96" s="95"/>
      <c r="L96" s="95">
        <f>L97</f>
        <v>4661.50272</v>
      </c>
      <c r="M96" s="152"/>
    </row>
    <row r="97" s="121" customFormat="1" ht="189" customHeight="1" outlineLevel="1" spans="1:13">
      <c r="A97" s="126">
        <v>2.1</v>
      </c>
      <c r="B97" s="132" t="s">
        <v>77</v>
      </c>
      <c r="C97" s="135" t="s">
        <v>78</v>
      </c>
      <c r="D97" s="133" t="s">
        <v>58</v>
      </c>
      <c r="E97" s="127">
        <f>E83+E84+E87</f>
        <v>44.4</v>
      </c>
      <c r="F97" s="95">
        <v>24</v>
      </c>
      <c r="G97" s="95">
        <f>+G20</f>
        <v>48</v>
      </c>
      <c r="H97" s="95">
        <v>14</v>
      </c>
      <c r="I97" s="95">
        <f>+(F97+G97+H97)*$I$4</f>
        <v>10.32</v>
      </c>
      <c r="J97" s="95">
        <f>+(F97+G97+H97+I97)*$J$4</f>
        <v>8.6688</v>
      </c>
      <c r="K97" s="151">
        <f t="shared" ref="K97:K115" si="61">SUBTOTAL(9,F97:J97)</f>
        <v>104.9888</v>
      </c>
      <c r="L97" s="95">
        <f>E97*K97</f>
        <v>4661.50272</v>
      </c>
      <c r="M97" s="152" t="s">
        <v>138</v>
      </c>
    </row>
    <row r="98" s="121" customFormat="1" ht="26.1" customHeight="1" spans="1:13">
      <c r="A98" s="126">
        <v>3</v>
      </c>
      <c r="B98" s="126" t="s">
        <v>80</v>
      </c>
      <c r="C98" s="126"/>
      <c r="D98" s="126"/>
      <c r="E98" s="127"/>
      <c r="F98" s="95"/>
      <c r="G98" s="95"/>
      <c r="H98" s="95"/>
      <c r="I98" s="95"/>
      <c r="J98" s="95"/>
      <c r="K98" s="95"/>
      <c r="L98" s="95">
        <f ca="1">SUM(L99:L115)</f>
        <v>28490.2209290272</v>
      </c>
      <c r="M98" s="95"/>
    </row>
    <row r="99" s="118" customFormat="1" ht="90" customHeight="1" outlineLevel="1" spans="1:13">
      <c r="A99" s="65">
        <v>3.1</v>
      </c>
      <c r="B99" s="136" t="s">
        <v>81</v>
      </c>
      <c r="C99" s="137" t="s">
        <v>82</v>
      </c>
      <c r="D99" s="65" t="s">
        <v>58</v>
      </c>
      <c r="E99" s="138">
        <f ca="1">计算式!F75+计算式!F78+计算式!F81+计算式!F84+计算式!F87+计算式!F90+计算式!F92+计算式!F94+计算式!F96+计算式!F98+计算式!F100+计算式!F103+计算式!F105+计算式!F108+计算式!F114+计算式!F117</f>
        <v>77.8937</v>
      </c>
      <c r="F99" s="138">
        <f>+$F$22</f>
        <v>24</v>
      </c>
      <c r="G99" s="138">
        <f>+$G$22</f>
        <v>24</v>
      </c>
      <c r="H99" s="138">
        <f>+$H$22</f>
        <v>5</v>
      </c>
      <c r="I99" s="95">
        <f>+(F99+G99+H99)*$I$4</f>
        <v>6.36</v>
      </c>
      <c r="J99" s="95">
        <f>+(F99+G99+H99+I99)*$J$4</f>
        <v>5.3424</v>
      </c>
      <c r="K99" s="95">
        <f t="shared" si="61"/>
        <v>64.7024</v>
      </c>
      <c r="L99" s="95">
        <f ca="1" t="shared" ref="L97:L107" si="62">E99*K99</f>
        <v>5039.90933488</v>
      </c>
      <c r="M99" s="126" t="s">
        <v>83</v>
      </c>
    </row>
    <row r="100" s="118" customFormat="1" ht="90" customHeight="1" outlineLevel="1" spans="1:13">
      <c r="A100" s="65">
        <v>3.2</v>
      </c>
      <c r="B100" s="136" t="s">
        <v>84</v>
      </c>
      <c r="C100" s="139" t="s">
        <v>85</v>
      </c>
      <c r="D100" s="65" t="s">
        <v>68</v>
      </c>
      <c r="E100" s="138">
        <f ca="1">计算式!F89</f>
        <v>5.33</v>
      </c>
      <c r="F100" s="138">
        <f>+$F$23</f>
        <v>24</v>
      </c>
      <c r="G100" s="138">
        <f>+$G$23</f>
        <v>45</v>
      </c>
      <c r="H100" s="138">
        <f>+$H$23</f>
        <v>12</v>
      </c>
      <c r="I100" s="95">
        <f>+(F100+G100+H100)*$I$4</f>
        <v>9.72</v>
      </c>
      <c r="J100" s="95">
        <f>+(F100+G100+H100+I100)*$J$4</f>
        <v>8.1648</v>
      </c>
      <c r="K100" s="95">
        <f t="shared" si="61"/>
        <v>98.8848</v>
      </c>
      <c r="L100" s="95">
        <f ca="1" t="shared" si="62"/>
        <v>527.055984</v>
      </c>
      <c r="M100" s="126"/>
    </row>
    <row r="101" s="118" customFormat="1" ht="81" customHeight="1" outlineLevel="1" spans="1:13">
      <c r="A101" s="65">
        <v>3.3</v>
      </c>
      <c r="B101" s="136" t="s">
        <v>86</v>
      </c>
      <c r="C101" s="137" t="s">
        <v>139</v>
      </c>
      <c r="D101" s="65" t="s">
        <v>58</v>
      </c>
      <c r="E101" s="138">
        <f ca="1">计算式!F86</f>
        <v>1.96</v>
      </c>
      <c r="F101" s="138">
        <f>+$F$24</f>
        <v>225</v>
      </c>
      <c r="G101" s="138">
        <f>+$G$24</f>
        <v>495</v>
      </c>
      <c r="H101" s="138">
        <f>+$H$24</f>
        <v>75</v>
      </c>
      <c r="I101" s="95">
        <f>+(F101+G101+H101)*$I$4</f>
        <v>95.4</v>
      </c>
      <c r="J101" s="95">
        <f>+(F101+G101+H101+I101)*$J$4</f>
        <v>80.136</v>
      </c>
      <c r="K101" s="95">
        <f t="shared" si="61"/>
        <v>970.536</v>
      </c>
      <c r="L101" s="95">
        <f ca="1" t="shared" si="62"/>
        <v>1902.25056</v>
      </c>
      <c r="M101" s="126"/>
    </row>
    <row r="102" s="118" customFormat="1" ht="90" customHeight="1" outlineLevel="1" spans="1:13">
      <c r="A102" s="126">
        <v>3.4</v>
      </c>
      <c r="B102" s="140" t="s">
        <v>88</v>
      </c>
      <c r="C102" s="141" t="s">
        <v>89</v>
      </c>
      <c r="D102" s="126" t="s">
        <v>58</v>
      </c>
      <c r="E102" s="127">
        <f ca="1">计算式!F85</f>
        <v>7.47</v>
      </c>
      <c r="F102" s="127">
        <f>+$F$25</f>
        <v>82</v>
      </c>
      <c r="G102" s="127">
        <f>+$G$25</f>
        <v>128</v>
      </c>
      <c r="H102" s="127">
        <f>+$H$25</f>
        <v>50</v>
      </c>
      <c r="I102" s="95">
        <f>+(F102+G102+H102)*$I$4</f>
        <v>31.2</v>
      </c>
      <c r="J102" s="95">
        <f>+(F102+G102+H102+I102)*$J$4</f>
        <v>26.208</v>
      </c>
      <c r="K102" s="95">
        <f t="shared" si="61"/>
        <v>317.408</v>
      </c>
      <c r="L102" s="95">
        <f ca="1" t="shared" si="62"/>
        <v>2371.03776</v>
      </c>
      <c r="M102" s="126"/>
    </row>
    <row r="103" s="121" customFormat="1" ht="78" customHeight="1" outlineLevel="1" spans="1:13">
      <c r="A103" s="65">
        <v>3.5</v>
      </c>
      <c r="B103" s="126" t="s">
        <v>90</v>
      </c>
      <c r="C103" s="141" t="s">
        <v>91</v>
      </c>
      <c r="D103" s="126" t="s">
        <v>92</v>
      </c>
      <c r="E103" s="127">
        <v>1</v>
      </c>
      <c r="F103" s="95">
        <f>+$F$26</f>
        <v>85</v>
      </c>
      <c r="G103" s="95">
        <f>+$G$26</f>
        <v>650</v>
      </c>
      <c r="H103" s="95">
        <f>+$H$26</f>
        <v>32</v>
      </c>
      <c r="I103" s="95">
        <f>+(F103+G103+H103)*$I$4</f>
        <v>92.04</v>
      </c>
      <c r="J103" s="95">
        <f>+(F103+G103+H103+I103)*$J$4</f>
        <v>77.3136</v>
      </c>
      <c r="K103" s="95">
        <f t="shared" si="61"/>
        <v>936.3536</v>
      </c>
      <c r="L103" s="95">
        <f t="shared" si="62"/>
        <v>936.3536</v>
      </c>
      <c r="M103" s="95" t="s">
        <v>93</v>
      </c>
    </row>
    <row r="104" s="121" customFormat="1" ht="75" customHeight="1" outlineLevel="1" spans="1:13">
      <c r="A104" s="65">
        <v>3.6</v>
      </c>
      <c r="B104" s="126" t="s">
        <v>94</v>
      </c>
      <c r="C104" s="141" t="s">
        <v>95</v>
      </c>
      <c r="D104" s="126" t="s">
        <v>92</v>
      </c>
      <c r="E104" s="127">
        <v>1</v>
      </c>
      <c r="F104" s="95">
        <f>+$F$27</f>
        <v>85</v>
      </c>
      <c r="G104" s="95">
        <f>+$G$27</f>
        <v>650</v>
      </c>
      <c r="H104" s="95">
        <f>+$H$27</f>
        <v>15</v>
      </c>
      <c r="I104" s="95">
        <f>+(F104+G104+H104)*$I$4</f>
        <v>90</v>
      </c>
      <c r="J104" s="95">
        <f>+(F104+G104+H104+I104)*$J$4</f>
        <v>75.6</v>
      </c>
      <c r="K104" s="95">
        <f t="shared" si="61"/>
        <v>915.6</v>
      </c>
      <c r="L104" s="95">
        <f t="shared" si="62"/>
        <v>915.6</v>
      </c>
      <c r="M104" s="95" t="s">
        <v>93</v>
      </c>
    </row>
    <row r="105" s="121" customFormat="1" ht="75" customHeight="1" outlineLevel="1" spans="1:13">
      <c r="A105" s="126">
        <v>3.3</v>
      </c>
      <c r="B105" s="140" t="s">
        <v>140</v>
      </c>
      <c r="C105" s="141" t="s">
        <v>141</v>
      </c>
      <c r="D105" s="126" t="s">
        <v>92</v>
      </c>
      <c r="E105" s="138">
        <v>2</v>
      </c>
      <c r="F105" s="127">
        <v>75</v>
      </c>
      <c r="G105" s="127">
        <v>750</v>
      </c>
      <c r="H105" s="127">
        <v>30</v>
      </c>
      <c r="I105" s="95">
        <f>+(F105+G105+H105)*$I$4</f>
        <v>102.6</v>
      </c>
      <c r="J105" s="95">
        <f>+(F105+G105+H105+I105)*$J$4</f>
        <v>86.184</v>
      </c>
      <c r="K105" s="95">
        <f t="shared" si="61"/>
        <v>1043.784</v>
      </c>
      <c r="L105" s="95">
        <f t="shared" si="62"/>
        <v>2087.568</v>
      </c>
      <c r="M105" s="126"/>
    </row>
    <row r="106" s="121" customFormat="1" ht="99" customHeight="1" outlineLevel="1" spans="1:13">
      <c r="A106" s="65">
        <v>3.7</v>
      </c>
      <c r="B106" s="126" t="s">
        <v>96</v>
      </c>
      <c r="C106" s="142" t="s">
        <v>97</v>
      </c>
      <c r="D106" s="126" t="s">
        <v>58</v>
      </c>
      <c r="E106" s="127">
        <f ca="1">计算式!F110+计算式!F112+计算式!F116+计算式!F120+计算式!F121+计算式!F122+计算式!F123+计算式!F126+计算式!F128+计算式!F130+计算式!F131</f>
        <v>34.3559</v>
      </c>
      <c r="F106" s="95">
        <f t="shared" ref="F106:F108" si="63">+$F$28</f>
        <v>54</v>
      </c>
      <c r="G106" s="95">
        <f t="shared" ref="G106:G108" si="64">+$G$28</f>
        <v>75</v>
      </c>
      <c r="H106" s="95">
        <f>+$H$28</f>
        <v>16.8</v>
      </c>
      <c r="I106" s="95">
        <f>+(F106+G106+H106)*$I$4</f>
        <v>17.496</v>
      </c>
      <c r="J106" s="95">
        <f>+(F106+G106+H106+I106)*$J$4</f>
        <v>14.69664</v>
      </c>
      <c r="K106" s="95">
        <f t="shared" si="61"/>
        <v>177.99264</v>
      </c>
      <c r="L106" s="95">
        <f ca="1" t="shared" ref="L106:L114" si="65">E106*K106</f>
        <v>6115.097340576</v>
      </c>
      <c r="M106" s="150" t="s">
        <v>59</v>
      </c>
    </row>
    <row r="107" s="121" customFormat="1" ht="72" customHeight="1" outlineLevel="1" spans="1:13">
      <c r="A107" s="156">
        <v>3.8</v>
      </c>
      <c r="B107" s="126" t="s">
        <v>98</v>
      </c>
      <c r="C107" s="142" t="s">
        <v>99</v>
      </c>
      <c r="D107" s="126" t="s">
        <v>58</v>
      </c>
      <c r="E107" s="127">
        <f ca="1">计算式!F127+计算式!F129</f>
        <v>2.73183</v>
      </c>
      <c r="F107" s="95">
        <f t="shared" si="63"/>
        <v>54</v>
      </c>
      <c r="G107" s="95">
        <f t="shared" si="64"/>
        <v>75</v>
      </c>
      <c r="H107" s="95">
        <v>16.8</v>
      </c>
      <c r="I107" s="95">
        <f>+(F107+G107+H107)*$I$4</f>
        <v>17.496</v>
      </c>
      <c r="J107" s="95">
        <f>+(F107+G107+H107+I107)*$J$4</f>
        <v>14.69664</v>
      </c>
      <c r="K107" s="95">
        <f t="shared" si="61"/>
        <v>177.99264</v>
      </c>
      <c r="L107" s="95">
        <f ca="1" t="shared" si="65"/>
        <v>486.2456337312</v>
      </c>
      <c r="M107" s="95"/>
    </row>
    <row r="108" s="121" customFormat="1" ht="81" customHeight="1" outlineLevel="1" spans="1:13">
      <c r="A108" s="143">
        <v>3.9</v>
      </c>
      <c r="B108" s="126" t="s">
        <v>101</v>
      </c>
      <c r="C108" s="157" t="s">
        <v>102</v>
      </c>
      <c r="D108" s="158" t="s">
        <v>58</v>
      </c>
      <c r="E108" s="159">
        <v>30.206</v>
      </c>
      <c r="F108" s="95">
        <f t="shared" si="63"/>
        <v>54</v>
      </c>
      <c r="G108" s="95">
        <f t="shared" si="64"/>
        <v>75</v>
      </c>
      <c r="H108" s="95">
        <v>16.8</v>
      </c>
      <c r="I108" s="95">
        <f>+(F108+G108+H108)*$I$4</f>
        <v>17.496</v>
      </c>
      <c r="J108" s="95">
        <f>+(F108+G108+H108+I108)*$J$4</f>
        <v>14.69664</v>
      </c>
      <c r="K108" s="95">
        <f t="shared" si="61"/>
        <v>177.99264</v>
      </c>
      <c r="L108" s="95">
        <f t="shared" si="65"/>
        <v>5376.44568384</v>
      </c>
      <c r="M108" s="95"/>
    </row>
    <row r="109" s="121" customFormat="1" ht="81" customHeight="1" outlineLevel="1" spans="1:13">
      <c r="A109" s="143"/>
      <c r="B109" s="160" t="s">
        <v>142</v>
      </c>
      <c r="C109" s="161"/>
      <c r="D109" s="126" t="s">
        <v>58</v>
      </c>
      <c r="E109" s="162">
        <v>0</v>
      </c>
      <c r="F109" s="95">
        <v>0</v>
      </c>
      <c r="G109" s="95">
        <v>320</v>
      </c>
      <c r="H109" s="95">
        <v>24</v>
      </c>
      <c r="I109" s="95">
        <f>+(F109+G109+H109)*$I$4</f>
        <v>41.28</v>
      </c>
      <c r="J109" s="95">
        <f>+(F109+G109+H109+I109)*$J$4</f>
        <v>34.6752</v>
      </c>
      <c r="K109" s="95">
        <f t="shared" si="61"/>
        <v>419.9552</v>
      </c>
      <c r="L109" s="95">
        <v>0</v>
      </c>
      <c r="M109" s="95" t="s">
        <v>143</v>
      </c>
    </row>
    <row r="110" s="121" customFormat="1" ht="81" customHeight="1" outlineLevel="1" spans="1:13">
      <c r="A110" s="143"/>
      <c r="B110" s="126" t="s">
        <v>144</v>
      </c>
      <c r="C110" s="163" t="s">
        <v>145</v>
      </c>
      <c r="D110" s="164" t="s">
        <v>68</v>
      </c>
      <c r="E110" s="165">
        <f ca="1">计算式!F111+计算式!F113</f>
        <v>3.79</v>
      </c>
      <c r="F110" s="95">
        <v>8.5</v>
      </c>
      <c r="G110" s="95">
        <v>18</v>
      </c>
      <c r="H110" s="95">
        <v>2</v>
      </c>
      <c r="I110" s="95">
        <f>+(F110+G110+H110)*$I$4</f>
        <v>3.42</v>
      </c>
      <c r="J110" s="95">
        <f>+(F110+G110+H110+I110)*$J$4</f>
        <v>2.8728</v>
      </c>
      <c r="K110" s="95">
        <f t="shared" si="61"/>
        <v>34.7928</v>
      </c>
      <c r="L110" s="95">
        <f ca="1" t="shared" si="65"/>
        <v>131.864712</v>
      </c>
      <c r="M110" s="95"/>
    </row>
    <row r="111" s="121" customFormat="1" ht="78" customHeight="1" outlineLevel="1" spans="1:13">
      <c r="A111" s="146">
        <v>3.1</v>
      </c>
      <c r="B111" s="126" t="s">
        <v>103</v>
      </c>
      <c r="C111" s="131" t="s">
        <v>104</v>
      </c>
      <c r="D111" s="126" t="s">
        <v>68</v>
      </c>
      <c r="E111" s="127">
        <f>1.64+1.04+0.6</f>
        <v>3.28</v>
      </c>
      <c r="F111" s="95">
        <f t="shared" ref="F111:H111" si="66">+$H$31</f>
        <v>54</v>
      </c>
      <c r="G111" s="95">
        <f t="shared" si="66"/>
        <v>54</v>
      </c>
      <c r="H111" s="95">
        <f t="shared" si="66"/>
        <v>54</v>
      </c>
      <c r="I111" s="95">
        <f>+(F111+G111+H111)*$I$4</f>
        <v>19.44</v>
      </c>
      <c r="J111" s="95">
        <f>+(F111+G111+H111+I111)*$J$4</f>
        <v>16.3296</v>
      </c>
      <c r="K111" s="95">
        <f t="shared" si="61"/>
        <v>197.7696</v>
      </c>
      <c r="L111" s="95">
        <f t="shared" si="65"/>
        <v>648.684288</v>
      </c>
      <c r="M111" s="95"/>
    </row>
    <row r="112" s="121" customFormat="1" ht="78" customHeight="1" outlineLevel="1" spans="1:13">
      <c r="A112" s="126">
        <v>3.11</v>
      </c>
      <c r="B112" s="126" t="s">
        <v>105</v>
      </c>
      <c r="C112" s="131" t="s">
        <v>106</v>
      </c>
      <c r="D112" s="126" t="s">
        <v>68</v>
      </c>
      <c r="E112" s="127">
        <v>1.89</v>
      </c>
      <c r="F112" s="95">
        <f>+$F$32</f>
        <v>112</v>
      </c>
      <c r="G112" s="95">
        <f>+$G$32</f>
        <v>450</v>
      </c>
      <c r="H112" s="95">
        <f>+$H$32</f>
        <v>54</v>
      </c>
      <c r="I112" s="95">
        <f>+(F112+G112+H112)*$I$4</f>
        <v>73.92</v>
      </c>
      <c r="J112" s="95">
        <f>+(F112+G112+H112+I112)*$J$4</f>
        <v>62.0928</v>
      </c>
      <c r="K112" s="95">
        <f t="shared" si="61"/>
        <v>752.0128</v>
      </c>
      <c r="L112" s="95">
        <f t="shared" si="65"/>
        <v>1421.304192</v>
      </c>
      <c r="M112" s="95"/>
    </row>
    <row r="113" s="121" customFormat="1" ht="78" customHeight="1" outlineLevel="1" spans="1:13">
      <c r="A113" s="126">
        <v>3.12</v>
      </c>
      <c r="B113" s="126" t="s">
        <v>107</v>
      </c>
      <c r="C113" s="131" t="s">
        <v>108</v>
      </c>
      <c r="D113" s="126" t="s">
        <v>109</v>
      </c>
      <c r="E113" s="127">
        <v>1</v>
      </c>
      <c r="F113" s="95">
        <f t="shared" ref="F113:H113" si="67">+$H$33</f>
        <v>2</v>
      </c>
      <c r="G113" s="95">
        <f t="shared" si="67"/>
        <v>2</v>
      </c>
      <c r="H113" s="95">
        <f t="shared" si="67"/>
        <v>2</v>
      </c>
      <c r="I113" s="95">
        <f>+(F113+G113+H113)*$I$4</f>
        <v>0.72</v>
      </c>
      <c r="J113" s="95">
        <f>+(F113+G113+H113+I113)*$J$4</f>
        <v>0.6048</v>
      </c>
      <c r="K113" s="95">
        <f t="shared" si="61"/>
        <v>7.3248</v>
      </c>
      <c r="L113" s="95">
        <f t="shared" si="65"/>
        <v>7.3248</v>
      </c>
      <c r="M113" s="95"/>
    </row>
    <row r="114" s="121" customFormat="1" ht="78" customHeight="1" outlineLevel="1" spans="1:13">
      <c r="A114" s="126">
        <v>3.13</v>
      </c>
      <c r="B114" s="126" t="s">
        <v>111</v>
      </c>
      <c r="C114" s="131" t="s">
        <v>108</v>
      </c>
      <c r="D114" s="126" t="s">
        <v>109</v>
      </c>
      <c r="E114" s="127">
        <v>1</v>
      </c>
      <c r="F114" s="95">
        <f>+$F$34</f>
        <v>10</v>
      </c>
      <c r="G114" s="95">
        <f>+$G$34</f>
        <v>58</v>
      </c>
      <c r="H114" s="95">
        <f>+$H$34</f>
        <v>2</v>
      </c>
      <c r="I114" s="95">
        <f>+(F114+G114+H114)*$I$4</f>
        <v>8.4</v>
      </c>
      <c r="J114" s="95">
        <f>+(F114+G114+H114+I114)*$J$4</f>
        <v>7.056</v>
      </c>
      <c r="K114" s="95">
        <f t="shared" si="61"/>
        <v>85.456</v>
      </c>
      <c r="L114" s="95">
        <f t="shared" si="65"/>
        <v>85.456</v>
      </c>
      <c r="M114" s="95"/>
    </row>
    <row r="115" s="121" customFormat="1" ht="162" customHeight="1" outlineLevel="1" spans="1:13">
      <c r="A115" s="126">
        <v>3.2</v>
      </c>
      <c r="B115" s="140" t="s">
        <v>132</v>
      </c>
      <c r="C115" s="134" t="s">
        <v>133</v>
      </c>
      <c r="D115" s="126" t="s">
        <v>68</v>
      </c>
      <c r="E115" s="138">
        <f ca="1">计算式!F80</f>
        <v>2.76</v>
      </c>
      <c r="F115" s="127">
        <f t="shared" ref="F115:H115" si="68">+$F$73</f>
        <v>35</v>
      </c>
      <c r="G115" s="127">
        <f>+$G$73</f>
        <v>85</v>
      </c>
      <c r="H115" s="127">
        <f>+$H$73</f>
        <v>10</v>
      </c>
      <c r="I115" s="95">
        <f>+(F115+G115+H115)*$I$4</f>
        <v>15.6</v>
      </c>
      <c r="J115" s="95">
        <f>+(F115+G115+H115+I115)*$J$4</f>
        <v>13.104</v>
      </c>
      <c r="K115" s="95">
        <f t="shared" si="61"/>
        <v>158.704</v>
      </c>
      <c r="L115" s="95">
        <f ca="1" t="shared" ref="L115:L120" si="69">E115*K115</f>
        <v>438.02304</v>
      </c>
      <c r="M115" s="126"/>
    </row>
    <row r="116" s="121" customFormat="1" ht="30" customHeight="1" spans="1:13">
      <c r="A116" s="126">
        <v>4</v>
      </c>
      <c r="B116" s="126" t="s">
        <v>112</v>
      </c>
      <c r="C116" s="126" t="s">
        <v>134</v>
      </c>
      <c r="D116" s="126"/>
      <c r="E116" s="127"/>
      <c r="F116" s="95"/>
      <c r="G116" s="95"/>
      <c r="H116" s="95"/>
      <c r="I116" s="95"/>
      <c r="J116" s="95"/>
      <c r="K116" s="95"/>
      <c r="L116" s="95">
        <f>SUM(L117:L122)</f>
        <v>5467.50320256</v>
      </c>
      <c r="M116" s="95"/>
    </row>
    <row r="117" s="121" customFormat="1" ht="139" customHeight="1" outlineLevel="1" spans="1:13">
      <c r="A117" s="126">
        <v>4.1</v>
      </c>
      <c r="B117" s="126" t="s">
        <v>113</v>
      </c>
      <c r="C117" s="131" t="s">
        <v>114</v>
      </c>
      <c r="D117" s="126" t="s">
        <v>115</v>
      </c>
      <c r="E117" s="127">
        <f>2.45+4.55</f>
        <v>7</v>
      </c>
      <c r="F117" s="95">
        <f>+$F$36</f>
        <v>38</v>
      </c>
      <c r="G117" s="95">
        <f>+$G$36</f>
        <v>12</v>
      </c>
      <c r="H117" s="95">
        <f>+$H$36</f>
        <v>35</v>
      </c>
      <c r="I117" s="95">
        <f>+(F117+G117+H117)*$I$4</f>
        <v>10.2</v>
      </c>
      <c r="J117" s="95">
        <f>+(F117+G117+H117+I117)*$J$4</f>
        <v>8.568</v>
      </c>
      <c r="K117" s="95">
        <f t="shared" ref="K117:K122" si="70">SUBTOTAL(9,F117:J117)</f>
        <v>103.768</v>
      </c>
      <c r="L117" s="95">
        <f t="shared" si="69"/>
        <v>726.376</v>
      </c>
      <c r="M117" s="95"/>
    </row>
    <row r="118" s="121" customFormat="1" ht="195" customHeight="1" outlineLevel="1" spans="1:13">
      <c r="A118" s="126">
        <v>4.2</v>
      </c>
      <c r="B118" s="65" t="s">
        <v>116</v>
      </c>
      <c r="C118" s="131" t="s">
        <v>117</v>
      </c>
      <c r="D118" s="126" t="s">
        <v>115</v>
      </c>
      <c r="E118" s="127">
        <f>17.384-6.348</f>
        <v>11.036</v>
      </c>
      <c r="F118" s="95">
        <f>+$F$37</f>
        <v>62</v>
      </c>
      <c r="G118" s="95">
        <f>+$G$37</f>
        <v>55</v>
      </c>
      <c r="H118" s="95">
        <f>+$H$37</f>
        <v>18</v>
      </c>
      <c r="I118" s="95">
        <f>+(F118+G118+H118)*$I$4</f>
        <v>16.2</v>
      </c>
      <c r="J118" s="95">
        <f>+(F118+G118+H118+I118)*$J$4</f>
        <v>13.608</v>
      </c>
      <c r="K118" s="95">
        <f t="shared" si="70"/>
        <v>164.808</v>
      </c>
      <c r="L118" s="95">
        <f t="shared" si="69"/>
        <v>1818.821088</v>
      </c>
      <c r="M118" s="95"/>
    </row>
    <row r="119" s="121" customFormat="1" ht="117" customHeight="1" outlineLevel="1" spans="1:13">
      <c r="A119" s="143">
        <v>4.4</v>
      </c>
      <c r="B119" s="65" t="s">
        <v>118</v>
      </c>
      <c r="C119" s="142" t="s">
        <v>146</v>
      </c>
      <c r="D119" s="65" t="s">
        <v>58</v>
      </c>
      <c r="E119" s="155">
        <f>7.288+10.29+6.94+2.366</f>
        <v>26.884</v>
      </c>
      <c r="F119" s="95">
        <f>+$F$38</f>
        <v>21</v>
      </c>
      <c r="G119" s="95">
        <f>+$G$38</f>
        <v>8</v>
      </c>
      <c r="H119" s="95">
        <f>+$H$38</f>
        <v>3</v>
      </c>
      <c r="I119" s="95">
        <f>+(F119+G119+H119)*$I$4</f>
        <v>3.84</v>
      </c>
      <c r="J119" s="95">
        <f>+(F119+G119+H119+I119)*$J$4</f>
        <v>3.2256</v>
      </c>
      <c r="K119" s="95">
        <f t="shared" si="70"/>
        <v>39.0656</v>
      </c>
      <c r="L119" s="95">
        <f t="shared" si="69"/>
        <v>1050.2395904</v>
      </c>
      <c r="M119" s="39" t="s">
        <v>147</v>
      </c>
    </row>
    <row r="120" s="121" customFormat="1" ht="113" customHeight="1" outlineLevel="1" spans="1:13">
      <c r="A120" s="126">
        <v>4.3</v>
      </c>
      <c r="B120" s="65" t="s">
        <v>121</v>
      </c>
      <c r="C120" s="131" t="s">
        <v>122</v>
      </c>
      <c r="D120" s="126" t="s">
        <v>58</v>
      </c>
      <c r="E120" s="127">
        <f>4.0886+2.53</f>
        <v>6.6186</v>
      </c>
      <c r="F120" s="95">
        <f>+$F$38</f>
        <v>21</v>
      </c>
      <c r="G120" s="95">
        <f>+$G$38</f>
        <v>8</v>
      </c>
      <c r="H120" s="95">
        <f>+$H$38</f>
        <v>3</v>
      </c>
      <c r="I120" s="95">
        <f>+(F120+G120+H120)*$I$4</f>
        <v>3.84</v>
      </c>
      <c r="J120" s="95">
        <f>+(F120+G120+H120+I120)*$J$4</f>
        <v>3.2256</v>
      </c>
      <c r="K120" s="95">
        <f t="shared" si="70"/>
        <v>39.0656</v>
      </c>
      <c r="L120" s="95">
        <f t="shared" si="69"/>
        <v>258.55958016</v>
      </c>
      <c r="M120" s="95"/>
    </row>
    <row r="121" s="121" customFormat="1" ht="68.1" customHeight="1" outlineLevel="1" spans="1:13">
      <c r="A121" s="126">
        <v>4.5</v>
      </c>
      <c r="B121" s="126" t="s">
        <v>123</v>
      </c>
      <c r="C121" s="131" t="s">
        <v>124</v>
      </c>
      <c r="D121" s="126" t="s">
        <v>68</v>
      </c>
      <c r="E121" s="127">
        <f>10.54+12.839</f>
        <v>23.379</v>
      </c>
      <c r="F121" s="95">
        <f>+$F$40</f>
        <v>6</v>
      </c>
      <c r="G121" s="95">
        <f>+$G$40</f>
        <v>12</v>
      </c>
      <c r="H121" s="95">
        <f>+$H$40</f>
        <v>2</v>
      </c>
      <c r="I121" s="95">
        <f>+(F121+G121+H121)*$I$4</f>
        <v>2.4</v>
      </c>
      <c r="J121" s="95">
        <f>+(F121+G121+H121+I121)*$J$4</f>
        <v>2.016</v>
      </c>
      <c r="K121" s="95">
        <f t="shared" si="70"/>
        <v>24.416</v>
      </c>
      <c r="L121" s="95">
        <f t="shared" ref="L120:L122" si="71">E121*K121</f>
        <v>570.821664</v>
      </c>
      <c r="M121" s="154"/>
    </row>
    <row r="122" s="121" customFormat="1" ht="83" customHeight="1" outlineLevel="1" spans="1:13">
      <c r="A122" s="126">
        <v>4.6</v>
      </c>
      <c r="B122" s="126" t="s">
        <v>125</v>
      </c>
      <c r="C122" s="131" t="s">
        <v>126</v>
      </c>
      <c r="D122" s="126" t="s">
        <v>68</v>
      </c>
      <c r="E122" s="127">
        <f>3.38*2+2.73</f>
        <v>9.49</v>
      </c>
      <c r="F122" s="95">
        <f>+$F$41</f>
        <v>44</v>
      </c>
      <c r="G122" s="95">
        <f>+$G$41</f>
        <v>26</v>
      </c>
      <c r="H122" s="95">
        <f>+$H$41</f>
        <v>20</v>
      </c>
      <c r="I122" s="95">
        <f>+(F122+G122+H122)*$I$4</f>
        <v>10.8</v>
      </c>
      <c r="J122" s="95">
        <f>+(F122+G122+H122+I122)*$J$4</f>
        <v>9.072</v>
      </c>
      <c r="K122" s="95">
        <f t="shared" si="70"/>
        <v>109.872</v>
      </c>
      <c r="L122" s="95">
        <f t="shared" si="71"/>
        <v>1042.68528</v>
      </c>
      <c r="M122" s="154"/>
    </row>
    <row r="123" s="120" customFormat="1" ht="18" customHeight="1" spans="1:13">
      <c r="A123" s="128" t="s">
        <v>148</v>
      </c>
      <c r="B123" s="128" t="s">
        <v>149</v>
      </c>
      <c r="C123" s="128" t="s">
        <v>54</v>
      </c>
      <c r="D123" s="128"/>
      <c r="E123" s="129"/>
      <c r="F123" s="130"/>
      <c r="G123" s="130"/>
      <c r="H123" s="130"/>
      <c r="I123" s="130"/>
      <c r="J123" s="130"/>
      <c r="K123" s="130"/>
      <c r="L123" s="130"/>
      <c r="M123" s="130"/>
    </row>
    <row r="124" s="121" customFormat="1" ht="32" customHeight="1" spans="1:13">
      <c r="A124" s="126">
        <v>1</v>
      </c>
      <c r="B124" s="126" t="s">
        <v>55</v>
      </c>
      <c r="C124" s="126"/>
      <c r="D124" s="126"/>
      <c r="E124" s="127"/>
      <c r="F124" s="95"/>
      <c r="G124" s="95"/>
      <c r="H124" s="95"/>
      <c r="I124" s="95">
        <f>+(F124+G124+H124)*$I$4</f>
        <v>0</v>
      </c>
      <c r="J124" s="95">
        <f>+(F124+G124+H124+I124)*$J$4</f>
        <v>0</v>
      </c>
      <c r="K124" s="95">
        <f t="shared" ref="K124:K127" si="72">SUBTOTAL(9,F124:J124)</f>
        <v>0</v>
      </c>
      <c r="L124" s="95">
        <f ca="1">SUM(L125:L137)</f>
        <v>11270.69265</v>
      </c>
      <c r="M124" s="95"/>
    </row>
    <row r="125" s="121" customFormat="1" ht="102" customHeight="1" outlineLevel="1" spans="1:13">
      <c r="A125" s="126">
        <v>1.1</v>
      </c>
      <c r="B125" s="126" t="s">
        <v>56</v>
      </c>
      <c r="C125" s="131" t="s">
        <v>137</v>
      </c>
      <c r="D125" s="126" t="s">
        <v>58</v>
      </c>
      <c r="E125" s="127">
        <v>39.59</v>
      </c>
      <c r="F125" s="95">
        <f t="shared" ref="F125:F129" si="73">+$F$7</f>
        <v>52</v>
      </c>
      <c r="G125" s="95">
        <f t="shared" ref="G125:G129" si="74">+$G$7</f>
        <v>75</v>
      </c>
      <c r="H125" s="95">
        <f t="shared" ref="H125:H129" si="75">+$H$7</f>
        <v>16</v>
      </c>
      <c r="I125" s="95">
        <f>+(F125+G125+H125)*$I$4</f>
        <v>17.16</v>
      </c>
      <c r="J125" s="95">
        <f>+(F125+G125+H125+I125)*$J$4</f>
        <v>14.4144</v>
      </c>
      <c r="K125" s="151">
        <f t="shared" si="72"/>
        <v>174.5744</v>
      </c>
      <c r="L125" s="95">
        <f t="shared" ref="L125:L137" si="76">E125*K125</f>
        <v>6911.400496</v>
      </c>
      <c r="M125" s="150" t="s">
        <v>59</v>
      </c>
    </row>
    <row r="126" s="121" customFormat="1" ht="102" customHeight="1" outlineLevel="1" spans="1:13">
      <c r="A126" s="126">
        <v>1.2</v>
      </c>
      <c r="B126" s="126" t="s">
        <v>56</v>
      </c>
      <c r="C126" s="131" t="s">
        <v>61</v>
      </c>
      <c r="D126" s="126" t="s">
        <v>58</v>
      </c>
      <c r="E126" s="127">
        <v>2.8</v>
      </c>
      <c r="F126" s="95">
        <f t="shared" si="73"/>
        <v>52</v>
      </c>
      <c r="G126" s="95">
        <f t="shared" si="74"/>
        <v>75</v>
      </c>
      <c r="H126" s="95">
        <f t="shared" si="75"/>
        <v>16</v>
      </c>
      <c r="I126" s="95">
        <f>+(F126+G126+H126)*$I$4</f>
        <v>17.16</v>
      </c>
      <c r="J126" s="95">
        <f>+(F126+G126+H126+I126)*$J$4</f>
        <v>14.4144</v>
      </c>
      <c r="K126" s="151">
        <f t="shared" si="72"/>
        <v>174.5744</v>
      </c>
      <c r="L126" s="95">
        <f t="shared" si="76"/>
        <v>488.80832</v>
      </c>
      <c r="M126" s="150" t="s">
        <v>59</v>
      </c>
    </row>
    <row r="127" s="121" customFormat="1" ht="69" customHeight="1" outlineLevel="1" spans="1:13">
      <c r="A127" s="126">
        <v>1.3</v>
      </c>
      <c r="B127" s="126" t="s">
        <v>62</v>
      </c>
      <c r="C127" s="131" t="s">
        <v>63</v>
      </c>
      <c r="D127" s="126" t="s">
        <v>58</v>
      </c>
      <c r="E127" s="127">
        <v>1.336</v>
      </c>
      <c r="F127" s="95">
        <v>16</v>
      </c>
      <c r="G127" s="95">
        <f>+$G$9</f>
        <v>13</v>
      </c>
      <c r="H127" s="95">
        <f>+$H$9</f>
        <v>3</v>
      </c>
      <c r="I127" s="95">
        <f>+(F127+G127+H127)*$I$4</f>
        <v>3.84</v>
      </c>
      <c r="J127" s="95">
        <f>+(F127+G127+H127+I127)*$J$4</f>
        <v>3.2256</v>
      </c>
      <c r="K127" s="95">
        <f t="shared" si="72"/>
        <v>39.0656</v>
      </c>
      <c r="L127" s="95">
        <f t="shared" si="76"/>
        <v>52.1916416</v>
      </c>
      <c r="M127" s="152"/>
    </row>
    <row r="128" s="121" customFormat="1" ht="90" customHeight="1" outlineLevel="1" spans="1:13">
      <c r="A128" s="126">
        <v>1.4</v>
      </c>
      <c r="B128" s="126" t="s">
        <v>56</v>
      </c>
      <c r="C128" s="131" t="s">
        <v>64</v>
      </c>
      <c r="D128" s="126" t="s">
        <v>58</v>
      </c>
      <c r="E128" s="127">
        <f>3.77+2.483</f>
        <v>6.253</v>
      </c>
      <c r="F128" s="95">
        <f t="shared" si="73"/>
        <v>52</v>
      </c>
      <c r="G128" s="95">
        <f t="shared" si="74"/>
        <v>75</v>
      </c>
      <c r="H128" s="95">
        <f t="shared" si="75"/>
        <v>16</v>
      </c>
      <c r="I128" s="95">
        <f>+(F128+G128+H128)*$I$4</f>
        <v>17.16</v>
      </c>
      <c r="J128" s="95">
        <f>+(F128+G128+H128+I128)*$J$4</f>
        <v>14.4144</v>
      </c>
      <c r="K128" s="151">
        <f t="shared" ref="K128:K132" si="77">SUBTOTAL(9,F128:J128)</f>
        <v>174.5744</v>
      </c>
      <c r="L128" s="95">
        <f t="shared" si="76"/>
        <v>1091.6137232</v>
      </c>
      <c r="M128" s="150" t="s">
        <v>59</v>
      </c>
    </row>
    <row r="129" s="121" customFormat="1" ht="90" customHeight="1" outlineLevel="1" spans="1:13">
      <c r="A129" s="126">
        <v>1.5</v>
      </c>
      <c r="B129" s="126" t="s">
        <v>56</v>
      </c>
      <c r="C129" s="131" t="s">
        <v>65</v>
      </c>
      <c r="D129" s="126" t="s">
        <v>58</v>
      </c>
      <c r="E129" s="127">
        <v>2.54</v>
      </c>
      <c r="F129" s="95">
        <f t="shared" si="73"/>
        <v>52</v>
      </c>
      <c r="G129" s="95">
        <f t="shared" si="74"/>
        <v>75</v>
      </c>
      <c r="H129" s="95">
        <f t="shared" si="75"/>
        <v>16</v>
      </c>
      <c r="I129" s="95">
        <f>+(F129+G129+H129)*$I$4</f>
        <v>17.16</v>
      </c>
      <c r="J129" s="95">
        <f>+(F129+G129+H129+I129)*$J$4</f>
        <v>14.4144</v>
      </c>
      <c r="K129" s="151">
        <f t="shared" si="77"/>
        <v>174.5744</v>
      </c>
      <c r="L129" s="95">
        <f t="shared" si="76"/>
        <v>443.418976</v>
      </c>
      <c r="M129" s="150" t="s">
        <v>59</v>
      </c>
    </row>
    <row r="130" s="121" customFormat="1" ht="55" customHeight="1" outlineLevel="1" spans="1:13">
      <c r="A130" s="126">
        <v>1.6</v>
      </c>
      <c r="B130" s="132" t="s">
        <v>66</v>
      </c>
      <c r="C130" s="132" t="s">
        <v>67</v>
      </c>
      <c r="D130" s="133" t="s">
        <v>68</v>
      </c>
      <c r="E130" s="127">
        <f ca="1">计算式!F139+计算式!F144+计算式!F147+计算式!F152+计算式!F154+计算式!F156+计算式!F158+计算式!F160+计算式!F162+计算式!F164+计算式!F166+计算式!F168+计算式!F171+计算式!F176+计算式!F181</f>
        <v>29.2995</v>
      </c>
      <c r="F130" s="95">
        <f>+$F$12</f>
        <v>8</v>
      </c>
      <c r="G130" s="95">
        <f>+$G$12</f>
        <v>16</v>
      </c>
      <c r="H130" s="95">
        <f>+$H$12</f>
        <v>2</v>
      </c>
      <c r="I130" s="95">
        <f>+(F130+G130+H130)*$I$4</f>
        <v>3.12</v>
      </c>
      <c r="J130" s="95">
        <f>+(F130+G130+H130+I130)*$J$4</f>
        <v>2.6208</v>
      </c>
      <c r="K130" s="95">
        <f t="shared" si="77"/>
        <v>31.7408</v>
      </c>
      <c r="L130" s="95">
        <f ca="1" t="shared" si="76"/>
        <v>929.9895696</v>
      </c>
      <c r="M130" s="95"/>
    </row>
    <row r="131" s="121" customFormat="1" ht="115" customHeight="1" outlineLevel="1" spans="1:13">
      <c r="A131" s="126">
        <v>1.7</v>
      </c>
      <c r="B131" s="132" t="s">
        <v>69</v>
      </c>
      <c r="C131" s="134" t="s">
        <v>70</v>
      </c>
      <c r="D131" s="133" t="s">
        <v>58</v>
      </c>
      <c r="E131" s="127">
        <f>3.64+2.48</f>
        <v>6.12</v>
      </c>
      <c r="F131" s="95">
        <f t="shared" ref="F131:F135" si="78">+$F$13</f>
        <v>14</v>
      </c>
      <c r="G131" s="95">
        <f t="shared" ref="G131:G135" si="79">+$G$13</f>
        <v>15</v>
      </c>
      <c r="H131" s="95">
        <f t="shared" ref="H131:H135" si="80">+$H$13</f>
        <v>3</v>
      </c>
      <c r="I131" s="95">
        <f>+(F131+G131+H131)*$I$4</f>
        <v>3.84</v>
      </c>
      <c r="J131" s="95">
        <f>+(F131+G131+H131+I131)*$J$4</f>
        <v>3.2256</v>
      </c>
      <c r="K131" s="151">
        <f t="shared" si="77"/>
        <v>39.0656</v>
      </c>
      <c r="L131" s="95">
        <f t="shared" si="76"/>
        <v>239.081472</v>
      </c>
      <c r="M131" s="95"/>
    </row>
    <row r="132" s="121" customFormat="1" ht="102" customHeight="1" outlineLevel="1" spans="1:13">
      <c r="A132" s="126">
        <v>1.8</v>
      </c>
      <c r="B132" s="131" t="s">
        <v>71</v>
      </c>
      <c r="C132" s="131" t="s">
        <v>72</v>
      </c>
      <c r="D132" s="126" t="s">
        <v>58</v>
      </c>
      <c r="E132" s="127">
        <f>(7.024+8.199-1.78*2)*0.3</f>
        <v>3.4989</v>
      </c>
      <c r="F132" s="95">
        <f t="shared" ref="F132:F136" si="81">+$F$14</f>
        <v>13</v>
      </c>
      <c r="G132" s="95">
        <f t="shared" ref="G132:G136" si="82">+$G$14</f>
        <v>12.5</v>
      </c>
      <c r="H132" s="95">
        <f t="shared" ref="H132:H136" si="83">+$H$14</f>
        <v>2</v>
      </c>
      <c r="I132" s="95">
        <f>+(F132+G132+H132)*$I$4</f>
        <v>3.3</v>
      </c>
      <c r="J132" s="95">
        <f>+(F132+G132+H132+I132)*$J$4</f>
        <v>2.772</v>
      </c>
      <c r="K132" s="151">
        <f t="shared" si="77"/>
        <v>33.572</v>
      </c>
      <c r="L132" s="95">
        <f t="shared" si="76"/>
        <v>117.4650708</v>
      </c>
      <c r="M132" s="95"/>
    </row>
    <row r="133" s="121" customFormat="1" ht="110" customHeight="1" outlineLevel="1" spans="1:13">
      <c r="A133" s="126">
        <v>1.9</v>
      </c>
      <c r="B133" s="132" t="s">
        <v>69</v>
      </c>
      <c r="C133" s="134" t="s">
        <v>73</v>
      </c>
      <c r="D133" s="133" t="s">
        <v>58</v>
      </c>
      <c r="E133" s="127">
        <v>5.24</v>
      </c>
      <c r="F133" s="95">
        <f t="shared" si="78"/>
        <v>14</v>
      </c>
      <c r="G133" s="95">
        <f t="shared" si="79"/>
        <v>15</v>
      </c>
      <c r="H133" s="95">
        <f t="shared" si="80"/>
        <v>3</v>
      </c>
      <c r="I133" s="95">
        <f>+(F133+G133+H133)*$I$4</f>
        <v>3.84</v>
      </c>
      <c r="J133" s="95">
        <f>+(F133+G133+H133+I133)*$J$4</f>
        <v>3.2256</v>
      </c>
      <c r="K133" s="151">
        <f t="shared" ref="K133:K137" si="84">SUBTOTAL(9,F133:J133)</f>
        <v>39.0656</v>
      </c>
      <c r="L133" s="95">
        <f t="shared" si="76"/>
        <v>204.703744</v>
      </c>
      <c r="M133" s="95"/>
    </row>
    <row r="134" s="121" customFormat="1" ht="81" customHeight="1" outlineLevel="1" spans="1:13">
      <c r="A134" s="127">
        <v>1.1</v>
      </c>
      <c r="B134" s="131" t="s">
        <v>71</v>
      </c>
      <c r="C134" s="131" t="s">
        <v>74</v>
      </c>
      <c r="D134" s="126" t="s">
        <v>58</v>
      </c>
      <c r="E134" s="127">
        <f>8.86*0.3</f>
        <v>2.658</v>
      </c>
      <c r="F134" s="95">
        <f t="shared" si="81"/>
        <v>13</v>
      </c>
      <c r="G134" s="95">
        <f t="shared" si="82"/>
        <v>12.5</v>
      </c>
      <c r="H134" s="95">
        <f t="shared" si="83"/>
        <v>2</v>
      </c>
      <c r="I134" s="95">
        <f>+(F134+G134+H134)*$I$4</f>
        <v>3.3</v>
      </c>
      <c r="J134" s="95">
        <f>+(F134+G134+H134+I134)*$J$4</f>
        <v>2.772</v>
      </c>
      <c r="K134" s="151">
        <f t="shared" si="84"/>
        <v>33.572</v>
      </c>
      <c r="L134" s="95">
        <f t="shared" si="76"/>
        <v>89.234376</v>
      </c>
      <c r="M134" s="95"/>
    </row>
    <row r="135" s="121" customFormat="1" ht="81" customHeight="1" outlineLevel="1" spans="1:13">
      <c r="A135" s="127">
        <v>1.11</v>
      </c>
      <c r="B135" s="132" t="s">
        <v>69</v>
      </c>
      <c r="C135" s="134" t="s">
        <v>75</v>
      </c>
      <c r="D135" s="133" t="s">
        <v>58</v>
      </c>
      <c r="E135" s="127">
        <f>2.78+1.55</f>
        <v>4.33</v>
      </c>
      <c r="F135" s="95">
        <f t="shared" si="78"/>
        <v>14</v>
      </c>
      <c r="G135" s="95">
        <f t="shared" si="79"/>
        <v>15</v>
      </c>
      <c r="H135" s="95">
        <f t="shared" si="80"/>
        <v>3</v>
      </c>
      <c r="I135" s="95">
        <f>+(F135+G135+H135)*$I$4</f>
        <v>3.84</v>
      </c>
      <c r="J135" s="95">
        <f>+(F135+G135+H135+I135)*$J$4</f>
        <v>3.2256</v>
      </c>
      <c r="K135" s="151">
        <f t="shared" si="84"/>
        <v>39.0656</v>
      </c>
      <c r="L135" s="95">
        <f t="shared" si="76"/>
        <v>169.154048</v>
      </c>
      <c r="M135" s="95"/>
    </row>
    <row r="136" s="121" customFormat="1" ht="81" customHeight="1" outlineLevel="1" spans="1:13">
      <c r="A136" s="127">
        <v>1.12</v>
      </c>
      <c r="B136" s="131" t="s">
        <v>71</v>
      </c>
      <c r="C136" s="131" t="s">
        <v>76</v>
      </c>
      <c r="D136" s="126" t="s">
        <v>58</v>
      </c>
      <c r="E136" s="127">
        <f>8.86*0.3</f>
        <v>2.658</v>
      </c>
      <c r="F136" s="95">
        <f t="shared" si="81"/>
        <v>13</v>
      </c>
      <c r="G136" s="95">
        <f t="shared" si="82"/>
        <v>12.5</v>
      </c>
      <c r="H136" s="95">
        <f t="shared" si="83"/>
        <v>2</v>
      </c>
      <c r="I136" s="95">
        <f>+(F136+G136+H136)*$I$4</f>
        <v>3.3</v>
      </c>
      <c r="J136" s="95">
        <f>+(F136+G136+H136+I136)*$J$4</f>
        <v>2.772</v>
      </c>
      <c r="K136" s="151">
        <f t="shared" si="84"/>
        <v>33.572</v>
      </c>
      <c r="L136" s="95">
        <f t="shared" si="76"/>
        <v>89.234376</v>
      </c>
      <c r="M136" s="95"/>
    </row>
    <row r="137" s="121" customFormat="1" ht="123" customHeight="1" outlineLevel="1" spans="1:13">
      <c r="A137" s="126">
        <v>1.11</v>
      </c>
      <c r="B137" s="133" t="s">
        <v>130</v>
      </c>
      <c r="C137" s="148" t="s">
        <v>131</v>
      </c>
      <c r="D137" s="133" t="s">
        <v>58</v>
      </c>
      <c r="E137" s="138">
        <v>1.127</v>
      </c>
      <c r="F137" s="95">
        <f>+$F$56</f>
        <v>105</v>
      </c>
      <c r="G137" s="95">
        <f>+$G$56</f>
        <v>180</v>
      </c>
      <c r="H137" s="95">
        <f>+$H$56</f>
        <v>38</v>
      </c>
      <c r="I137" s="95">
        <f>+(F137+G137+H137)*$I$4</f>
        <v>38.76</v>
      </c>
      <c r="J137" s="95">
        <f>+(F137+G137+H137+I137)*$J$4</f>
        <v>32.5584</v>
      </c>
      <c r="K137" s="95">
        <f t="shared" si="84"/>
        <v>394.3184</v>
      </c>
      <c r="L137" s="95">
        <f t="shared" si="76"/>
        <v>444.3968368</v>
      </c>
      <c r="M137" s="152"/>
    </row>
    <row r="138" s="121" customFormat="1" ht="27" customHeight="1" spans="1:13">
      <c r="A138" s="126">
        <v>2</v>
      </c>
      <c r="B138" s="133" t="s">
        <v>77</v>
      </c>
      <c r="C138" s="134"/>
      <c r="D138" s="133"/>
      <c r="E138" s="127"/>
      <c r="F138" s="95"/>
      <c r="G138" s="95"/>
      <c r="H138" s="95"/>
      <c r="I138" s="95"/>
      <c r="J138" s="95"/>
      <c r="K138" s="95"/>
      <c r="L138" s="95">
        <f>L139</f>
        <v>4717.146784</v>
      </c>
      <c r="M138" s="152"/>
    </row>
    <row r="139" s="121" customFormat="1" ht="189" customHeight="1" outlineLevel="1" spans="1:13">
      <c r="A139" s="126">
        <v>2.1</v>
      </c>
      <c r="B139" s="132" t="s">
        <v>77</v>
      </c>
      <c r="C139" s="135" t="s">
        <v>78</v>
      </c>
      <c r="D139" s="133" t="s">
        <v>58</v>
      </c>
      <c r="E139" s="127">
        <f>E125+E126+E129</f>
        <v>44.93</v>
      </c>
      <c r="F139" s="95">
        <v>24</v>
      </c>
      <c r="G139" s="95">
        <f>+G20</f>
        <v>48</v>
      </c>
      <c r="H139" s="95">
        <v>14</v>
      </c>
      <c r="I139" s="95">
        <f>+(F139+G139+H139)*$I$4</f>
        <v>10.32</v>
      </c>
      <c r="J139" s="95">
        <f>+(F139+G139+H139+I139)*$J$4</f>
        <v>8.6688</v>
      </c>
      <c r="K139" s="151">
        <f t="shared" ref="K139:K157" si="85">SUBTOTAL(9,F139:J139)</f>
        <v>104.9888</v>
      </c>
      <c r="L139" s="95">
        <f>E139*K139</f>
        <v>4717.146784</v>
      </c>
      <c r="M139" s="152" t="s">
        <v>138</v>
      </c>
    </row>
    <row r="140" s="121" customFormat="1" ht="26.1" customHeight="1" spans="1:13">
      <c r="A140" s="126">
        <v>3</v>
      </c>
      <c r="B140" s="126" t="s">
        <v>80</v>
      </c>
      <c r="C140" s="126"/>
      <c r="D140" s="126"/>
      <c r="E140" s="127"/>
      <c r="F140" s="95"/>
      <c r="G140" s="95"/>
      <c r="H140" s="95"/>
      <c r="I140" s="95"/>
      <c r="J140" s="95"/>
      <c r="K140" s="95"/>
      <c r="L140" s="95">
        <f ca="1">SUM(L141:L157)</f>
        <v>26653.469348352</v>
      </c>
      <c r="M140" s="95"/>
    </row>
    <row r="141" s="118" customFormat="1" ht="90" customHeight="1" outlineLevel="1" spans="1:13">
      <c r="A141" s="65">
        <v>3.1</v>
      </c>
      <c r="B141" s="136" t="s">
        <v>81</v>
      </c>
      <c r="C141" s="137" t="s">
        <v>82</v>
      </c>
      <c r="D141" s="65" t="s">
        <v>58</v>
      </c>
      <c r="E141" s="138">
        <f ca="1">计算式!F138+计算式!F143+计算式!F146+计算式!F149+计算式!F150+计算式!F153+计算式!F155+计算式!F157+计算式!F159+计算式!F161+计算式!F163+计算式!F165+计算式!F167+计算式!F170+计算式!F175+计算式!F180</f>
        <v>75.1087</v>
      </c>
      <c r="F141" s="138">
        <f>+$F$22</f>
        <v>24</v>
      </c>
      <c r="G141" s="138">
        <f>+$G$22</f>
        <v>24</v>
      </c>
      <c r="H141" s="138">
        <f>+$H$22</f>
        <v>5</v>
      </c>
      <c r="I141" s="95">
        <f>+(F141+G141+H141)*$I$4</f>
        <v>6.36</v>
      </c>
      <c r="J141" s="95">
        <f>+(F141+G141+H141+I141)*$J$4</f>
        <v>5.3424</v>
      </c>
      <c r="K141" s="95">
        <f t="shared" si="85"/>
        <v>64.7024</v>
      </c>
      <c r="L141" s="95">
        <f ca="1" t="shared" ref="L139:L149" si="86">E141*K141</f>
        <v>4859.71315088</v>
      </c>
      <c r="M141" s="126" t="s">
        <v>83</v>
      </c>
    </row>
    <row r="142" s="118" customFormat="1" ht="90" customHeight="1" outlineLevel="1" spans="1:13">
      <c r="A142" s="65">
        <v>3.2</v>
      </c>
      <c r="B142" s="136" t="s">
        <v>84</v>
      </c>
      <c r="C142" s="139" t="s">
        <v>85</v>
      </c>
      <c r="D142" s="65" t="s">
        <v>68</v>
      </c>
      <c r="E142" s="138">
        <f ca="1">计算式!F145</f>
        <v>5.33</v>
      </c>
      <c r="F142" s="138">
        <f>+$F$23</f>
        <v>24</v>
      </c>
      <c r="G142" s="138">
        <f>+$G$23</f>
        <v>45</v>
      </c>
      <c r="H142" s="138">
        <f>+$H$23</f>
        <v>12</v>
      </c>
      <c r="I142" s="95">
        <f>+(F142+G142+H142)*$I$4</f>
        <v>9.72</v>
      </c>
      <c r="J142" s="95">
        <f>+(F142+G142+H142+I142)*$J$4</f>
        <v>8.1648</v>
      </c>
      <c r="K142" s="95">
        <f t="shared" si="85"/>
        <v>98.8848</v>
      </c>
      <c r="L142" s="95">
        <f ca="1" t="shared" si="86"/>
        <v>527.055984</v>
      </c>
      <c r="M142" s="126"/>
    </row>
    <row r="143" s="118" customFormat="1" ht="81" customHeight="1" outlineLevel="1" spans="1:13">
      <c r="A143" s="65">
        <v>3.3</v>
      </c>
      <c r="B143" s="136" t="s">
        <v>86</v>
      </c>
      <c r="C143" s="137" t="s">
        <v>150</v>
      </c>
      <c r="D143" s="65" t="s">
        <v>58</v>
      </c>
      <c r="E143" s="166">
        <v>0.84</v>
      </c>
      <c r="F143" s="138">
        <f>+$F$24</f>
        <v>225</v>
      </c>
      <c r="G143" s="138">
        <f>+$G$24</f>
        <v>495</v>
      </c>
      <c r="H143" s="138">
        <f>+$H$24</f>
        <v>75</v>
      </c>
      <c r="I143" s="95">
        <f>+(F143+G143+H143)*$I$4</f>
        <v>95.4</v>
      </c>
      <c r="J143" s="95">
        <f>+(F143+G143+H143+I143)*$J$4</f>
        <v>80.136</v>
      </c>
      <c r="K143" s="95">
        <f t="shared" si="85"/>
        <v>970.536</v>
      </c>
      <c r="L143" s="95">
        <f t="shared" si="86"/>
        <v>815.25024</v>
      </c>
      <c r="M143" s="126"/>
    </row>
    <row r="144" s="118" customFormat="1" ht="90" customHeight="1" outlineLevel="1" spans="1:13">
      <c r="A144" s="126">
        <v>3.4</v>
      </c>
      <c r="B144" s="140" t="s">
        <v>88</v>
      </c>
      <c r="C144" s="141" t="s">
        <v>89</v>
      </c>
      <c r="D144" s="126" t="s">
        <v>58</v>
      </c>
      <c r="E144" s="127">
        <f ca="1">计算式!F142</f>
        <v>6.7988</v>
      </c>
      <c r="F144" s="127">
        <f>+$F$25</f>
        <v>82</v>
      </c>
      <c r="G144" s="127">
        <f>+$G$25</f>
        <v>128</v>
      </c>
      <c r="H144" s="127">
        <f>+$H$25</f>
        <v>50</v>
      </c>
      <c r="I144" s="95">
        <f>+(F144+G144+H144)*$I$4</f>
        <v>31.2</v>
      </c>
      <c r="J144" s="95">
        <f>+(F144+G144+H144+I144)*$J$4</f>
        <v>26.208</v>
      </c>
      <c r="K144" s="95">
        <f t="shared" si="85"/>
        <v>317.408</v>
      </c>
      <c r="L144" s="95">
        <f ca="1" t="shared" si="86"/>
        <v>2157.9935104</v>
      </c>
      <c r="M144" s="126"/>
    </row>
    <row r="145" s="121" customFormat="1" ht="78" customHeight="1" outlineLevel="1" spans="1:13">
      <c r="A145" s="65">
        <v>3.5</v>
      </c>
      <c r="B145" s="126" t="s">
        <v>90</v>
      </c>
      <c r="C145" s="141" t="s">
        <v>91</v>
      </c>
      <c r="D145" s="126" t="s">
        <v>92</v>
      </c>
      <c r="E145" s="127">
        <v>1</v>
      </c>
      <c r="F145" s="95">
        <f>+$F$26</f>
        <v>85</v>
      </c>
      <c r="G145" s="95">
        <f>+$G$26</f>
        <v>650</v>
      </c>
      <c r="H145" s="95">
        <f>+$H$26</f>
        <v>32</v>
      </c>
      <c r="I145" s="95">
        <f>+(F145+G145+H145)*$I$4</f>
        <v>92.04</v>
      </c>
      <c r="J145" s="95">
        <f>+(F145+G145+H145+I145)*$J$4</f>
        <v>77.3136</v>
      </c>
      <c r="K145" s="95">
        <f t="shared" si="85"/>
        <v>936.3536</v>
      </c>
      <c r="L145" s="95">
        <f t="shared" si="86"/>
        <v>936.3536</v>
      </c>
      <c r="M145" s="95" t="s">
        <v>93</v>
      </c>
    </row>
    <row r="146" s="121" customFormat="1" ht="75" customHeight="1" outlineLevel="1" spans="1:13">
      <c r="A146" s="65">
        <v>3.6</v>
      </c>
      <c r="B146" s="126" t="s">
        <v>94</v>
      </c>
      <c r="C146" s="141" t="s">
        <v>95</v>
      </c>
      <c r="D146" s="126" t="s">
        <v>92</v>
      </c>
      <c r="E146" s="127">
        <v>1</v>
      </c>
      <c r="F146" s="95">
        <f>+$F$27</f>
        <v>85</v>
      </c>
      <c r="G146" s="95">
        <f>+$G$27</f>
        <v>650</v>
      </c>
      <c r="H146" s="95">
        <f>+$H$27</f>
        <v>15</v>
      </c>
      <c r="I146" s="95">
        <f>+(F146+G146+H146)*$I$4</f>
        <v>90</v>
      </c>
      <c r="J146" s="95">
        <f>+(F146+G146+H146+I146)*$J$4</f>
        <v>75.6</v>
      </c>
      <c r="K146" s="95">
        <f t="shared" si="85"/>
        <v>915.6</v>
      </c>
      <c r="L146" s="95">
        <f t="shared" si="86"/>
        <v>915.6</v>
      </c>
      <c r="M146" s="95" t="s">
        <v>93</v>
      </c>
    </row>
    <row r="147" s="121" customFormat="1" ht="75" customHeight="1" outlineLevel="1" spans="1:13">
      <c r="A147" s="126">
        <v>3.3</v>
      </c>
      <c r="B147" s="140" t="s">
        <v>140</v>
      </c>
      <c r="C147" s="141" t="s">
        <v>141</v>
      </c>
      <c r="D147" s="126" t="s">
        <v>92</v>
      </c>
      <c r="E147" s="138">
        <v>2</v>
      </c>
      <c r="F147" s="127">
        <f t="shared" ref="F147:H147" si="87">+$F$105</f>
        <v>75</v>
      </c>
      <c r="G147" s="127">
        <f>+$G$105</f>
        <v>750</v>
      </c>
      <c r="H147" s="127">
        <f>+$H$105</f>
        <v>30</v>
      </c>
      <c r="I147" s="95">
        <f>+(F147+G147+H147)*$I$4</f>
        <v>102.6</v>
      </c>
      <c r="J147" s="95">
        <f>+(F147+G147+H147+I147)*$J$4</f>
        <v>86.184</v>
      </c>
      <c r="K147" s="95">
        <f t="shared" si="85"/>
        <v>1043.784</v>
      </c>
      <c r="L147" s="95">
        <f t="shared" si="86"/>
        <v>2087.568</v>
      </c>
      <c r="M147" s="126"/>
    </row>
    <row r="148" s="121" customFormat="1" ht="99" customHeight="1" outlineLevel="1" spans="1:13">
      <c r="A148" s="65">
        <v>3.7</v>
      </c>
      <c r="B148" s="126" t="s">
        <v>96</v>
      </c>
      <c r="C148" s="142" t="s">
        <v>97</v>
      </c>
      <c r="D148" s="126" t="s">
        <v>58</v>
      </c>
      <c r="E148" s="127">
        <f ca="1">计算式!F172+计算式!F178+计算式!F182+计算式!F183+计算式!F184+计算式!F185+计算式!F186+计算式!F189+计算式!F191+计算式!F193+计算式!F194</f>
        <v>33.7834</v>
      </c>
      <c r="F148" s="95">
        <f t="shared" ref="F148:F150" si="88">+$F$28</f>
        <v>54</v>
      </c>
      <c r="G148" s="95">
        <f t="shared" ref="G148:G150" si="89">+$G$28</f>
        <v>75</v>
      </c>
      <c r="H148" s="95">
        <f>+$H$28</f>
        <v>16.8</v>
      </c>
      <c r="I148" s="95">
        <f>+(F148+G148+H148)*$I$4</f>
        <v>17.496</v>
      </c>
      <c r="J148" s="95">
        <f>+(F148+G148+H148+I148)*$J$4</f>
        <v>14.69664</v>
      </c>
      <c r="K148" s="95">
        <f t="shared" si="85"/>
        <v>177.99264</v>
      </c>
      <c r="L148" s="95">
        <f ca="1" t="shared" si="86"/>
        <v>6013.196554176</v>
      </c>
      <c r="M148" s="150" t="s">
        <v>59</v>
      </c>
    </row>
    <row r="149" s="121" customFormat="1" ht="72" customHeight="1" outlineLevel="1" spans="1:13">
      <c r="A149" s="126">
        <v>3.8</v>
      </c>
      <c r="B149" s="126" t="s">
        <v>98</v>
      </c>
      <c r="C149" s="142" t="s">
        <v>99</v>
      </c>
      <c r="D149" s="126" t="s">
        <v>58</v>
      </c>
      <c r="E149" s="127">
        <f ca="1">计算式!F190+计算式!F192</f>
        <v>2.6639</v>
      </c>
      <c r="F149" s="95">
        <f t="shared" si="88"/>
        <v>54</v>
      </c>
      <c r="G149" s="95">
        <f t="shared" si="89"/>
        <v>75</v>
      </c>
      <c r="H149" s="95">
        <v>16.8</v>
      </c>
      <c r="I149" s="95">
        <f>+(F149+G149+H149)*$I$4</f>
        <v>17.496</v>
      </c>
      <c r="J149" s="95">
        <f>+(F149+G149+H149+I149)*$J$4</f>
        <v>14.69664</v>
      </c>
      <c r="K149" s="95">
        <f t="shared" si="85"/>
        <v>177.99264</v>
      </c>
      <c r="L149" s="95">
        <f ca="1" t="shared" si="86"/>
        <v>474.154593696</v>
      </c>
      <c r="M149" s="95"/>
    </row>
    <row r="150" s="121" customFormat="1" ht="81" customHeight="1" outlineLevel="1" spans="1:13">
      <c r="A150" s="143">
        <v>3.9</v>
      </c>
      <c r="B150" s="126" t="s">
        <v>101</v>
      </c>
      <c r="C150" s="157" t="s">
        <v>102</v>
      </c>
      <c r="D150" s="158" t="s">
        <v>58</v>
      </c>
      <c r="E150" s="159">
        <v>27.43</v>
      </c>
      <c r="F150" s="95">
        <f t="shared" si="88"/>
        <v>54</v>
      </c>
      <c r="G150" s="95">
        <f t="shared" si="89"/>
        <v>75</v>
      </c>
      <c r="H150" s="95">
        <v>16.8</v>
      </c>
      <c r="I150" s="95">
        <f>+(F150+G150+H150)*$I$4</f>
        <v>17.496</v>
      </c>
      <c r="J150" s="95">
        <f>+(F150+G150+H150+I150)*$J$4</f>
        <v>14.69664</v>
      </c>
      <c r="K150" s="95">
        <f t="shared" si="85"/>
        <v>177.99264</v>
      </c>
      <c r="L150" s="95">
        <f t="shared" ref="L150:L157" si="90">E150*K150</f>
        <v>4882.3381152</v>
      </c>
      <c r="M150" s="95"/>
    </row>
    <row r="151" s="121" customFormat="1" ht="81" customHeight="1" outlineLevel="1" spans="1:13">
      <c r="A151" s="65"/>
      <c r="B151" s="167" t="s">
        <v>142</v>
      </c>
      <c r="C151" s="161"/>
      <c r="D151" s="126" t="s">
        <v>58</v>
      </c>
      <c r="E151" s="162">
        <f ca="1">计算式!F187</f>
        <v>3.0992</v>
      </c>
      <c r="F151" s="95">
        <f>+F109</f>
        <v>0</v>
      </c>
      <c r="G151" s="95">
        <f>+G109</f>
        <v>320</v>
      </c>
      <c r="H151" s="95">
        <f>+H109</f>
        <v>24</v>
      </c>
      <c r="I151" s="95">
        <f>+(F151+G151+H151)*$I$4</f>
        <v>41.28</v>
      </c>
      <c r="J151" s="95">
        <f>+(F151+G151+H151+I151)*$J$4</f>
        <v>34.6752</v>
      </c>
      <c r="K151" s="95">
        <f t="shared" si="85"/>
        <v>419.9552</v>
      </c>
      <c r="L151" s="95">
        <v>0</v>
      </c>
      <c r="M151" s="147" t="s">
        <v>143</v>
      </c>
    </row>
    <row r="152" s="121" customFormat="1" ht="81" customHeight="1" outlineLevel="1" spans="1:13">
      <c r="A152" s="65"/>
      <c r="B152" s="126" t="s">
        <v>144</v>
      </c>
      <c r="C152" s="163" t="s">
        <v>145</v>
      </c>
      <c r="D152" s="164" t="s">
        <v>68</v>
      </c>
      <c r="E152" s="165">
        <f ca="1">计算式!F173+计算式!F179</f>
        <v>4.64</v>
      </c>
      <c r="F152" s="95">
        <f>+F110</f>
        <v>8.5</v>
      </c>
      <c r="G152" s="95">
        <f>+G110</f>
        <v>18</v>
      </c>
      <c r="H152" s="95">
        <f>+H110</f>
        <v>2</v>
      </c>
      <c r="I152" s="95">
        <f>+(F152+G152+H152)*$I$4</f>
        <v>3.42</v>
      </c>
      <c r="J152" s="95">
        <f>+(F152+G152+H152+I152)*$J$4</f>
        <v>2.8728</v>
      </c>
      <c r="K152" s="95">
        <f t="shared" si="85"/>
        <v>34.7928</v>
      </c>
      <c r="L152" s="95">
        <f ca="1" t="shared" si="90"/>
        <v>161.438592</v>
      </c>
      <c r="M152" s="95"/>
    </row>
    <row r="153" s="121" customFormat="1" ht="78" customHeight="1" outlineLevel="1" spans="1:13">
      <c r="A153" s="127">
        <v>3.1</v>
      </c>
      <c r="B153" s="126" t="s">
        <v>103</v>
      </c>
      <c r="C153" s="131" t="s">
        <v>104</v>
      </c>
      <c r="D153" s="126" t="s">
        <v>68</v>
      </c>
      <c r="E153" s="127">
        <f ca="1">计算式!F195</f>
        <v>5.66</v>
      </c>
      <c r="F153" s="95">
        <f t="shared" ref="F153:H153" si="91">+$H$31</f>
        <v>54</v>
      </c>
      <c r="G153" s="95">
        <f t="shared" si="91"/>
        <v>54</v>
      </c>
      <c r="H153" s="95">
        <f t="shared" si="91"/>
        <v>54</v>
      </c>
      <c r="I153" s="95">
        <f>+(F153+G153+H153)*$I$4</f>
        <v>19.44</v>
      </c>
      <c r="J153" s="95">
        <f>+(F153+G153+H153+I153)*$J$4</f>
        <v>16.3296</v>
      </c>
      <c r="K153" s="95">
        <f t="shared" si="85"/>
        <v>197.7696</v>
      </c>
      <c r="L153" s="95">
        <f ca="1" t="shared" si="90"/>
        <v>1119.375936</v>
      </c>
      <c r="M153" s="95"/>
    </row>
    <row r="154" s="121" customFormat="1" ht="78" customHeight="1" outlineLevel="1" spans="1:13">
      <c r="A154" s="126">
        <v>3.11</v>
      </c>
      <c r="B154" s="126" t="s">
        <v>105</v>
      </c>
      <c r="C154" s="131" t="s">
        <v>106</v>
      </c>
      <c r="D154" s="126" t="s">
        <v>68</v>
      </c>
      <c r="E154" s="127">
        <f ca="1">计算式!F196</f>
        <v>1.84</v>
      </c>
      <c r="F154" s="95">
        <f>+$F$32</f>
        <v>112</v>
      </c>
      <c r="G154" s="95">
        <f>+$G$32</f>
        <v>450</v>
      </c>
      <c r="H154" s="95">
        <f>+$H$32</f>
        <v>54</v>
      </c>
      <c r="I154" s="95">
        <f>+(F154+G154+H154)*$I$4</f>
        <v>73.92</v>
      </c>
      <c r="J154" s="95">
        <f>+(F154+G154+H154+I154)*$J$4</f>
        <v>62.0928</v>
      </c>
      <c r="K154" s="95">
        <f t="shared" si="85"/>
        <v>752.0128</v>
      </c>
      <c r="L154" s="95">
        <f ca="1" t="shared" si="90"/>
        <v>1383.703552</v>
      </c>
      <c r="M154" s="95"/>
    </row>
    <row r="155" s="121" customFormat="1" ht="78" customHeight="1" outlineLevel="1" spans="1:13">
      <c r="A155" s="126">
        <v>3.12</v>
      </c>
      <c r="B155" s="126" t="s">
        <v>107</v>
      </c>
      <c r="C155" s="131" t="s">
        <v>108</v>
      </c>
      <c r="D155" s="126" t="s">
        <v>109</v>
      </c>
      <c r="E155" s="127">
        <v>1</v>
      </c>
      <c r="F155" s="95">
        <f t="shared" ref="F155:H155" si="92">+$H$33</f>
        <v>2</v>
      </c>
      <c r="G155" s="95">
        <f t="shared" si="92"/>
        <v>2</v>
      </c>
      <c r="H155" s="95">
        <f t="shared" si="92"/>
        <v>2</v>
      </c>
      <c r="I155" s="95">
        <f>+(F155+G155+H155)*$I$4</f>
        <v>0.72</v>
      </c>
      <c r="J155" s="95">
        <f>+(F155+G155+H155+I155)*$J$4</f>
        <v>0.6048</v>
      </c>
      <c r="K155" s="95">
        <f t="shared" si="85"/>
        <v>7.3248</v>
      </c>
      <c r="L155" s="95">
        <f t="shared" si="90"/>
        <v>7.3248</v>
      </c>
      <c r="M155" s="95"/>
    </row>
    <row r="156" s="121" customFormat="1" ht="78" customHeight="1" outlineLevel="1" spans="1:13">
      <c r="A156" s="126">
        <v>3.13</v>
      </c>
      <c r="B156" s="126" t="s">
        <v>111</v>
      </c>
      <c r="C156" s="131" t="s">
        <v>108</v>
      </c>
      <c r="D156" s="126" t="s">
        <v>109</v>
      </c>
      <c r="E156" s="127">
        <v>1</v>
      </c>
      <c r="F156" s="95">
        <f>+$F$34</f>
        <v>10</v>
      </c>
      <c r="G156" s="95">
        <f>+$G$34</f>
        <v>58</v>
      </c>
      <c r="H156" s="95">
        <f>+$H$34</f>
        <v>2</v>
      </c>
      <c r="I156" s="95">
        <f>+(F156+G156+H156)*$I$4</f>
        <v>8.4</v>
      </c>
      <c r="J156" s="95">
        <f>+(F156+G156+H156+I156)*$J$4</f>
        <v>7.056</v>
      </c>
      <c r="K156" s="95">
        <f t="shared" si="85"/>
        <v>85.456</v>
      </c>
      <c r="L156" s="95">
        <f t="shared" si="90"/>
        <v>85.456</v>
      </c>
      <c r="M156" s="95"/>
    </row>
    <row r="157" s="121" customFormat="1" ht="186" customHeight="1" outlineLevel="1" spans="1:13">
      <c r="A157" s="126">
        <v>3.2</v>
      </c>
      <c r="B157" s="140" t="s">
        <v>132</v>
      </c>
      <c r="C157" s="134" t="s">
        <v>133</v>
      </c>
      <c r="D157" s="126" t="s">
        <v>68</v>
      </c>
      <c r="E157" s="138">
        <f ca="1">计算式!F151</f>
        <v>1.43</v>
      </c>
      <c r="F157" s="127">
        <f>+$F$73</f>
        <v>35</v>
      </c>
      <c r="G157" s="127">
        <f>+$G$73</f>
        <v>85</v>
      </c>
      <c r="H157" s="127">
        <f>+$H$73</f>
        <v>10</v>
      </c>
      <c r="I157" s="95">
        <f>+(F157+G157+H157)*$I$4</f>
        <v>15.6</v>
      </c>
      <c r="J157" s="95">
        <f>+(F157+G157+H157+I157)*$J$4</f>
        <v>13.104</v>
      </c>
      <c r="K157" s="95">
        <f t="shared" si="85"/>
        <v>158.704</v>
      </c>
      <c r="L157" s="95">
        <f ca="1" t="shared" si="90"/>
        <v>226.94672</v>
      </c>
      <c r="M157" s="126"/>
    </row>
    <row r="158" s="121" customFormat="1" ht="30" customHeight="1" spans="1:13">
      <c r="A158" s="126">
        <v>4</v>
      </c>
      <c r="B158" s="126" t="s">
        <v>112</v>
      </c>
      <c r="C158" s="126" t="s">
        <v>134</v>
      </c>
      <c r="D158" s="126"/>
      <c r="E158" s="127"/>
      <c r="F158" s="95"/>
      <c r="G158" s="95"/>
      <c r="H158" s="95"/>
      <c r="I158" s="95"/>
      <c r="J158" s="95"/>
      <c r="K158" s="95"/>
      <c r="L158" s="95">
        <f>SUM(L159:L164)</f>
        <v>4620.2604336</v>
      </c>
      <c r="M158" s="95"/>
    </row>
    <row r="159" s="121" customFormat="1" ht="139" customHeight="1" outlineLevel="1" spans="1:13">
      <c r="A159" s="126">
        <v>4.1</v>
      </c>
      <c r="B159" s="126" t="s">
        <v>113</v>
      </c>
      <c r="C159" s="131" t="s">
        <v>114</v>
      </c>
      <c r="D159" s="126" t="s">
        <v>115</v>
      </c>
      <c r="E159" s="127">
        <f>2.539+4.15</f>
        <v>6.689</v>
      </c>
      <c r="F159" s="95">
        <f>+$F$36</f>
        <v>38</v>
      </c>
      <c r="G159" s="95">
        <f>+$G$36</f>
        <v>12</v>
      </c>
      <c r="H159" s="95">
        <f>+$H$36</f>
        <v>35</v>
      </c>
      <c r="I159" s="95">
        <f>+(F159+G159+H159)*$I$4</f>
        <v>10.2</v>
      </c>
      <c r="J159" s="95">
        <f>+(F159+G159+H159+I159)*$J$4</f>
        <v>8.568</v>
      </c>
      <c r="K159" s="95">
        <f t="shared" ref="K159:K164" si="93">SUBTOTAL(9,F159:J159)</f>
        <v>103.768</v>
      </c>
      <c r="L159" s="95">
        <f>E159*K159</f>
        <v>694.104152</v>
      </c>
      <c r="M159" s="95"/>
    </row>
    <row r="160" s="121" customFormat="1" ht="195" customHeight="1" outlineLevel="1" spans="1:13">
      <c r="A160" s="126">
        <v>4.2</v>
      </c>
      <c r="B160" s="65" t="s">
        <v>116</v>
      </c>
      <c r="C160" s="131" t="s">
        <v>117</v>
      </c>
      <c r="D160" s="126" t="s">
        <v>115</v>
      </c>
      <c r="E160" s="127">
        <f>19.944-12.12</f>
        <v>7.824</v>
      </c>
      <c r="F160" s="95">
        <f>+$F$37</f>
        <v>62</v>
      </c>
      <c r="G160" s="95">
        <f>+$G$37</f>
        <v>55</v>
      </c>
      <c r="H160" s="95">
        <f>+$H$37</f>
        <v>18</v>
      </c>
      <c r="I160" s="95">
        <f>+(F160+G160+H160)*$I$4</f>
        <v>16.2</v>
      </c>
      <c r="J160" s="95">
        <f>+(F160+G160+H160+I160)*$J$4</f>
        <v>13.608</v>
      </c>
      <c r="K160" s="95">
        <f t="shared" si="93"/>
        <v>164.808</v>
      </c>
      <c r="L160" s="95">
        <f t="shared" ref="L160:L162" si="94">E160*K160</f>
        <v>1289.457792</v>
      </c>
      <c r="M160" s="95"/>
    </row>
    <row r="161" s="121" customFormat="1" ht="117" customHeight="1" outlineLevel="1" spans="1:13">
      <c r="A161" s="143">
        <v>4.4</v>
      </c>
      <c r="B161" s="143" t="s">
        <v>118</v>
      </c>
      <c r="C161" s="144" t="s">
        <v>146</v>
      </c>
      <c r="D161" s="143" t="s">
        <v>58</v>
      </c>
      <c r="E161" s="145">
        <f>13.412+6.811+5.919+1.12</f>
        <v>27.262</v>
      </c>
      <c r="F161" s="147">
        <f>+$F$38</f>
        <v>21</v>
      </c>
      <c r="G161" s="147">
        <f>+$G$38</f>
        <v>8</v>
      </c>
      <c r="H161" s="147">
        <f>+$H$38</f>
        <v>3</v>
      </c>
      <c r="I161" s="147">
        <f>+(F161+G161+H161)*$I$4</f>
        <v>3.84</v>
      </c>
      <c r="J161" s="147">
        <f>+(F161+G161+H161+I161)*$J$4</f>
        <v>3.2256</v>
      </c>
      <c r="K161" s="147">
        <f t="shared" si="93"/>
        <v>39.0656</v>
      </c>
      <c r="L161" s="95">
        <f t="shared" si="94"/>
        <v>1065.0063872</v>
      </c>
      <c r="M161" s="153" t="s">
        <v>147</v>
      </c>
    </row>
    <row r="162" s="121" customFormat="1" ht="113" customHeight="1" outlineLevel="1" spans="1:13">
      <c r="A162" s="126">
        <v>4.3</v>
      </c>
      <c r="B162" s="65" t="s">
        <v>121</v>
      </c>
      <c r="C162" s="131" t="s">
        <v>122</v>
      </c>
      <c r="D162" s="126" t="s">
        <v>58</v>
      </c>
      <c r="E162" s="127">
        <f>3.344+2.48</f>
        <v>5.824</v>
      </c>
      <c r="F162" s="95">
        <f>+$F$38</f>
        <v>21</v>
      </c>
      <c r="G162" s="95">
        <f>+$G$38</f>
        <v>8</v>
      </c>
      <c r="H162" s="95">
        <f>+$H$38</f>
        <v>3</v>
      </c>
      <c r="I162" s="95">
        <f>+(F162+G162+H162)*$I$4</f>
        <v>3.84</v>
      </c>
      <c r="J162" s="95">
        <f>+(F162+G162+H162+I162)*$J$4</f>
        <v>3.2256</v>
      </c>
      <c r="K162" s="95">
        <f t="shared" si="93"/>
        <v>39.0656</v>
      </c>
      <c r="L162" s="95">
        <f t="shared" si="94"/>
        <v>227.5180544</v>
      </c>
      <c r="M162" s="95"/>
    </row>
    <row r="163" s="121" customFormat="1" ht="68.1" customHeight="1" outlineLevel="1" spans="1:13">
      <c r="A163" s="126">
        <v>4.5</v>
      </c>
      <c r="B163" s="126" t="s">
        <v>123</v>
      </c>
      <c r="C163" s="131" t="s">
        <v>124</v>
      </c>
      <c r="D163" s="126" t="s">
        <v>68</v>
      </c>
      <c r="E163" s="127">
        <f>10.439+12.439</f>
        <v>22.878</v>
      </c>
      <c r="F163" s="95">
        <f>+$F$40</f>
        <v>6</v>
      </c>
      <c r="G163" s="95">
        <f>+$G$40</f>
        <v>12</v>
      </c>
      <c r="H163" s="95">
        <f>+$H$40</f>
        <v>2</v>
      </c>
      <c r="I163" s="95">
        <f>+(F163+G163+H163)*$I$4</f>
        <v>2.4</v>
      </c>
      <c r="J163" s="95">
        <f>+(F163+G163+H163+I163)*$J$4</f>
        <v>2.016</v>
      </c>
      <c r="K163" s="95">
        <f t="shared" si="93"/>
        <v>24.416</v>
      </c>
      <c r="L163" s="95">
        <f t="shared" ref="L162:L164" si="95">E163*K163</f>
        <v>558.589248</v>
      </c>
      <c r="M163" s="154"/>
    </row>
    <row r="164" s="121" customFormat="1" ht="83" customHeight="1" outlineLevel="1" spans="1:13">
      <c r="A164" s="126">
        <v>4.6</v>
      </c>
      <c r="B164" s="126" t="s">
        <v>125</v>
      </c>
      <c r="C164" s="131" t="s">
        <v>126</v>
      </c>
      <c r="D164" s="126" t="s">
        <v>68</v>
      </c>
      <c r="E164" s="127">
        <f>2.68+2.78+1.69</f>
        <v>7.15</v>
      </c>
      <c r="F164" s="95">
        <f>+$F$41</f>
        <v>44</v>
      </c>
      <c r="G164" s="95">
        <f>+$G$41</f>
        <v>26</v>
      </c>
      <c r="H164" s="95">
        <f>+$H$41</f>
        <v>20</v>
      </c>
      <c r="I164" s="95">
        <f>+(F164+G164+H164)*$I$4</f>
        <v>10.8</v>
      </c>
      <c r="J164" s="95">
        <f>+(F164+G164+H164+I164)*$J$4</f>
        <v>9.072</v>
      </c>
      <c r="K164" s="95">
        <f t="shared" si="93"/>
        <v>109.872</v>
      </c>
      <c r="L164" s="95">
        <f t="shared" si="95"/>
        <v>785.5848</v>
      </c>
      <c r="M164" s="154"/>
    </row>
    <row r="165" s="121" customFormat="1" spans="1:13">
      <c r="A165" s="126"/>
      <c r="B165" s="126"/>
      <c r="C165" s="131"/>
      <c r="D165" s="126"/>
      <c r="E165" s="127"/>
      <c r="F165" s="95"/>
      <c r="G165" s="95"/>
      <c r="H165" s="95"/>
      <c r="I165" s="95"/>
      <c r="J165" s="95"/>
      <c r="K165" s="95"/>
      <c r="L165" s="95"/>
      <c r="M165" s="154"/>
    </row>
    <row r="166" s="121" customFormat="1" spans="1:13">
      <c r="A166" s="126"/>
      <c r="B166" s="126"/>
      <c r="C166" s="131"/>
      <c r="D166" s="126"/>
      <c r="E166" s="127"/>
      <c r="F166" s="95"/>
      <c r="G166" s="95"/>
      <c r="H166" s="95"/>
      <c r="I166" s="95"/>
      <c r="J166" s="95"/>
      <c r="K166" s="95"/>
      <c r="L166" s="95"/>
      <c r="M166" s="154"/>
    </row>
    <row r="167" s="121" customFormat="1" spans="1:13">
      <c r="A167" s="126"/>
      <c r="B167" s="126"/>
      <c r="C167" s="131"/>
      <c r="D167" s="126"/>
      <c r="E167" s="127"/>
      <c r="F167" s="95"/>
      <c r="G167" s="95"/>
      <c r="H167" s="95"/>
      <c r="I167" s="95"/>
      <c r="J167" s="95"/>
      <c r="K167" s="95"/>
      <c r="L167" s="95"/>
      <c r="M167" s="154"/>
    </row>
  </sheetData>
  <autoFilter xmlns:etc="http://www.wps.cn/officeDocument/2017/etCustomData" ref="A4:M167" etc:filterBottomFollowUsedRange="0">
    <extLst/>
  </autoFilter>
  <mergeCells count="13">
    <mergeCell ref="A1:M1"/>
    <mergeCell ref="F2:J2"/>
    <mergeCell ref="A2:A4"/>
    <mergeCell ref="B2:B4"/>
    <mergeCell ref="C2:C4"/>
    <mergeCell ref="D2:D4"/>
    <mergeCell ref="E2:E4"/>
    <mergeCell ref="F3:F4"/>
    <mergeCell ref="G3:G4"/>
    <mergeCell ref="H3:H4"/>
    <mergeCell ref="K2:K4"/>
    <mergeCell ref="L2:L4"/>
    <mergeCell ref="M2:M4"/>
  </mergeCells>
  <pageMargins left="0.306944444444444" right="0.306944444444444" top="0.751388888888889" bottom="0.751388888888889" header="0.298611111111111" footer="0.298611111111111"/>
  <pageSetup paperSize="9" scale="74" orientation="portrait" horizontalDpi="600"/>
  <headerFooter/>
  <colBreaks count="1" manualBreakCount="1">
    <brk id="1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2"/>
  <sheetViews>
    <sheetView view="pageBreakPreview" zoomScaleNormal="100" workbookViewId="0">
      <selection activeCell="H238" sqref="H238"/>
    </sheetView>
  </sheetViews>
  <sheetFormatPr defaultColWidth="9" defaultRowHeight="13.5"/>
  <cols>
    <col min="1" max="1" width="3.63333333333333" style="55" customWidth="1"/>
    <col min="2" max="2" width="14.425" style="55" customWidth="1"/>
    <col min="3" max="3" width="27.2166666666667" style="55" customWidth="1"/>
    <col min="4" max="4" width="3.63333333333333" style="55" customWidth="1"/>
    <col min="5" max="5" width="7.55833333333333" style="59" customWidth="1"/>
    <col min="6" max="6" width="6.63333333333333" style="60" customWidth="1"/>
    <col min="7" max="7" width="10" style="59" customWidth="1"/>
    <col min="8" max="8" width="7.66666666666667" style="59" customWidth="1"/>
    <col min="9" max="9" width="7.13333333333333" style="61" customWidth="1"/>
    <col min="10" max="10" width="8.75" style="59" customWidth="1"/>
    <col min="11" max="11" width="9.03333333333333" style="59" customWidth="1"/>
    <col min="12" max="12" width="9.38333333333333" style="59" customWidth="1"/>
    <col min="13" max="13" width="9.63333333333333" style="62" customWidth="1"/>
    <col min="14" max="14" width="11.1083333333333" style="59" customWidth="1"/>
    <col min="15" max="15" width="8" style="55" customWidth="1"/>
    <col min="16" max="16" width="23.2583333333333" style="55" hidden="1" customWidth="1"/>
    <col min="17" max="16384" width="9" style="55"/>
  </cols>
  <sheetData>
    <row r="1" s="55" customFormat="1" ht="27" customHeight="1" spans="1:15">
      <c r="A1" s="63" t="s">
        <v>151</v>
      </c>
      <c r="B1" s="63"/>
      <c r="C1" s="63"/>
      <c r="D1" s="63"/>
      <c r="E1" s="64"/>
      <c r="F1" s="64"/>
      <c r="G1" s="64"/>
      <c r="H1" s="64"/>
      <c r="I1" s="91"/>
      <c r="J1" s="64"/>
      <c r="K1" s="64"/>
      <c r="L1" s="64"/>
      <c r="M1" s="64"/>
      <c r="N1" s="64"/>
      <c r="O1" s="63"/>
    </row>
    <row r="2" s="56" customFormat="1" ht="14.25" spans="1:15">
      <c r="A2" s="65" t="s">
        <v>24</v>
      </c>
      <c r="B2" s="65" t="s">
        <v>40</v>
      </c>
      <c r="C2" s="65" t="s">
        <v>41</v>
      </c>
      <c r="D2" s="65" t="s">
        <v>42</v>
      </c>
      <c r="E2" s="66" t="s">
        <v>43</v>
      </c>
      <c r="F2" s="67" t="s">
        <v>44</v>
      </c>
      <c r="G2" s="67"/>
      <c r="H2" s="67"/>
      <c r="I2" s="92"/>
      <c r="J2" s="67"/>
      <c r="K2" s="67"/>
      <c r="L2" s="67"/>
      <c r="M2" s="67" t="s">
        <v>152</v>
      </c>
      <c r="N2" s="67" t="s">
        <v>46</v>
      </c>
      <c r="O2" s="67" t="s">
        <v>153</v>
      </c>
    </row>
    <row r="3" s="56" customFormat="1" ht="48" spans="1:15">
      <c r="A3" s="65"/>
      <c r="B3" s="65"/>
      <c r="C3" s="65"/>
      <c r="D3" s="65"/>
      <c r="E3" s="66"/>
      <c r="F3" s="67" t="s">
        <v>47</v>
      </c>
      <c r="G3" s="67" t="s">
        <v>154</v>
      </c>
      <c r="H3" s="67" t="s">
        <v>155</v>
      </c>
      <c r="I3" s="92" t="s">
        <v>156</v>
      </c>
      <c r="J3" s="67" t="s">
        <v>49</v>
      </c>
      <c r="K3" s="67" t="s">
        <v>50</v>
      </c>
      <c r="L3" s="67" t="s">
        <v>51</v>
      </c>
      <c r="M3" s="67"/>
      <c r="N3" s="67"/>
      <c r="O3" s="67"/>
    </row>
    <row r="4" s="56" customFormat="1" ht="14.25" spans="1:15">
      <c r="A4" s="65"/>
      <c r="B4" s="65"/>
      <c r="C4" s="65"/>
      <c r="D4" s="65"/>
      <c r="E4" s="66"/>
      <c r="F4" s="67"/>
      <c r="G4" s="68" t="s">
        <v>157</v>
      </c>
      <c r="H4" s="67" t="s">
        <v>158</v>
      </c>
      <c r="I4" s="92" t="s">
        <v>159</v>
      </c>
      <c r="J4" s="67"/>
      <c r="K4" s="92">
        <v>0.12</v>
      </c>
      <c r="L4" s="92">
        <v>0.09</v>
      </c>
      <c r="M4" s="67"/>
      <c r="N4" s="67"/>
      <c r="O4" s="67"/>
    </row>
    <row r="5" s="56" customFormat="1" ht="14.25" spans="1:15">
      <c r="A5" s="65" t="s">
        <v>52</v>
      </c>
      <c r="B5" s="65" t="s">
        <v>160</v>
      </c>
      <c r="C5" s="65" t="s">
        <v>161</v>
      </c>
      <c r="D5" s="65" t="s">
        <v>162</v>
      </c>
      <c r="E5" s="66"/>
      <c r="F5" s="67"/>
      <c r="G5" s="67"/>
      <c r="H5" s="67"/>
      <c r="I5" s="92"/>
      <c r="J5" s="67"/>
      <c r="K5" s="67"/>
      <c r="L5" s="67"/>
      <c r="M5" s="67"/>
      <c r="N5" s="67"/>
      <c r="O5" s="93"/>
    </row>
    <row r="6" s="55" customFormat="1" ht="48" outlineLevel="1" spans="1:15">
      <c r="A6" s="69">
        <v>1</v>
      </c>
      <c r="B6" s="70" t="s">
        <v>163</v>
      </c>
      <c r="C6" s="71" t="s">
        <v>164</v>
      </c>
      <c r="D6" s="70" t="s">
        <v>109</v>
      </c>
      <c r="E6" s="72">
        <v>3</v>
      </c>
      <c r="F6" s="73">
        <v>13</v>
      </c>
      <c r="G6" s="69">
        <f t="shared" ref="G6:G10" si="0">+H6*(1+I6)</f>
        <v>45.45</v>
      </c>
      <c r="H6" s="73">
        <v>45</v>
      </c>
      <c r="I6" s="94">
        <v>0.01</v>
      </c>
      <c r="J6" s="73">
        <v>5</v>
      </c>
      <c r="K6" s="95">
        <f>+(F6+G6+J6)*$K$4</f>
        <v>7.614</v>
      </c>
      <c r="L6" s="95">
        <f>+(F6+G6+J6+K6)*$L$4</f>
        <v>6.39576</v>
      </c>
      <c r="M6" s="78">
        <f>F6+G6+J6+K6+L6</f>
        <v>77.45976</v>
      </c>
      <c r="N6" s="73">
        <f>M6*E6</f>
        <v>232.37928</v>
      </c>
      <c r="O6" s="93" t="s">
        <v>165</v>
      </c>
    </row>
    <row r="7" s="55" customFormat="1" ht="48" outlineLevel="1" spans="1:15">
      <c r="A7" s="69">
        <v>2</v>
      </c>
      <c r="B7" s="70" t="s">
        <v>166</v>
      </c>
      <c r="C7" s="71" t="s">
        <v>167</v>
      </c>
      <c r="D7" s="70" t="s">
        <v>109</v>
      </c>
      <c r="E7" s="72">
        <v>6</v>
      </c>
      <c r="F7" s="73">
        <v>13</v>
      </c>
      <c r="G7" s="69">
        <f t="shared" si="0"/>
        <v>48.48</v>
      </c>
      <c r="H7" s="73">
        <v>48</v>
      </c>
      <c r="I7" s="94">
        <v>0.01</v>
      </c>
      <c r="J7" s="73">
        <v>5</v>
      </c>
      <c r="K7" s="95">
        <f>+(F7+G7+J7)*$K$4</f>
        <v>7.9776</v>
      </c>
      <c r="L7" s="95">
        <f>+(F7+G7+J7+K7)*$L$4</f>
        <v>6.701184</v>
      </c>
      <c r="M7" s="78">
        <f>F7+G7+J7+K7+L7</f>
        <v>81.158784</v>
      </c>
      <c r="N7" s="73">
        <f t="shared" ref="N7:N37" si="1">M7*E7</f>
        <v>486.952704</v>
      </c>
      <c r="O7" s="93" t="s">
        <v>165</v>
      </c>
    </row>
    <row r="8" s="55" customFormat="1" ht="48" outlineLevel="1" spans="1:15">
      <c r="A8" s="69">
        <v>3</v>
      </c>
      <c r="B8" s="70" t="s">
        <v>168</v>
      </c>
      <c r="C8" s="71" t="s">
        <v>169</v>
      </c>
      <c r="D8" s="70" t="s">
        <v>109</v>
      </c>
      <c r="E8" s="72">
        <v>1</v>
      </c>
      <c r="F8" s="73">
        <v>15</v>
      </c>
      <c r="G8" s="69">
        <f t="shared" si="0"/>
        <v>52.52</v>
      </c>
      <c r="H8" s="69">
        <v>52</v>
      </c>
      <c r="I8" s="96">
        <v>0.01</v>
      </c>
      <c r="J8" s="69">
        <v>3</v>
      </c>
      <c r="K8" s="95">
        <f>+(F8+G8+J8)*$K$4</f>
        <v>8.4624</v>
      </c>
      <c r="L8" s="95">
        <f>+(F8+G8+J8+K8)*$L$4</f>
        <v>7.108416</v>
      </c>
      <c r="M8" s="78">
        <f>F8+G8+J8+K8+L8</f>
        <v>86.090816</v>
      </c>
      <c r="N8" s="73">
        <f t="shared" si="1"/>
        <v>86.090816</v>
      </c>
      <c r="O8" s="93" t="s">
        <v>165</v>
      </c>
    </row>
    <row r="9" s="55" customFormat="1" ht="48" outlineLevel="1" spans="1:15">
      <c r="A9" s="69">
        <v>4</v>
      </c>
      <c r="B9" s="70" t="s">
        <v>170</v>
      </c>
      <c r="C9" s="71" t="s">
        <v>171</v>
      </c>
      <c r="D9" s="70" t="s">
        <v>109</v>
      </c>
      <c r="E9" s="72">
        <v>1</v>
      </c>
      <c r="F9" s="73">
        <v>15</v>
      </c>
      <c r="G9" s="69">
        <f t="shared" si="0"/>
        <v>45.45</v>
      </c>
      <c r="H9" s="69">
        <v>45</v>
      </c>
      <c r="I9" s="96">
        <v>0.01</v>
      </c>
      <c r="J9" s="69">
        <v>3</v>
      </c>
      <c r="K9" s="95">
        <f>+(F9+G9+J9)*$K$4</f>
        <v>7.614</v>
      </c>
      <c r="L9" s="95">
        <f>+(F9+G9+J9+K9)*$L$4</f>
        <v>6.39576</v>
      </c>
      <c r="M9" s="78">
        <f>F9+G9+J9+K9+L9</f>
        <v>77.45976</v>
      </c>
      <c r="N9" s="73">
        <f t="shared" si="1"/>
        <v>77.45976</v>
      </c>
      <c r="O9" s="93" t="s">
        <v>165</v>
      </c>
    </row>
    <row r="10" s="55" customFormat="1" ht="48" outlineLevel="1" spans="1:15">
      <c r="A10" s="69">
        <v>5</v>
      </c>
      <c r="B10" s="70" t="s">
        <v>172</v>
      </c>
      <c r="C10" s="71" t="s">
        <v>173</v>
      </c>
      <c r="D10" s="70" t="s">
        <v>109</v>
      </c>
      <c r="E10" s="72">
        <v>2</v>
      </c>
      <c r="F10" s="73">
        <v>15</v>
      </c>
      <c r="G10" s="69">
        <f t="shared" si="0"/>
        <v>45.45</v>
      </c>
      <c r="H10" s="69">
        <v>45</v>
      </c>
      <c r="I10" s="96">
        <v>0.01</v>
      </c>
      <c r="J10" s="69">
        <v>3</v>
      </c>
      <c r="K10" s="95">
        <f>+(F10+G10+J10)*$K$4</f>
        <v>7.614</v>
      </c>
      <c r="L10" s="95">
        <f>+(F10+G10+J10+K10)*$L$4</f>
        <v>6.39576</v>
      </c>
      <c r="M10" s="78">
        <f>F10+G10+J10+K10+L10</f>
        <v>77.45976</v>
      </c>
      <c r="N10" s="73">
        <f t="shared" si="1"/>
        <v>154.91952</v>
      </c>
      <c r="O10" s="93" t="s">
        <v>165</v>
      </c>
    </row>
    <row r="11" s="55" customFormat="1" ht="48" outlineLevel="1" spans="1:15">
      <c r="A11" s="69">
        <v>6</v>
      </c>
      <c r="B11" s="70" t="s">
        <v>174</v>
      </c>
      <c r="C11" s="71" t="s">
        <v>175</v>
      </c>
      <c r="D11" s="70" t="s">
        <v>68</v>
      </c>
      <c r="E11" s="74">
        <v>11.48</v>
      </c>
      <c r="F11" s="73">
        <v>7.5</v>
      </c>
      <c r="G11" s="69">
        <f t="shared" ref="G11:G18" si="2">+H11*(1+I11)</f>
        <v>12.12</v>
      </c>
      <c r="H11" s="73">
        <v>12</v>
      </c>
      <c r="I11" s="94">
        <v>0.01</v>
      </c>
      <c r="J11" s="73">
        <v>2</v>
      </c>
      <c r="K11" s="95">
        <f>+(F11+G11+J11)*$K$4</f>
        <v>2.5944</v>
      </c>
      <c r="L11" s="95">
        <f>+(F11+G11+J11+K11)*$L$4</f>
        <v>2.179296</v>
      </c>
      <c r="M11" s="78">
        <f t="shared" ref="M7:M37" si="3">F11+G11+J11+K11+L11</f>
        <v>26.393696</v>
      </c>
      <c r="N11" s="73">
        <f t="shared" si="1"/>
        <v>302.99963008</v>
      </c>
      <c r="O11" s="93" t="s">
        <v>165</v>
      </c>
    </row>
    <row r="12" s="55" customFormat="1" ht="60" outlineLevel="1" spans="1:15">
      <c r="A12" s="69">
        <v>7</v>
      </c>
      <c r="B12" s="75" t="s">
        <v>176</v>
      </c>
      <c r="C12" s="71" t="s">
        <v>177</v>
      </c>
      <c r="D12" s="70" t="s">
        <v>109</v>
      </c>
      <c r="E12" s="72">
        <v>1</v>
      </c>
      <c r="F12" s="73">
        <v>38</v>
      </c>
      <c r="G12" s="69">
        <f t="shared" si="2"/>
        <v>444.4</v>
      </c>
      <c r="H12" s="73">
        <v>440</v>
      </c>
      <c r="I12" s="94">
        <v>0.01</v>
      </c>
      <c r="J12" s="73">
        <v>12</v>
      </c>
      <c r="K12" s="95">
        <f>+(F12+G12+J12)*$K$4</f>
        <v>59.328</v>
      </c>
      <c r="L12" s="95">
        <f>+(F12+G12+J12+K12)*$L$4</f>
        <v>49.83552</v>
      </c>
      <c r="M12" s="78">
        <f t="shared" si="3"/>
        <v>603.56352</v>
      </c>
      <c r="N12" s="73">
        <f t="shared" si="1"/>
        <v>603.56352</v>
      </c>
      <c r="O12" s="93" t="s">
        <v>165</v>
      </c>
    </row>
    <row r="13" s="55" customFormat="1" ht="36" outlineLevel="1" spans="1:15">
      <c r="A13" s="69">
        <v>8</v>
      </c>
      <c r="B13" s="75" t="s">
        <v>178</v>
      </c>
      <c r="C13" s="71" t="s">
        <v>179</v>
      </c>
      <c r="D13" s="70" t="s">
        <v>109</v>
      </c>
      <c r="E13" s="72">
        <v>1</v>
      </c>
      <c r="F13" s="73">
        <v>15</v>
      </c>
      <c r="G13" s="69">
        <f t="shared" si="2"/>
        <v>55.55</v>
      </c>
      <c r="H13" s="73">
        <v>55</v>
      </c>
      <c r="I13" s="96">
        <v>0.01</v>
      </c>
      <c r="J13" s="73">
        <v>3</v>
      </c>
      <c r="K13" s="95">
        <f>+(F13+G13+J13)*$K$4</f>
        <v>8.826</v>
      </c>
      <c r="L13" s="95">
        <f>+(F13+G13+J13+K13)*$L$4</f>
        <v>7.41384</v>
      </c>
      <c r="M13" s="78">
        <f t="shared" si="3"/>
        <v>89.78984</v>
      </c>
      <c r="N13" s="73">
        <f t="shared" si="1"/>
        <v>89.78984</v>
      </c>
      <c r="O13" s="93" t="s">
        <v>165</v>
      </c>
    </row>
    <row r="14" s="55" customFormat="1" ht="36" outlineLevel="1" spans="1:15">
      <c r="A14" s="69">
        <v>9</v>
      </c>
      <c r="B14" s="70" t="s">
        <v>180</v>
      </c>
      <c r="C14" s="71" t="s">
        <v>181</v>
      </c>
      <c r="D14" s="70" t="s">
        <v>109</v>
      </c>
      <c r="E14" s="72">
        <v>1</v>
      </c>
      <c r="F14" s="69">
        <v>5</v>
      </c>
      <c r="G14" s="69">
        <f t="shared" si="2"/>
        <v>6.06</v>
      </c>
      <c r="H14" s="69">
        <v>6</v>
      </c>
      <c r="I14" s="96">
        <v>0.01</v>
      </c>
      <c r="J14" s="69">
        <v>1</v>
      </c>
      <c r="K14" s="95">
        <f>+(F14+G14+J14)*$K$4</f>
        <v>1.4472</v>
      </c>
      <c r="L14" s="95">
        <f>+(F14+G14+J14+K14)*$L$4</f>
        <v>1.215648</v>
      </c>
      <c r="M14" s="78">
        <f t="shared" si="3"/>
        <v>14.722848</v>
      </c>
      <c r="N14" s="73">
        <f t="shared" si="1"/>
        <v>14.722848</v>
      </c>
      <c r="O14" s="93" t="s">
        <v>165</v>
      </c>
    </row>
    <row r="15" s="55" customFormat="1" ht="48" outlineLevel="1" spans="1:15">
      <c r="A15" s="69">
        <v>10</v>
      </c>
      <c r="B15" s="70" t="s">
        <v>182</v>
      </c>
      <c r="C15" s="71" t="s">
        <v>183</v>
      </c>
      <c r="D15" s="70" t="s">
        <v>109</v>
      </c>
      <c r="E15" s="72">
        <v>14</v>
      </c>
      <c r="F15" s="73">
        <v>11</v>
      </c>
      <c r="G15" s="69">
        <f t="shared" si="2"/>
        <v>21.21</v>
      </c>
      <c r="H15" s="73">
        <v>21</v>
      </c>
      <c r="I15" s="94">
        <v>0.01</v>
      </c>
      <c r="J15" s="73">
        <v>3</v>
      </c>
      <c r="K15" s="95">
        <f>+(F15+G15+J15)*$K$4</f>
        <v>4.2252</v>
      </c>
      <c r="L15" s="95">
        <f>+(F15+G15+J15+K15)*$L$4</f>
        <v>3.549168</v>
      </c>
      <c r="M15" s="78">
        <f t="shared" si="3"/>
        <v>42.984368</v>
      </c>
      <c r="N15" s="73">
        <f t="shared" si="1"/>
        <v>601.781152</v>
      </c>
      <c r="O15" s="93" t="s">
        <v>184</v>
      </c>
    </row>
    <row r="16" s="55" customFormat="1" ht="48" outlineLevel="1" spans="1:15">
      <c r="A16" s="69">
        <v>11</v>
      </c>
      <c r="B16" s="70" t="s">
        <v>185</v>
      </c>
      <c r="C16" s="71" t="s">
        <v>186</v>
      </c>
      <c r="D16" s="70" t="s">
        <v>109</v>
      </c>
      <c r="E16" s="72">
        <v>3</v>
      </c>
      <c r="F16" s="73">
        <f>+$F$15</f>
        <v>11</v>
      </c>
      <c r="G16" s="69">
        <f t="shared" si="2"/>
        <v>16.16</v>
      </c>
      <c r="H16" s="73">
        <v>16</v>
      </c>
      <c r="I16" s="94">
        <v>0.01</v>
      </c>
      <c r="J16" s="73">
        <f>+$J$15</f>
        <v>3</v>
      </c>
      <c r="K16" s="95">
        <f>+(F16+G16+J16)*$K$4</f>
        <v>3.6192</v>
      </c>
      <c r="L16" s="95">
        <f>+(F16+G16+J16+K16)*$L$4</f>
        <v>3.040128</v>
      </c>
      <c r="M16" s="78">
        <f t="shared" si="3"/>
        <v>36.819328</v>
      </c>
      <c r="N16" s="73">
        <f t="shared" si="1"/>
        <v>110.457984</v>
      </c>
      <c r="O16" s="93" t="s">
        <v>184</v>
      </c>
    </row>
    <row r="17" s="55" customFormat="1" ht="48" outlineLevel="1" spans="1:15">
      <c r="A17" s="69">
        <v>12</v>
      </c>
      <c r="B17" s="70" t="s">
        <v>187</v>
      </c>
      <c r="C17" s="71" t="s">
        <v>188</v>
      </c>
      <c r="D17" s="70" t="s">
        <v>109</v>
      </c>
      <c r="E17" s="72">
        <v>6</v>
      </c>
      <c r="F17" s="73">
        <f>+$F$15</f>
        <v>11</v>
      </c>
      <c r="G17" s="69">
        <f t="shared" si="2"/>
        <v>22.22</v>
      </c>
      <c r="H17" s="73">
        <v>22</v>
      </c>
      <c r="I17" s="94">
        <v>0.01</v>
      </c>
      <c r="J17" s="73">
        <f>+$J$15</f>
        <v>3</v>
      </c>
      <c r="K17" s="95">
        <f>+(F17+G17+J17)*$K$4</f>
        <v>4.3464</v>
      </c>
      <c r="L17" s="95">
        <f>+(F17+G17+J17+K17)*$L$4</f>
        <v>3.650976</v>
      </c>
      <c r="M17" s="78">
        <f t="shared" si="3"/>
        <v>44.217376</v>
      </c>
      <c r="N17" s="73">
        <f t="shared" si="1"/>
        <v>265.304256</v>
      </c>
      <c r="O17" s="93" t="s">
        <v>184</v>
      </c>
    </row>
    <row r="18" s="55" customFormat="1" ht="48" outlineLevel="1" spans="1:15">
      <c r="A18" s="69">
        <v>13</v>
      </c>
      <c r="B18" s="75" t="s">
        <v>189</v>
      </c>
      <c r="C18" s="71" t="s">
        <v>190</v>
      </c>
      <c r="D18" s="70" t="s">
        <v>109</v>
      </c>
      <c r="E18" s="72">
        <v>1</v>
      </c>
      <c r="F18" s="73">
        <f>+$F$15</f>
        <v>11</v>
      </c>
      <c r="G18" s="69">
        <f t="shared" si="2"/>
        <v>32.32</v>
      </c>
      <c r="H18" s="73">
        <v>32</v>
      </c>
      <c r="I18" s="94">
        <v>0.01</v>
      </c>
      <c r="J18" s="73">
        <f>+$J$15</f>
        <v>3</v>
      </c>
      <c r="K18" s="95">
        <f>+(F18+G18+J18)*$K$4</f>
        <v>5.5584</v>
      </c>
      <c r="L18" s="95">
        <f>+(F18+G18+J18+K18)*$L$4</f>
        <v>4.669056</v>
      </c>
      <c r="M18" s="78">
        <f t="shared" si="3"/>
        <v>56.547456</v>
      </c>
      <c r="N18" s="73">
        <f t="shared" si="1"/>
        <v>56.547456</v>
      </c>
      <c r="O18" s="93" t="s">
        <v>184</v>
      </c>
    </row>
    <row r="19" s="55" customFormat="1" ht="48" outlineLevel="1" spans="1:15">
      <c r="A19" s="69">
        <v>14</v>
      </c>
      <c r="B19" s="70" t="s">
        <v>191</v>
      </c>
      <c r="C19" s="71" t="s">
        <v>192</v>
      </c>
      <c r="D19" s="70" t="s">
        <v>109</v>
      </c>
      <c r="E19" s="72">
        <v>1</v>
      </c>
      <c r="F19" s="73">
        <f t="shared" ref="F19:F23" si="4">+$F$18</f>
        <v>11</v>
      </c>
      <c r="G19" s="69">
        <f t="shared" ref="G18:G23" si="5">+H19*(1+I19)</f>
        <v>35.35</v>
      </c>
      <c r="H19" s="73">
        <v>35</v>
      </c>
      <c r="I19" s="94">
        <v>0.01</v>
      </c>
      <c r="J19" s="73">
        <f t="shared" ref="J19:J23" si="6">+$J$18</f>
        <v>3</v>
      </c>
      <c r="K19" s="95">
        <f>+(F19+G19+J19)*$K$4</f>
        <v>5.922</v>
      </c>
      <c r="L19" s="95">
        <f>+(F19+G19+J19+K19)*$L$4</f>
        <v>4.97448</v>
      </c>
      <c r="M19" s="78">
        <f t="shared" si="3"/>
        <v>60.24648</v>
      </c>
      <c r="N19" s="73">
        <f t="shared" si="1"/>
        <v>60.24648</v>
      </c>
      <c r="O19" s="93" t="s">
        <v>184</v>
      </c>
    </row>
    <row r="20" s="55" customFormat="1" ht="48" outlineLevel="1" spans="1:15">
      <c r="A20" s="69">
        <v>15</v>
      </c>
      <c r="B20" s="70" t="s">
        <v>193</v>
      </c>
      <c r="C20" s="71" t="s">
        <v>194</v>
      </c>
      <c r="D20" s="70" t="s">
        <v>109</v>
      </c>
      <c r="E20" s="72">
        <v>2</v>
      </c>
      <c r="F20" s="73">
        <f t="shared" si="4"/>
        <v>11</v>
      </c>
      <c r="G20" s="69">
        <f t="shared" si="5"/>
        <v>26.26</v>
      </c>
      <c r="H20" s="73">
        <v>26</v>
      </c>
      <c r="I20" s="94">
        <v>0.01</v>
      </c>
      <c r="J20" s="73">
        <f t="shared" si="6"/>
        <v>3</v>
      </c>
      <c r="K20" s="95">
        <f>+(F20+G20+J20)*$K$4</f>
        <v>4.8312</v>
      </c>
      <c r="L20" s="95">
        <f>+(F20+G20+J20+K20)*$L$4</f>
        <v>4.058208</v>
      </c>
      <c r="M20" s="78">
        <f t="shared" si="3"/>
        <v>49.149408</v>
      </c>
      <c r="N20" s="73">
        <f t="shared" si="1"/>
        <v>98.298816</v>
      </c>
      <c r="O20" s="93" t="s">
        <v>184</v>
      </c>
    </row>
    <row r="21" s="55" customFormat="1" ht="48" outlineLevel="1" spans="1:19">
      <c r="A21" s="69">
        <v>16</v>
      </c>
      <c r="B21" s="70" t="s">
        <v>195</v>
      </c>
      <c r="C21" s="71" t="s">
        <v>196</v>
      </c>
      <c r="D21" s="70" t="s">
        <v>109</v>
      </c>
      <c r="E21" s="72">
        <v>1</v>
      </c>
      <c r="F21" s="73">
        <f t="shared" si="4"/>
        <v>11</v>
      </c>
      <c r="G21" s="69">
        <f t="shared" si="5"/>
        <v>22.22</v>
      </c>
      <c r="H21" s="73">
        <v>22</v>
      </c>
      <c r="I21" s="94">
        <v>0.01</v>
      </c>
      <c r="J21" s="73">
        <f t="shared" si="6"/>
        <v>3</v>
      </c>
      <c r="K21" s="95">
        <f>+(F21+G21+J21)*$K$4</f>
        <v>4.3464</v>
      </c>
      <c r="L21" s="95">
        <f>+(F21+G21+J21+K21)*$L$4</f>
        <v>3.650976</v>
      </c>
      <c r="M21" s="78">
        <f t="shared" si="3"/>
        <v>44.217376</v>
      </c>
      <c r="N21" s="73">
        <f t="shared" si="1"/>
        <v>44.217376</v>
      </c>
      <c r="O21" s="93" t="s">
        <v>184</v>
      </c>
      <c r="Q21" s="105"/>
      <c r="R21" s="106"/>
      <c r="S21" s="105"/>
    </row>
    <row r="22" s="55" customFormat="1" ht="48" outlineLevel="1" spans="1:19">
      <c r="A22" s="69">
        <v>17</v>
      </c>
      <c r="B22" s="70" t="s">
        <v>197</v>
      </c>
      <c r="C22" s="71" t="s">
        <v>198</v>
      </c>
      <c r="D22" s="70" t="s">
        <v>109</v>
      </c>
      <c r="E22" s="72">
        <v>1</v>
      </c>
      <c r="F22" s="73">
        <f t="shared" si="4"/>
        <v>11</v>
      </c>
      <c r="G22" s="69">
        <f t="shared" si="5"/>
        <v>23.23</v>
      </c>
      <c r="H22" s="73">
        <v>23</v>
      </c>
      <c r="I22" s="94">
        <v>0.01</v>
      </c>
      <c r="J22" s="73">
        <f t="shared" si="6"/>
        <v>3</v>
      </c>
      <c r="K22" s="95">
        <f>+(F22+G22+J22)*$K$4</f>
        <v>4.4676</v>
      </c>
      <c r="L22" s="95">
        <f>+(F22+G22+J22+K22)*$L$4</f>
        <v>3.752784</v>
      </c>
      <c r="M22" s="78">
        <f t="shared" si="3"/>
        <v>45.450384</v>
      </c>
      <c r="N22" s="73">
        <f t="shared" si="1"/>
        <v>45.450384</v>
      </c>
      <c r="O22" s="93" t="s">
        <v>184</v>
      </c>
      <c r="Q22" s="105"/>
      <c r="R22" s="106"/>
      <c r="S22" s="105"/>
    </row>
    <row r="23" s="55" customFormat="1" ht="48" outlineLevel="1" spans="1:19">
      <c r="A23" s="69">
        <v>18</v>
      </c>
      <c r="B23" s="70" t="s">
        <v>199</v>
      </c>
      <c r="C23" s="71" t="s">
        <v>200</v>
      </c>
      <c r="D23" s="70" t="s">
        <v>109</v>
      </c>
      <c r="E23" s="72">
        <v>3</v>
      </c>
      <c r="F23" s="73">
        <f t="shared" si="4"/>
        <v>11</v>
      </c>
      <c r="G23" s="69">
        <f t="shared" si="5"/>
        <v>22.22</v>
      </c>
      <c r="H23" s="73">
        <v>22</v>
      </c>
      <c r="I23" s="94">
        <v>0.01</v>
      </c>
      <c r="J23" s="73">
        <f t="shared" si="6"/>
        <v>3</v>
      </c>
      <c r="K23" s="95">
        <f>+(F23+G23+J23)*$K$4</f>
        <v>4.3464</v>
      </c>
      <c r="L23" s="95">
        <f>+(F23+G23+J23+K23)*$L$4</f>
        <v>3.650976</v>
      </c>
      <c r="M23" s="78">
        <f t="shared" si="3"/>
        <v>44.217376</v>
      </c>
      <c r="N23" s="73">
        <f t="shared" si="1"/>
        <v>132.652128</v>
      </c>
      <c r="O23" s="93" t="s">
        <v>184</v>
      </c>
      <c r="Q23" s="105"/>
      <c r="R23" s="106"/>
      <c r="S23" s="105"/>
    </row>
    <row r="24" s="55" customFormat="1" ht="48" outlineLevel="1" spans="1:19">
      <c r="A24" s="69">
        <v>19</v>
      </c>
      <c r="B24" s="70" t="s">
        <v>201</v>
      </c>
      <c r="C24" s="71" t="s">
        <v>202</v>
      </c>
      <c r="D24" s="70" t="s">
        <v>109</v>
      </c>
      <c r="E24" s="72">
        <v>2</v>
      </c>
      <c r="F24" s="73">
        <f t="shared" ref="F24:F27" si="7">+$F$18</f>
        <v>11</v>
      </c>
      <c r="G24" s="69">
        <f t="shared" ref="G21:G32" si="8">+H24*(1+I24)</f>
        <v>24.24</v>
      </c>
      <c r="H24" s="73">
        <v>24</v>
      </c>
      <c r="I24" s="94">
        <v>0.01</v>
      </c>
      <c r="J24" s="73">
        <f t="shared" ref="J24:J27" si="9">+$J$18</f>
        <v>3</v>
      </c>
      <c r="K24" s="95">
        <f>+(F24+G24+J24)*$K$4</f>
        <v>4.5888</v>
      </c>
      <c r="L24" s="95">
        <f>+(F24+G24+J24+K24)*$L$4</f>
        <v>3.854592</v>
      </c>
      <c r="M24" s="78">
        <f t="shared" si="3"/>
        <v>46.683392</v>
      </c>
      <c r="N24" s="73">
        <f t="shared" si="1"/>
        <v>93.366784</v>
      </c>
      <c r="O24" s="93" t="s">
        <v>184</v>
      </c>
      <c r="Q24" s="105"/>
      <c r="R24" s="106"/>
      <c r="S24" s="105"/>
    </row>
    <row r="25" s="55" customFormat="1" ht="48" outlineLevel="1" spans="1:19">
      <c r="A25" s="69">
        <v>20</v>
      </c>
      <c r="B25" s="70" t="s">
        <v>203</v>
      </c>
      <c r="C25" s="71" t="s">
        <v>204</v>
      </c>
      <c r="D25" s="70" t="s">
        <v>109</v>
      </c>
      <c r="E25" s="72">
        <v>1</v>
      </c>
      <c r="F25" s="73">
        <f t="shared" si="7"/>
        <v>11</v>
      </c>
      <c r="G25" s="69">
        <f t="shared" si="8"/>
        <v>45.45</v>
      </c>
      <c r="H25" s="73">
        <v>45</v>
      </c>
      <c r="I25" s="94">
        <v>0.01</v>
      </c>
      <c r="J25" s="73">
        <f t="shared" si="9"/>
        <v>3</v>
      </c>
      <c r="K25" s="95">
        <f>+(F25+G25+J25)*$K$4</f>
        <v>7.134</v>
      </c>
      <c r="L25" s="95">
        <f>+(F25+G25+J25+K25)*$L$4</f>
        <v>5.99256</v>
      </c>
      <c r="M25" s="78">
        <f t="shared" si="3"/>
        <v>72.57656</v>
      </c>
      <c r="N25" s="73">
        <f t="shared" si="1"/>
        <v>72.57656</v>
      </c>
      <c r="O25" s="93" t="s">
        <v>184</v>
      </c>
      <c r="Q25" s="105"/>
      <c r="R25" s="105"/>
      <c r="S25" s="105"/>
    </row>
    <row r="26" s="55" customFormat="1" ht="60" outlineLevel="1" spans="1:19">
      <c r="A26" s="69">
        <v>21</v>
      </c>
      <c r="B26" s="75" t="s">
        <v>205</v>
      </c>
      <c r="C26" s="71" t="s">
        <v>206</v>
      </c>
      <c r="D26" s="70" t="s">
        <v>109</v>
      </c>
      <c r="E26" s="72">
        <v>1</v>
      </c>
      <c r="F26" s="73">
        <f t="shared" si="7"/>
        <v>11</v>
      </c>
      <c r="G26" s="69">
        <f t="shared" si="8"/>
        <v>68.68</v>
      </c>
      <c r="H26" s="73">
        <v>68</v>
      </c>
      <c r="I26" s="94">
        <v>0.01</v>
      </c>
      <c r="J26" s="73">
        <f t="shared" si="9"/>
        <v>3</v>
      </c>
      <c r="K26" s="95">
        <f>+(F26+G26+J26)*$K$4</f>
        <v>9.9216</v>
      </c>
      <c r="L26" s="95">
        <f>+(F26+G26+J26+K26)*$L$4</f>
        <v>8.334144</v>
      </c>
      <c r="M26" s="78">
        <f t="shared" si="3"/>
        <v>100.935744</v>
      </c>
      <c r="N26" s="73">
        <f t="shared" si="1"/>
        <v>100.935744</v>
      </c>
      <c r="O26" s="93"/>
      <c r="Q26" s="105"/>
      <c r="R26" s="106"/>
      <c r="S26" s="105"/>
    </row>
    <row r="27" s="55" customFormat="1" ht="48" outlineLevel="1" spans="1:19">
      <c r="A27" s="69">
        <v>22</v>
      </c>
      <c r="B27" s="70" t="s">
        <v>207</v>
      </c>
      <c r="C27" s="71" t="s">
        <v>208</v>
      </c>
      <c r="D27" s="70" t="s">
        <v>109</v>
      </c>
      <c r="E27" s="72">
        <v>1</v>
      </c>
      <c r="F27" s="73">
        <f t="shared" si="7"/>
        <v>11</v>
      </c>
      <c r="G27" s="69">
        <f t="shared" si="8"/>
        <v>28.28</v>
      </c>
      <c r="H27" s="73">
        <v>28</v>
      </c>
      <c r="I27" s="94">
        <v>0.01</v>
      </c>
      <c r="J27" s="73">
        <f t="shared" si="9"/>
        <v>3</v>
      </c>
      <c r="K27" s="95">
        <f>+(F27+G27+J27)*$K$4</f>
        <v>5.0736</v>
      </c>
      <c r="L27" s="95">
        <f>+(F27+G27+J27+K27)*$L$4</f>
        <v>4.261824</v>
      </c>
      <c r="M27" s="78">
        <f t="shared" si="3"/>
        <v>51.615424</v>
      </c>
      <c r="N27" s="73">
        <f t="shared" si="1"/>
        <v>51.615424</v>
      </c>
      <c r="O27" s="93" t="s">
        <v>184</v>
      </c>
      <c r="Q27" s="105"/>
      <c r="R27" s="105"/>
      <c r="S27" s="105"/>
    </row>
    <row r="28" s="55" customFormat="1" ht="36" outlineLevel="1" spans="1:19">
      <c r="A28" s="69">
        <v>23</v>
      </c>
      <c r="B28" s="70" t="s">
        <v>209</v>
      </c>
      <c r="C28" s="71" t="s">
        <v>210</v>
      </c>
      <c r="D28" s="70" t="s">
        <v>109</v>
      </c>
      <c r="E28" s="72">
        <v>5</v>
      </c>
      <c r="F28" s="69">
        <v>6</v>
      </c>
      <c r="G28" s="69">
        <f t="shared" si="8"/>
        <v>4.04</v>
      </c>
      <c r="H28" s="69">
        <v>4</v>
      </c>
      <c r="I28" s="96">
        <v>0.01</v>
      </c>
      <c r="J28" s="69">
        <v>1</v>
      </c>
      <c r="K28" s="95">
        <f>+(F28+G28+J28)*$K$4</f>
        <v>1.3248</v>
      </c>
      <c r="L28" s="95">
        <f>+(F28+G28+J28+K28)*$L$4</f>
        <v>1.112832</v>
      </c>
      <c r="M28" s="78">
        <f t="shared" si="3"/>
        <v>13.477632</v>
      </c>
      <c r="N28" s="73">
        <f t="shared" si="1"/>
        <v>67.38816</v>
      </c>
      <c r="O28" s="93"/>
      <c r="Q28" s="105"/>
      <c r="R28" s="105"/>
      <c r="S28" s="105"/>
    </row>
    <row r="29" s="55" customFormat="1" ht="36" outlineLevel="1" spans="1:19">
      <c r="A29" s="69">
        <v>24</v>
      </c>
      <c r="B29" s="70" t="s">
        <v>211</v>
      </c>
      <c r="C29" s="71" t="s">
        <v>212</v>
      </c>
      <c r="D29" s="70" t="s">
        <v>109</v>
      </c>
      <c r="E29" s="72">
        <v>1</v>
      </c>
      <c r="F29" s="73">
        <f>+$F$15</f>
        <v>11</v>
      </c>
      <c r="G29" s="69">
        <f t="shared" si="8"/>
        <v>24.24</v>
      </c>
      <c r="H29" s="73">
        <v>24</v>
      </c>
      <c r="I29" s="94">
        <v>0.01</v>
      </c>
      <c r="J29" s="73">
        <f>+$J$15</f>
        <v>3</v>
      </c>
      <c r="K29" s="95">
        <f>+(F29+G29+J29)*$K$4</f>
        <v>4.5888</v>
      </c>
      <c r="L29" s="95">
        <f>+(F29+G29+J29+K29)*$L$4</f>
        <v>3.854592</v>
      </c>
      <c r="M29" s="78">
        <f t="shared" si="3"/>
        <v>46.683392</v>
      </c>
      <c r="N29" s="73">
        <f t="shared" si="1"/>
        <v>46.683392</v>
      </c>
      <c r="O29" s="93" t="s">
        <v>184</v>
      </c>
      <c r="Q29" s="105"/>
      <c r="R29" s="106"/>
      <c r="S29" s="105"/>
    </row>
    <row r="30" s="55" customFormat="1" ht="36" outlineLevel="1" spans="1:19">
      <c r="A30" s="69">
        <v>25</v>
      </c>
      <c r="B30" s="70" t="s">
        <v>213</v>
      </c>
      <c r="C30" s="71" t="s">
        <v>214</v>
      </c>
      <c r="D30" s="70" t="s">
        <v>109</v>
      </c>
      <c r="E30" s="72">
        <v>1</v>
      </c>
      <c r="F30" s="73">
        <f>+$F$15</f>
        <v>11</v>
      </c>
      <c r="G30" s="69">
        <f t="shared" si="8"/>
        <v>24.24</v>
      </c>
      <c r="H30" s="73">
        <f>+H29</f>
        <v>24</v>
      </c>
      <c r="I30" s="94">
        <v>0.01</v>
      </c>
      <c r="J30" s="73">
        <f>+J29</f>
        <v>3</v>
      </c>
      <c r="K30" s="95">
        <f>+(F30+G30+J30)*$K$4</f>
        <v>4.5888</v>
      </c>
      <c r="L30" s="95">
        <f>+(F30+G30+J30+K30)*$L$4</f>
        <v>3.854592</v>
      </c>
      <c r="M30" s="78">
        <f t="shared" si="3"/>
        <v>46.683392</v>
      </c>
      <c r="N30" s="73">
        <f t="shared" si="1"/>
        <v>46.683392</v>
      </c>
      <c r="O30" s="93" t="s">
        <v>184</v>
      </c>
      <c r="Q30" s="105"/>
      <c r="R30" s="106"/>
      <c r="S30" s="105"/>
    </row>
    <row r="31" s="55" customFormat="1" ht="36" outlineLevel="1" spans="1:15">
      <c r="A31" s="69">
        <v>26</v>
      </c>
      <c r="B31" s="70" t="s">
        <v>215</v>
      </c>
      <c r="C31" s="71" t="s">
        <v>216</v>
      </c>
      <c r="D31" s="70" t="s">
        <v>109</v>
      </c>
      <c r="E31" s="72">
        <v>1</v>
      </c>
      <c r="F31" s="73">
        <f>+$F$15</f>
        <v>11</v>
      </c>
      <c r="G31" s="69">
        <f t="shared" si="8"/>
        <v>29.29</v>
      </c>
      <c r="H31" s="73">
        <v>29</v>
      </c>
      <c r="I31" s="94">
        <v>0.01</v>
      </c>
      <c r="J31" s="73">
        <v>3</v>
      </c>
      <c r="K31" s="95">
        <f>+(F31+G31+J31)*$K$4</f>
        <v>5.1948</v>
      </c>
      <c r="L31" s="95">
        <f>+(F31+G31+J31+K31)*$L$4</f>
        <v>4.363632</v>
      </c>
      <c r="M31" s="78">
        <f t="shared" si="3"/>
        <v>52.848432</v>
      </c>
      <c r="N31" s="73">
        <f t="shared" si="1"/>
        <v>52.848432</v>
      </c>
      <c r="O31" s="93" t="s">
        <v>184</v>
      </c>
    </row>
    <row r="32" s="55" customFormat="1" ht="48" outlineLevel="1" spans="1:15">
      <c r="A32" s="69">
        <v>27</v>
      </c>
      <c r="B32" s="70" t="s">
        <v>217</v>
      </c>
      <c r="C32" s="71" t="s">
        <v>218</v>
      </c>
      <c r="D32" s="70" t="s">
        <v>162</v>
      </c>
      <c r="E32" s="72">
        <v>1</v>
      </c>
      <c r="F32" s="69">
        <v>58</v>
      </c>
      <c r="G32" s="69">
        <f t="shared" si="8"/>
        <v>65.65</v>
      </c>
      <c r="H32" s="69">
        <v>65</v>
      </c>
      <c r="I32" s="96">
        <v>0.01</v>
      </c>
      <c r="J32" s="69">
        <v>45</v>
      </c>
      <c r="K32" s="95">
        <f>+(F32+G32+J32)*$K$4</f>
        <v>20.238</v>
      </c>
      <c r="L32" s="95">
        <f>+(F32+G32+J32+K32)*$L$4</f>
        <v>16.99992</v>
      </c>
      <c r="M32" s="78">
        <f t="shared" si="3"/>
        <v>205.88792</v>
      </c>
      <c r="N32" s="73">
        <f t="shared" si="1"/>
        <v>205.88792</v>
      </c>
      <c r="O32" s="93"/>
    </row>
    <row r="33" s="55" customFormat="1" ht="48" outlineLevel="1" spans="1:15">
      <c r="A33" s="69">
        <v>28</v>
      </c>
      <c r="B33" s="76" t="s">
        <v>219</v>
      </c>
      <c r="C33" s="77" t="s">
        <v>220</v>
      </c>
      <c r="D33" s="78" t="s">
        <v>68</v>
      </c>
      <c r="E33" s="78">
        <f>104.88+156.93</f>
        <v>261.81</v>
      </c>
      <c r="F33" s="73">
        <v>0.8</v>
      </c>
      <c r="G33" s="73">
        <f t="shared" ref="G33:G37" si="10">+H33*(1+I33)</f>
        <v>2.323</v>
      </c>
      <c r="H33" s="73">
        <v>2.3</v>
      </c>
      <c r="I33" s="94">
        <v>0.01</v>
      </c>
      <c r="J33" s="73">
        <v>0.5</v>
      </c>
      <c r="K33" s="95">
        <f>+(F33+G33+J33)*$K$4</f>
        <v>0.43476</v>
      </c>
      <c r="L33" s="95">
        <f>+(F33+G33+J33+K33)*$L$4</f>
        <v>0.3651984</v>
      </c>
      <c r="M33" s="78">
        <f t="shared" si="3"/>
        <v>4.4229584</v>
      </c>
      <c r="N33" s="73">
        <f t="shared" si="1"/>
        <v>1157.974738704</v>
      </c>
      <c r="O33" s="93"/>
    </row>
    <row r="34" s="55" customFormat="1" ht="48" outlineLevel="1" spans="1:15">
      <c r="A34" s="69">
        <v>29</v>
      </c>
      <c r="B34" s="76" t="s">
        <v>219</v>
      </c>
      <c r="C34" s="77" t="s">
        <v>221</v>
      </c>
      <c r="D34" s="78" t="s">
        <v>68</v>
      </c>
      <c r="E34" s="78">
        <v>284.25</v>
      </c>
      <c r="F34" s="73">
        <f>+$F$33</f>
        <v>0.8</v>
      </c>
      <c r="G34" s="73">
        <f t="shared" si="10"/>
        <v>3.333</v>
      </c>
      <c r="H34" s="73">
        <v>3.3</v>
      </c>
      <c r="I34" s="94">
        <v>0.01</v>
      </c>
      <c r="J34" s="73">
        <f>+$J$33</f>
        <v>0.5</v>
      </c>
      <c r="K34" s="95">
        <f>+(F34+G34+J34)*$K$4</f>
        <v>0.55596</v>
      </c>
      <c r="L34" s="95">
        <f>+(F34+G34+J34+K34)*$L$4</f>
        <v>0.4670064</v>
      </c>
      <c r="M34" s="78">
        <f t="shared" si="3"/>
        <v>5.6559664</v>
      </c>
      <c r="N34" s="73">
        <f t="shared" si="1"/>
        <v>1607.7084492</v>
      </c>
      <c r="O34" s="93"/>
    </row>
    <row r="35" s="55" customFormat="1" ht="48" outlineLevel="1" spans="1:15">
      <c r="A35" s="69">
        <v>30</v>
      </c>
      <c r="B35" s="76" t="s">
        <v>222</v>
      </c>
      <c r="C35" s="77" t="s">
        <v>223</v>
      </c>
      <c r="D35" s="78" t="s">
        <v>68</v>
      </c>
      <c r="E35" s="78">
        <v>13.99</v>
      </c>
      <c r="F35" s="69">
        <v>0.8</v>
      </c>
      <c r="G35" s="69">
        <f t="shared" si="10"/>
        <v>1.919</v>
      </c>
      <c r="H35" s="69">
        <v>1.9</v>
      </c>
      <c r="I35" s="96">
        <v>0.01</v>
      </c>
      <c r="J35" s="69">
        <v>0.5</v>
      </c>
      <c r="K35" s="95">
        <f>+(F35+G35+J35)*$K$4</f>
        <v>0.38628</v>
      </c>
      <c r="L35" s="95">
        <f>+(F35+G35+J35+K35)*$L$4</f>
        <v>0.3244752</v>
      </c>
      <c r="M35" s="78">
        <f t="shared" si="3"/>
        <v>3.9297552</v>
      </c>
      <c r="N35" s="73">
        <f t="shared" si="1"/>
        <v>54.977275248</v>
      </c>
      <c r="O35" s="93"/>
    </row>
    <row r="36" s="55" customFormat="1" ht="48" outlineLevel="1" spans="1:15">
      <c r="A36" s="69">
        <v>31</v>
      </c>
      <c r="B36" s="76" t="s">
        <v>224</v>
      </c>
      <c r="C36" s="77" t="s">
        <v>225</v>
      </c>
      <c r="D36" s="78" t="s">
        <v>68</v>
      </c>
      <c r="E36" s="78">
        <v>1.9</v>
      </c>
      <c r="F36" s="73">
        <v>0.6</v>
      </c>
      <c r="G36" s="69">
        <f t="shared" si="10"/>
        <v>0.505</v>
      </c>
      <c r="H36" s="73">
        <v>0.5</v>
      </c>
      <c r="I36" s="94">
        <v>0.01</v>
      </c>
      <c r="J36" s="73">
        <v>0.2</v>
      </c>
      <c r="K36" s="95">
        <f>+(F36+G36+J36)*$K$4</f>
        <v>0.1566</v>
      </c>
      <c r="L36" s="95">
        <f>+(F36+G36+J36+K36)*$L$4</f>
        <v>0.131544</v>
      </c>
      <c r="M36" s="78">
        <f t="shared" si="3"/>
        <v>1.593144</v>
      </c>
      <c r="N36" s="73">
        <f t="shared" si="1"/>
        <v>3.0269736</v>
      </c>
      <c r="O36" s="93" t="s">
        <v>226</v>
      </c>
    </row>
    <row r="37" s="55" customFormat="1" ht="48" outlineLevel="1" spans="1:15">
      <c r="A37" s="69">
        <v>32</v>
      </c>
      <c r="B37" s="76" t="s">
        <v>227</v>
      </c>
      <c r="C37" s="77" t="s">
        <v>228</v>
      </c>
      <c r="D37" s="78" t="s">
        <v>68</v>
      </c>
      <c r="E37" s="78">
        <v>4.25</v>
      </c>
      <c r="F37" s="73">
        <v>1.67</v>
      </c>
      <c r="G37" s="69">
        <f t="shared" si="10"/>
        <v>2.1715</v>
      </c>
      <c r="H37" s="73">
        <v>2.15</v>
      </c>
      <c r="I37" s="96">
        <v>0.01</v>
      </c>
      <c r="J37" s="73">
        <v>0.3</v>
      </c>
      <c r="K37" s="95">
        <f>+(F37+G37+J37)*$K$4</f>
        <v>0.49698</v>
      </c>
      <c r="L37" s="95">
        <f>+(F37+G37+J37+K37)*$L$4</f>
        <v>0.4174632</v>
      </c>
      <c r="M37" s="78">
        <f t="shared" si="3"/>
        <v>5.0559432</v>
      </c>
      <c r="N37" s="73">
        <f t="shared" si="1"/>
        <v>21.4877586</v>
      </c>
      <c r="O37" s="93"/>
    </row>
    <row r="38" s="55" customFormat="1" spans="1:15">
      <c r="A38" s="69">
        <v>33</v>
      </c>
      <c r="B38" s="79" t="s">
        <v>33</v>
      </c>
      <c r="C38" s="79"/>
      <c r="D38" s="79" t="s">
        <v>229</v>
      </c>
      <c r="E38" s="80"/>
      <c r="F38" s="69"/>
      <c r="G38" s="80"/>
      <c r="H38" s="80"/>
      <c r="I38" s="97"/>
      <c r="J38" s="80"/>
      <c r="K38" s="98"/>
      <c r="L38" s="67"/>
      <c r="M38" s="78"/>
      <c r="N38" s="73">
        <f>SUM(N6:N37)</f>
        <v>7046.994953432</v>
      </c>
      <c r="O38" s="93"/>
    </row>
    <row r="39" s="55" customFormat="1" spans="1:15">
      <c r="A39" s="69" t="s">
        <v>127</v>
      </c>
      <c r="B39" s="65" t="s">
        <v>230</v>
      </c>
      <c r="C39" s="65" t="s">
        <v>161</v>
      </c>
      <c r="D39" s="65" t="s">
        <v>162</v>
      </c>
      <c r="E39" s="80"/>
      <c r="F39" s="69"/>
      <c r="G39" s="80"/>
      <c r="H39" s="80"/>
      <c r="I39" s="97"/>
      <c r="J39" s="80"/>
      <c r="K39" s="98"/>
      <c r="L39" s="67"/>
      <c r="M39" s="78"/>
      <c r="N39" s="73"/>
      <c r="O39" s="93"/>
    </row>
    <row r="40" s="55" customFormat="1" ht="48" outlineLevel="1" spans="1:15">
      <c r="A40" s="69">
        <v>1</v>
      </c>
      <c r="B40" s="70" t="s">
        <v>231</v>
      </c>
      <c r="C40" s="71" t="s">
        <v>232</v>
      </c>
      <c r="D40" s="70" t="s">
        <v>35</v>
      </c>
      <c r="E40" s="69">
        <v>1</v>
      </c>
      <c r="F40" s="69">
        <v>38</v>
      </c>
      <c r="G40" s="69">
        <f>+H40*(1+I40)</f>
        <v>732.25</v>
      </c>
      <c r="H40" s="69">
        <v>725</v>
      </c>
      <c r="I40" s="99">
        <v>0.01</v>
      </c>
      <c r="J40" s="69">
        <v>28</v>
      </c>
      <c r="K40" s="95">
        <f>+(F40+G40+J40)*$K$4</f>
        <v>95.79</v>
      </c>
      <c r="L40" s="95">
        <f>+(F40+G40+J40+K40)*$L$4</f>
        <v>80.4636</v>
      </c>
      <c r="M40" s="78">
        <f t="shared" ref="M40:M57" si="11">F40+G40+J40+K40+L40</f>
        <v>974.5036</v>
      </c>
      <c r="N40" s="73">
        <f t="shared" ref="N40:N57" si="12">M40*E40</f>
        <v>974.5036</v>
      </c>
      <c r="O40" s="93" t="s">
        <v>110</v>
      </c>
    </row>
    <row r="41" s="55" customFormat="1" ht="48" outlineLevel="1" spans="1:15">
      <c r="A41" s="69">
        <v>2</v>
      </c>
      <c r="B41" s="70" t="s">
        <v>233</v>
      </c>
      <c r="C41" s="71" t="s">
        <v>234</v>
      </c>
      <c r="D41" s="70" t="s">
        <v>35</v>
      </c>
      <c r="E41" s="69">
        <v>1</v>
      </c>
      <c r="F41" s="69">
        <v>68</v>
      </c>
      <c r="G41" s="69">
        <f t="shared" ref="G40:G47" si="13">+H41*(1+I41)</f>
        <v>787.8</v>
      </c>
      <c r="H41" s="69">
        <v>780</v>
      </c>
      <c r="I41" s="96">
        <v>0.01</v>
      </c>
      <c r="J41" s="69">
        <v>22</v>
      </c>
      <c r="K41" s="95">
        <f>+(F41+G41+J41)*$K$4</f>
        <v>105.336</v>
      </c>
      <c r="L41" s="95">
        <f>+(F41+G41+J41+K41)*$L$4</f>
        <v>88.48224</v>
      </c>
      <c r="M41" s="78">
        <f t="shared" si="11"/>
        <v>1071.61824</v>
      </c>
      <c r="N41" s="73">
        <f t="shared" si="12"/>
        <v>1071.61824</v>
      </c>
      <c r="O41" s="93" t="s">
        <v>235</v>
      </c>
    </row>
    <row r="42" s="55" customFormat="1" ht="48" outlineLevel="1" spans="1:15">
      <c r="A42" s="69">
        <v>3</v>
      </c>
      <c r="B42" s="70" t="s">
        <v>236</v>
      </c>
      <c r="C42" s="71" t="s">
        <v>237</v>
      </c>
      <c r="D42" s="70" t="s">
        <v>35</v>
      </c>
      <c r="E42" s="69">
        <v>1</v>
      </c>
      <c r="F42" s="69">
        <v>38</v>
      </c>
      <c r="G42" s="69">
        <f t="shared" si="13"/>
        <v>828.2</v>
      </c>
      <c r="H42" s="69">
        <v>820</v>
      </c>
      <c r="I42" s="99">
        <v>0.01</v>
      </c>
      <c r="J42" s="69">
        <v>28</v>
      </c>
      <c r="K42" s="95">
        <f>+(F42+G42+J42)*$K$4</f>
        <v>107.304</v>
      </c>
      <c r="L42" s="95">
        <f>+(F42+G42+J42+K42)*$L$4</f>
        <v>90.13536</v>
      </c>
      <c r="M42" s="78">
        <f t="shared" si="11"/>
        <v>1091.63936</v>
      </c>
      <c r="N42" s="73">
        <f t="shared" si="12"/>
        <v>1091.63936</v>
      </c>
      <c r="O42" s="93" t="s">
        <v>110</v>
      </c>
    </row>
    <row r="43" s="55" customFormat="1" ht="72" outlineLevel="1" spans="1:15">
      <c r="A43" s="69">
        <v>4</v>
      </c>
      <c r="B43" s="70" t="s">
        <v>238</v>
      </c>
      <c r="C43" s="71" t="s">
        <v>239</v>
      </c>
      <c r="D43" s="70" t="s">
        <v>35</v>
      </c>
      <c r="E43" s="69">
        <v>1</v>
      </c>
      <c r="F43" s="69">
        <v>40</v>
      </c>
      <c r="G43" s="69">
        <f t="shared" si="13"/>
        <v>1292.8</v>
      </c>
      <c r="H43" s="69">
        <v>1280</v>
      </c>
      <c r="I43" s="99">
        <v>0.01</v>
      </c>
      <c r="J43" s="69">
        <v>28</v>
      </c>
      <c r="K43" s="95">
        <f>+(F43+G43+J43)*$K$4</f>
        <v>163.296</v>
      </c>
      <c r="L43" s="95">
        <f>+(F43+G43+J43+K43)*$L$4</f>
        <v>137.16864</v>
      </c>
      <c r="M43" s="78">
        <f t="shared" si="11"/>
        <v>1661.26464</v>
      </c>
      <c r="N43" s="73">
        <f t="shared" si="12"/>
        <v>1661.26464</v>
      </c>
      <c r="O43" s="93" t="s">
        <v>240</v>
      </c>
    </row>
    <row r="44" s="55" customFormat="1" ht="48" outlineLevel="1" spans="1:15">
      <c r="A44" s="69">
        <v>5</v>
      </c>
      <c r="B44" s="70" t="s">
        <v>241</v>
      </c>
      <c r="C44" s="71" t="s">
        <v>242</v>
      </c>
      <c r="D44" s="70" t="s">
        <v>35</v>
      </c>
      <c r="E44" s="69">
        <v>2</v>
      </c>
      <c r="F44" s="69">
        <v>8</v>
      </c>
      <c r="G44" s="69">
        <f t="shared" si="13"/>
        <v>42.42</v>
      </c>
      <c r="H44" s="69">
        <v>42</v>
      </c>
      <c r="I44" s="96">
        <v>0.01</v>
      </c>
      <c r="J44" s="69">
        <v>1</v>
      </c>
      <c r="K44" s="95">
        <f>+(F44+G44+J44)*$K$4</f>
        <v>6.1704</v>
      </c>
      <c r="L44" s="95">
        <f>+(F44+G44+J44+K44)*$L$4</f>
        <v>5.183136</v>
      </c>
      <c r="M44" s="78">
        <f t="shared" si="11"/>
        <v>62.773536</v>
      </c>
      <c r="N44" s="73">
        <f t="shared" si="12"/>
        <v>125.547072</v>
      </c>
      <c r="O44" s="93" t="s">
        <v>110</v>
      </c>
    </row>
    <row r="45" s="55" customFormat="1" ht="48" outlineLevel="1" spans="1:15">
      <c r="A45" s="69">
        <v>6</v>
      </c>
      <c r="B45" s="75" t="s">
        <v>243</v>
      </c>
      <c r="C45" s="71" t="s">
        <v>244</v>
      </c>
      <c r="D45" s="70" t="s">
        <v>35</v>
      </c>
      <c r="E45" s="69">
        <v>2</v>
      </c>
      <c r="F45" s="69">
        <v>12</v>
      </c>
      <c r="G45" s="69">
        <f t="shared" si="13"/>
        <v>68.68</v>
      </c>
      <c r="H45" s="69">
        <v>68</v>
      </c>
      <c r="I45" s="96">
        <v>0.01</v>
      </c>
      <c r="J45" s="69">
        <v>3</v>
      </c>
      <c r="K45" s="95">
        <f>+(F45+G45+J45)*$K$4</f>
        <v>10.0416</v>
      </c>
      <c r="L45" s="95">
        <f>+(F45+G45+J45+K45)*$L$4</f>
        <v>8.434944</v>
      </c>
      <c r="M45" s="78">
        <f t="shared" si="11"/>
        <v>102.156544</v>
      </c>
      <c r="N45" s="73">
        <f t="shared" si="12"/>
        <v>204.313088</v>
      </c>
      <c r="O45" s="93" t="s">
        <v>110</v>
      </c>
    </row>
    <row r="46" s="55" customFormat="1" ht="45" outlineLevel="1" spans="1:15">
      <c r="A46" s="69">
        <v>7</v>
      </c>
      <c r="B46" s="81" t="s">
        <v>245</v>
      </c>
      <c r="C46" s="82" t="s">
        <v>246</v>
      </c>
      <c r="D46" s="83" t="s">
        <v>35</v>
      </c>
      <c r="E46" s="69">
        <v>1</v>
      </c>
      <c r="F46" s="69">
        <v>12</v>
      </c>
      <c r="G46" s="69">
        <f t="shared" si="13"/>
        <v>48.48</v>
      </c>
      <c r="H46" s="69">
        <v>48</v>
      </c>
      <c r="I46" s="96">
        <v>0.01</v>
      </c>
      <c r="J46" s="69">
        <v>3</v>
      </c>
      <c r="K46" s="95">
        <f>+(F46+G46+J46)*$K$4</f>
        <v>7.6176</v>
      </c>
      <c r="L46" s="95">
        <f>+(F46+G46+J46+K46)*$L$4</f>
        <v>6.398784</v>
      </c>
      <c r="M46" s="78">
        <f t="shared" si="11"/>
        <v>77.496384</v>
      </c>
      <c r="N46" s="73">
        <f t="shared" si="12"/>
        <v>77.496384</v>
      </c>
      <c r="O46" s="93" t="s">
        <v>110</v>
      </c>
    </row>
    <row r="47" s="55" customFormat="1" ht="36" outlineLevel="1" spans="1:15">
      <c r="A47" s="69">
        <v>8</v>
      </c>
      <c r="B47" s="70" t="s">
        <v>247</v>
      </c>
      <c r="C47" s="71" t="s">
        <v>248</v>
      </c>
      <c r="D47" s="70" t="s">
        <v>35</v>
      </c>
      <c r="E47" s="69">
        <v>1</v>
      </c>
      <c r="F47" s="84">
        <v>74.3741</v>
      </c>
      <c r="G47" s="69">
        <f t="shared" si="13"/>
        <v>1136.25</v>
      </c>
      <c r="H47" s="69">
        <v>1125</v>
      </c>
      <c r="I47" s="96">
        <v>0.01</v>
      </c>
      <c r="J47" s="69">
        <v>22</v>
      </c>
      <c r="K47" s="95">
        <f>+(F47+G47+J47)*$K$4</f>
        <v>147.914892</v>
      </c>
      <c r="L47" s="95">
        <f>+(F47+G47+J47+K47)*$L$4</f>
        <v>124.24850928</v>
      </c>
      <c r="M47" s="78">
        <f t="shared" si="11"/>
        <v>1504.78750128</v>
      </c>
      <c r="N47" s="73">
        <f t="shared" si="12"/>
        <v>1504.78750128</v>
      </c>
      <c r="O47" s="93" t="s">
        <v>249</v>
      </c>
    </row>
    <row r="48" s="55" customFormat="1" ht="36" outlineLevel="1" spans="1:15">
      <c r="A48" s="69">
        <v>9</v>
      </c>
      <c r="B48" s="70" t="s">
        <v>250</v>
      </c>
      <c r="C48" s="71" t="s">
        <v>251</v>
      </c>
      <c r="D48" s="70" t="s">
        <v>35</v>
      </c>
      <c r="E48" s="69">
        <v>1</v>
      </c>
      <c r="F48" s="69">
        <v>58</v>
      </c>
      <c r="G48" s="69">
        <f t="shared" ref="G48:G55" si="14">+H48*(1+I48)</f>
        <v>808</v>
      </c>
      <c r="H48" s="69">
        <v>800</v>
      </c>
      <c r="I48" s="96">
        <v>0.01</v>
      </c>
      <c r="J48" s="69">
        <v>16</v>
      </c>
      <c r="K48" s="95">
        <f>+(F48+G48+J48)*$K$4</f>
        <v>105.84</v>
      </c>
      <c r="L48" s="95">
        <f>+(F48+G48+J48+K48)*$L$4</f>
        <v>88.9056</v>
      </c>
      <c r="M48" s="78">
        <f t="shared" si="11"/>
        <v>1076.7456</v>
      </c>
      <c r="N48" s="73">
        <f t="shared" si="12"/>
        <v>1076.7456</v>
      </c>
      <c r="O48" s="93" t="s">
        <v>249</v>
      </c>
    </row>
    <row r="49" s="55" customFormat="1" ht="60" outlineLevel="1" spans="1:15">
      <c r="A49" s="69">
        <v>10</v>
      </c>
      <c r="B49" s="70" t="s">
        <v>252</v>
      </c>
      <c r="C49" s="71" t="s">
        <v>253</v>
      </c>
      <c r="D49" s="70" t="s">
        <v>35</v>
      </c>
      <c r="E49" s="69">
        <v>1</v>
      </c>
      <c r="F49" s="69">
        <v>38</v>
      </c>
      <c r="G49" s="69">
        <f t="shared" si="14"/>
        <v>994.85</v>
      </c>
      <c r="H49" s="69">
        <v>985</v>
      </c>
      <c r="I49" s="99">
        <v>0.01</v>
      </c>
      <c r="J49" s="69">
        <v>28</v>
      </c>
      <c r="K49" s="95">
        <f>+(F49+G49+J49)*$K$4</f>
        <v>127.302</v>
      </c>
      <c r="L49" s="95">
        <f>+(F49+G49+J49+K49)*$L$4</f>
        <v>106.93368</v>
      </c>
      <c r="M49" s="78">
        <f t="shared" si="11"/>
        <v>1295.08568</v>
      </c>
      <c r="N49" s="73">
        <f t="shared" si="12"/>
        <v>1295.08568</v>
      </c>
      <c r="O49" s="93" t="s">
        <v>110</v>
      </c>
    </row>
    <row r="50" s="55" customFormat="1" ht="48" outlineLevel="1" spans="1:15">
      <c r="A50" s="69">
        <v>11</v>
      </c>
      <c r="B50" s="70" t="s">
        <v>254</v>
      </c>
      <c r="C50" s="71" t="s">
        <v>255</v>
      </c>
      <c r="D50" s="70" t="s">
        <v>109</v>
      </c>
      <c r="E50" s="69">
        <f>2+3</f>
        <v>5</v>
      </c>
      <c r="F50" s="69">
        <v>12</v>
      </c>
      <c r="G50" s="69">
        <f t="shared" si="14"/>
        <v>15.15</v>
      </c>
      <c r="H50" s="69">
        <v>15</v>
      </c>
      <c r="I50" s="96">
        <v>0.01</v>
      </c>
      <c r="J50" s="69">
        <v>4</v>
      </c>
      <c r="K50" s="95">
        <f>+(F50+G50+J50)*$K$4</f>
        <v>3.738</v>
      </c>
      <c r="L50" s="95">
        <f>+(F50+G50+J50+K50)*$L$4</f>
        <v>3.13992</v>
      </c>
      <c r="M50" s="78">
        <f t="shared" si="11"/>
        <v>38.02792</v>
      </c>
      <c r="N50" s="73">
        <f t="shared" si="12"/>
        <v>190.1396</v>
      </c>
      <c r="O50" s="93"/>
    </row>
    <row r="51" s="55" customFormat="1" ht="48" outlineLevel="1" spans="1:15">
      <c r="A51" s="69">
        <v>12</v>
      </c>
      <c r="B51" s="70" t="s">
        <v>254</v>
      </c>
      <c r="C51" s="71" t="s">
        <v>256</v>
      </c>
      <c r="D51" s="70" t="s">
        <v>109</v>
      </c>
      <c r="E51" s="69">
        <v>1</v>
      </c>
      <c r="F51" s="69">
        <v>11</v>
      </c>
      <c r="G51" s="69">
        <f t="shared" si="14"/>
        <v>7.777</v>
      </c>
      <c r="H51" s="69">
        <v>7.7</v>
      </c>
      <c r="I51" s="69">
        <f>+$I$54</f>
        <v>0.01</v>
      </c>
      <c r="J51" s="69">
        <v>3.5</v>
      </c>
      <c r="K51" s="95">
        <f>+(F51+G51+J51)*$K$4</f>
        <v>2.67324</v>
      </c>
      <c r="L51" s="95">
        <f>+(F51+G51+J51+K51)*$L$4</f>
        <v>2.2455216</v>
      </c>
      <c r="M51" s="78">
        <f t="shared" si="11"/>
        <v>27.1957616</v>
      </c>
      <c r="N51" s="73">
        <f t="shared" si="12"/>
        <v>27.1957616</v>
      </c>
      <c r="O51" s="93"/>
    </row>
    <row r="52" s="55" customFormat="1" ht="48" outlineLevel="1" spans="1:15">
      <c r="A52" s="69">
        <v>13</v>
      </c>
      <c r="B52" s="70" t="s">
        <v>257</v>
      </c>
      <c r="C52" s="71" t="s">
        <v>258</v>
      </c>
      <c r="D52" s="70" t="s">
        <v>109</v>
      </c>
      <c r="E52" s="85">
        <v>1</v>
      </c>
      <c r="F52" s="69">
        <v>3</v>
      </c>
      <c r="G52" s="69">
        <f t="shared" si="14"/>
        <v>19.695</v>
      </c>
      <c r="H52" s="69">
        <v>19.5</v>
      </c>
      <c r="I52" s="96">
        <v>0.01</v>
      </c>
      <c r="J52" s="69">
        <v>0.5</v>
      </c>
      <c r="K52" s="95">
        <f>+(F52+G52+J52)*$K$4</f>
        <v>2.7834</v>
      </c>
      <c r="L52" s="95">
        <f>+(F52+G52+J52+K52)*$L$4</f>
        <v>2.338056</v>
      </c>
      <c r="M52" s="78">
        <f t="shared" si="11"/>
        <v>28.316456</v>
      </c>
      <c r="N52" s="78">
        <f t="shared" si="12"/>
        <v>28.316456</v>
      </c>
      <c r="O52" s="93"/>
    </row>
    <row r="53" s="55" customFormat="1" ht="36" outlineLevel="1" spans="1:15">
      <c r="A53" s="69">
        <v>14</v>
      </c>
      <c r="B53" s="70" t="s">
        <v>259</v>
      </c>
      <c r="C53" s="71" t="s">
        <v>260</v>
      </c>
      <c r="D53" s="70" t="s">
        <v>109</v>
      </c>
      <c r="E53" s="69">
        <v>1</v>
      </c>
      <c r="F53" s="69">
        <v>3</v>
      </c>
      <c r="G53" s="69">
        <f t="shared" si="14"/>
        <v>15.15</v>
      </c>
      <c r="H53" s="69">
        <v>15</v>
      </c>
      <c r="I53" s="96">
        <v>0.01</v>
      </c>
      <c r="J53" s="69">
        <v>0.5</v>
      </c>
      <c r="K53" s="95">
        <f>+(F53+G53+J53)*$K$4</f>
        <v>2.238</v>
      </c>
      <c r="L53" s="95">
        <f>+(F53+G53+J53+K53)*$L$4</f>
        <v>1.87992</v>
      </c>
      <c r="M53" s="78">
        <f t="shared" si="11"/>
        <v>22.76792</v>
      </c>
      <c r="N53" s="73">
        <f t="shared" si="12"/>
        <v>22.76792</v>
      </c>
      <c r="O53" s="93"/>
    </row>
    <row r="54" s="55" customFormat="1" ht="48" outlineLevel="1" spans="1:15">
      <c r="A54" s="69">
        <v>15</v>
      </c>
      <c r="B54" s="70" t="s">
        <v>261</v>
      </c>
      <c r="C54" s="86" t="s">
        <v>262</v>
      </c>
      <c r="D54" s="78" t="s">
        <v>68</v>
      </c>
      <c r="E54" s="87">
        <f>7.44-0.5</f>
        <v>6.94</v>
      </c>
      <c r="F54" s="69">
        <v>6</v>
      </c>
      <c r="G54" s="69">
        <f t="shared" si="14"/>
        <v>10.1</v>
      </c>
      <c r="H54" s="69">
        <v>10</v>
      </c>
      <c r="I54" s="96">
        <v>0.01</v>
      </c>
      <c r="J54" s="69">
        <v>5.8</v>
      </c>
      <c r="K54" s="95">
        <f>+(F54+G54+J54)*$K$4</f>
        <v>2.628</v>
      </c>
      <c r="L54" s="95">
        <f>+(F54+G54+J54+K54)*$L$4</f>
        <v>2.20752</v>
      </c>
      <c r="M54" s="78">
        <f t="shared" si="11"/>
        <v>26.73552</v>
      </c>
      <c r="N54" s="73">
        <f t="shared" si="12"/>
        <v>185.5445088</v>
      </c>
      <c r="O54" s="93" t="s">
        <v>263</v>
      </c>
    </row>
    <row r="55" s="55" customFormat="1" ht="48" outlineLevel="1" spans="1:15">
      <c r="A55" s="69">
        <v>16</v>
      </c>
      <c r="B55" s="70" t="s">
        <v>261</v>
      </c>
      <c r="C55" s="86" t="s">
        <v>264</v>
      </c>
      <c r="D55" s="78" t="s">
        <v>68</v>
      </c>
      <c r="E55" s="87">
        <v>17.09</v>
      </c>
      <c r="F55" s="69">
        <f>+$F$54</f>
        <v>6</v>
      </c>
      <c r="G55" s="69">
        <f t="shared" si="14"/>
        <v>8.08</v>
      </c>
      <c r="H55" s="69">
        <v>8</v>
      </c>
      <c r="I55" s="69">
        <f>+$I$54</f>
        <v>0.01</v>
      </c>
      <c r="J55" s="69">
        <v>5</v>
      </c>
      <c r="K55" s="95">
        <f>+(F55+G55+J55)*$K$4</f>
        <v>2.2896</v>
      </c>
      <c r="L55" s="95">
        <f>+(F55+G55+J55+K55)*$L$4</f>
        <v>1.923264</v>
      </c>
      <c r="M55" s="78">
        <f t="shared" si="11"/>
        <v>23.292864</v>
      </c>
      <c r="N55" s="73">
        <f t="shared" si="12"/>
        <v>398.07504576</v>
      </c>
      <c r="O55" s="93" t="s">
        <v>263</v>
      </c>
    </row>
    <row r="56" s="55" customFormat="1" ht="48" outlineLevel="1" spans="1:15">
      <c r="A56" s="69">
        <v>17</v>
      </c>
      <c r="B56" s="70" t="s">
        <v>261</v>
      </c>
      <c r="C56" s="86" t="s">
        <v>265</v>
      </c>
      <c r="D56" s="78" t="s">
        <v>68</v>
      </c>
      <c r="E56" s="87">
        <v>3.7</v>
      </c>
      <c r="F56" s="69">
        <f>+$F$54</f>
        <v>6</v>
      </c>
      <c r="G56" s="69">
        <f>+$G$54</f>
        <v>10.1</v>
      </c>
      <c r="H56" s="69">
        <f>+$H$54</f>
        <v>10</v>
      </c>
      <c r="I56" s="69">
        <f>+$I$54</f>
        <v>0.01</v>
      </c>
      <c r="J56" s="69">
        <f>+$J$54</f>
        <v>5.8</v>
      </c>
      <c r="K56" s="95">
        <f>+(F56+G56+J56)*$K$4</f>
        <v>2.628</v>
      </c>
      <c r="L56" s="95">
        <f>+(F56+G56+J56+K56)*$L$4</f>
        <v>2.20752</v>
      </c>
      <c r="M56" s="78">
        <f t="shared" si="11"/>
        <v>26.73552</v>
      </c>
      <c r="N56" s="73">
        <f t="shared" si="12"/>
        <v>98.921424</v>
      </c>
      <c r="O56" s="93" t="s">
        <v>263</v>
      </c>
    </row>
    <row r="57" s="55" customFormat="1" ht="48" outlineLevel="1" spans="1:15">
      <c r="A57" s="69">
        <v>18</v>
      </c>
      <c r="B57" s="70" t="s">
        <v>261</v>
      </c>
      <c r="C57" s="86" t="s">
        <v>266</v>
      </c>
      <c r="D57" s="78" t="s">
        <v>68</v>
      </c>
      <c r="E57" s="87">
        <v>1.9</v>
      </c>
      <c r="F57" s="69">
        <f>+$F$54</f>
        <v>6</v>
      </c>
      <c r="G57" s="69">
        <f>+$G$55</f>
        <v>8.08</v>
      </c>
      <c r="H57" s="69">
        <f>+$H$55</f>
        <v>8</v>
      </c>
      <c r="I57" s="69">
        <f>+$I$54</f>
        <v>0.01</v>
      </c>
      <c r="J57" s="69">
        <f>+$J$55</f>
        <v>5</v>
      </c>
      <c r="K57" s="95">
        <f>+(F57+G57+J57)*$K$4</f>
        <v>2.2896</v>
      </c>
      <c r="L57" s="95">
        <f>+(F57+G57+J57+K57)*$L$4</f>
        <v>1.923264</v>
      </c>
      <c r="M57" s="78">
        <f t="shared" si="11"/>
        <v>23.292864</v>
      </c>
      <c r="N57" s="73">
        <f t="shared" si="12"/>
        <v>44.2564416</v>
      </c>
      <c r="O57" s="93" t="s">
        <v>263</v>
      </c>
    </row>
    <row r="58" s="55" customFormat="1" spans="1:15">
      <c r="A58" s="69">
        <v>19</v>
      </c>
      <c r="B58" s="79" t="s">
        <v>33</v>
      </c>
      <c r="C58" s="79"/>
      <c r="D58" s="79" t="s">
        <v>229</v>
      </c>
      <c r="E58" s="80"/>
      <c r="F58" s="69"/>
      <c r="G58" s="80"/>
      <c r="H58" s="80"/>
      <c r="I58" s="97"/>
      <c r="J58" s="80"/>
      <c r="K58" s="98"/>
      <c r="L58" s="67"/>
      <c r="M58" s="78"/>
      <c r="N58" s="73">
        <f>SUM(N40:N57)</f>
        <v>10078.21832304</v>
      </c>
      <c r="O58" s="93"/>
    </row>
    <row r="59" s="55" customFormat="1" spans="1:15">
      <c r="A59" s="88" t="s">
        <v>135</v>
      </c>
      <c r="B59" s="89" t="s">
        <v>267</v>
      </c>
      <c r="C59" s="89" t="s">
        <v>161</v>
      </c>
      <c r="D59" s="89" t="s">
        <v>229</v>
      </c>
      <c r="E59" s="90"/>
      <c r="F59" s="88"/>
      <c r="G59" s="90"/>
      <c r="H59" s="90"/>
      <c r="I59" s="100"/>
      <c r="J59" s="90"/>
      <c r="K59" s="101"/>
      <c r="L59" s="102"/>
      <c r="M59" s="103"/>
      <c r="N59" s="64">
        <f>N58+N38</f>
        <v>17125.213276472</v>
      </c>
      <c r="O59" s="104"/>
    </row>
    <row r="60" s="55" customFormat="1" spans="1:15">
      <c r="A60" s="65" t="s">
        <v>52</v>
      </c>
      <c r="B60" s="65" t="s">
        <v>268</v>
      </c>
      <c r="C60" s="65" t="s">
        <v>161</v>
      </c>
      <c r="D60" s="65" t="s">
        <v>162</v>
      </c>
      <c r="E60" s="66"/>
      <c r="F60" s="67"/>
      <c r="G60" s="67"/>
      <c r="H60" s="67"/>
      <c r="I60" s="92"/>
      <c r="J60" s="67"/>
      <c r="K60" s="98"/>
      <c r="L60" s="67"/>
      <c r="M60" s="67"/>
      <c r="N60" s="67"/>
      <c r="O60" s="93"/>
    </row>
    <row r="61" s="55" customFormat="1" ht="48" outlineLevel="1" spans="1:15">
      <c r="A61" s="69">
        <v>1</v>
      </c>
      <c r="B61" s="70" t="s">
        <v>163</v>
      </c>
      <c r="C61" s="71" t="s">
        <v>164</v>
      </c>
      <c r="D61" s="70" t="s">
        <v>109</v>
      </c>
      <c r="E61" s="72">
        <v>4</v>
      </c>
      <c r="F61" s="73">
        <f>+F6</f>
        <v>13</v>
      </c>
      <c r="G61" s="69">
        <f t="shared" ref="G61:G65" si="15">+H61*(1+I61)</f>
        <v>45.45</v>
      </c>
      <c r="H61" s="73">
        <f>+H6</f>
        <v>45</v>
      </c>
      <c r="I61" s="94">
        <v>0.01</v>
      </c>
      <c r="J61" s="73">
        <f>+J6</f>
        <v>5</v>
      </c>
      <c r="K61" s="95">
        <f>+(F61+G61+J61)*$K$4</f>
        <v>7.614</v>
      </c>
      <c r="L61" s="95">
        <f>+(F61+G61+J61+K61)*$L$4</f>
        <v>6.39576</v>
      </c>
      <c r="M61" s="78">
        <f t="shared" ref="M61:M92" si="16">F61+G61+J61+K61+L61</f>
        <v>77.45976</v>
      </c>
      <c r="N61" s="73">
        <f t="shared" ref="N61:N92" si="17">M61*E61</f>
        <v>309.83904</v>
      </c>
      <c r="O61" s="93" t="s">
        <v>165</v>
      </c>
    </row>
    <row r="62" s="55" customFormat="1" ht="48" outlineLevel="1" spans="1:15">
      <c r="A62" s="69">
        <v>2</v>
      </c>
      <c r="B62" s="70" t="s">
        <v>166</v>
      </c>
      <c r="C62" s="71" t="s">
        <v>167</v>
      </c>
      <c r="D62" s="70" t="s">
        <v>109</v>
      </c>
      <c r="E62" s="72">
        <v>6</v>
      </c>
      <c r="F62" s="73">
        <f>+F7</f>
        <v>13</v>
      </c>
      <c r="G62" s="69">
        <f t="shared" si="15"/>
        <v>48.48</v>
      </c>
      <c r="H62" s="73">
        <f>+H7</f>
        <v>48</v>
      </c>
      <c r="I62" s="94">
        <v>0.01</v>
      </c>
      <c r="J62" s="73">
        <f>+J7</f>
        <v>5</v>
      </c>
      <c r="K62" s="95">
        <f>+(F62+G62+J62)*$K$4</f>
        <v>7.9776</v>
      </c>
      <c r="L62" s="95">
        <f>+(F62+G62+J62+K62)*$L$4</f>
        <v>6.701184</v>
      </c>
      <c r="M62" s="78">
        <f t="shared" si="16"/>
        <v>81.158784</v>
      </c>
      <c r="N62" s="73">
        <f t="shared" si="17"/>
        <v>486.952704</v>
      </c>
      <c r="O62" s="93" t="s">
        <v>165</v>
      </c>
    </row>
    <row r="63" s="55" customFormat="1" ht="48" outlineLevel="1" spans="1:15">
      <c r="A63" s="69">
        <v>3</v>
      </c>
      <c r="B63" s="70" t="s">
        <v>168</v>
      </c>
      <c r="C63" s="71" t="s">
        <v>169</v>
      </c>
      <c r="D63" s="70" t="s">
        <v>109</v>
      </c>
      <c r="E63" s="72">
        <v>1</v>
      </c>
      <c r="F63" s="73">
        <f>+F8</f>
        <v>15</v>
      </c>
      <c r="G63" s="69">
        <f t="shared" si="15"/>
        <v>52.52</v>
      </c>
      <c r="H63" s="69">
        <f>+H8</f>
        <v>52</v>
      </c>
      <c r="I63" s="96">
        <v>0.01</v>
      </c>
      <c r="J63" s="69">
        <f>+J8</f>
        <v>3</v>
      </c>
      <c r="K63" s="95">
        <f>+(F63+G63+J63)*$K$4</f>
        <v>8.4624</v>
      </c>
      <c r="L63" s="95">
        <f>+(F63+G63+J63+K63)*$L$4</f>
        <v>7.108416</v>
      </c>
      <c r="M63" s="78">
        <f t="shared" si="16"/>
        <v>86.090816</v>
      </c>
      <c r="N63" s="73">
        <f t="shared" si="17"/>
        <v>86.090816</v>
      </c>
      <c r="O63" s="93" t="s">
        <v>165</v>
      </c>
    </row>
    <row r="64" s="55" customFormat="1" ht="48" outlineLevel="1" spans="1:15">
      <c r="A64" s="69">
        <v>4</v>
      </c>
      <c r="B64" s="70" t="s">
        <v>170</v>
      </c>
      <c r="C64" s="71" t="s">
        <v>171</v>
      </c>
      <c r="D64" s="70" t="s">
        <v>109</v>
      </c>
      <c r="E64" s="72">
        <v>2</v>
      </c>
      <c r="F64" s="73">
        <v>15</v>
      </c>
      <c r="G64" s="69">
        <f t="shared" si="15"/>
        <v>45.45</v>
      </c>
      <c r="H64" s="69">
        <v>45</v>
      </c>
      <c r="I64" s="96">
        <v>0.01</v>
      </c>
      <c r="J64" s="69">
        <v>3</v>
      </c>
      <c r="K64" s="95">
        <f>+(F64+G64+J64)*$K$4</f>
        <v>7.614</v>
      </c>
      <c r="L64" s="95">
        <f>+(F64+G64+J64+K64)*$L$4</f>
        <v>6.39576</v>
      </c>
      <c r="M64" s="78">
        <f t="shared" si="16"/>
        <v>77.45976</v>
      </c>
      <c r="N64" s="73">
        <f t="shared" si="17"/>
        <v>154.91952</v>
      </c>
      <c r="O64" s="93" t="s">
        <v>165</v>
      </c>
    </row>
    <row r="65" s="55" customFormat="1" ht="48" outlineLevel="1" spans="1:15">
      <c r="A65" s="69">
        <v>5</v>
      </c>
      <c r="B65" s="70" t="s">
        <v>172</v>
      </c>
      <c r="C65" s="71" t="s">
        <v>173</v>
      </c>
      <c r="D65" s="70" t="s">
        <v>109</v>
      </c>
      <c r="E65" s="72">
        <v>3</v>
      </c>
      <c r="F65" s="73">
        <f>+F10</f>
        <v>15</v>
      </c>
      <c r="G65" s="69">
        <f t="shared" si="15"/>
        <v>45.45</v>
      </c>
      <c r="H65" s="69">
        <f>+H10</f>
        <v>45</v>
      </c>
      <c r="I65" s="96">
        <v>0.01</v>
      </c>
      <c r="J65" s="69">
        <f>+J10</f>
        <v>3</v>
      </c>
      <c r="K65" s="95">
        <f>+(F65+G65+J65)*$K$4</f>
        <v>7.614</v>
      </c>
      <c r="L65" s="95">
        <f>+(F65+G65+J65+K65)*$L$4</f>
        <v>6.39576</v>
      </c>
      <c r="M65" s="78">
        <f t="shared" si="16"/>
        <v>77.45976</v>
      </c>
      <c r="N65" s="73">
        <f t="shared" si="17"/>
        <v>232.37928</v>
      </c>
      <c r="O65" s="93" t="s">
        <v>165</v>
      </c>
    </row>
    <row r="66" s="55" customFormat="1" ht="48" outlineLevel="1" spans="1:15">
      <c r="A66" s="69">
        <v>6</v>
      </c>
      <c r="B66" s="70" t="s">
        <v>174</v>
      </c>
      <c r="C66" s="71" t="s">
        <v>175</v>
      </c>
      <c r="D66" s="70" t="s">
        <v>68</v>
      </c>
      <c r="E66" s="74">
        <v>10.8</v>
      </c>
      <c r="F66" s="73">
        <f>+F11</f>
        <v>7.5</v>
      </c>
      <c r="G66" s="69">
        <f t="shared" ref="G66:G70" si="18">+H66*(1+I66)</f>
        <v>12.12</v>
      </c>
      <c r="H66" s="73">
        <f>+H11</f>
        <v>12</v>
      </c>
      <c r="I66" s="94">
        <v>0.01</v>
      </c>
      <c r="J66" s="73">
        <f>+J11</f>
        <v>2</v>
      </c>
      <c r="K66" s="95">
        <f>+(F66+G66+J66)*$K$4</f>
        <v>2.5944</v>
      </c>
      <c r="L66" s="95">
        <f>+(F66+G66+J66+K66)*$L$4</f>
        <v>2.179296</v>
      </c>
      <c r="M66" s="78">
        <f t="shared" si="16"/>
        <v>26.393696</v>
      </c>
      <c r="N66" s="73">
        <f t="shared" si="17"/>
        <v>285.0519168</v>
      </c>
      <c r="O66" s="93" t="s">
        <v>165</v>
      </c>
    </row>
    <row r="67" s="55" customFormat="1" ht="60" outlineLevel="1" spans="1:19">
      <c r="A67" s="69">
        <v>7</v>
      </c>
      <c r="B67" s="70" t="s">
        <v>176</v>
      </c>
      <c r="C67" s="71" t="s">
        <v>177</v>
      </c>
      <c r="D67" s="70" t="s">
        <v>109</v>
      </c>
      <c r="E67" s="72">
        <v>1</v>
      </c>
      <c r="F67" s="69">
        <f>+F12</f>
        <v>38</v>
      </c>
      <c r="G67" s="69">
        <f t="shared" si="18"/>
        <v>444.4</v>
      </c>
      <c r="H67" s="69">
        <f>+H12</f>
        <v>440</v>
      </c>
      <c r="I67" s="96">
        <v>0.01</v>
      </c>
      <c r="J67" s="69">
        <f>+J12</f>
        <v>12</v>
      </c>
      <c r="K67" s="95">
        <f>+(F67+G67+J67)*$K$4</f>
        <v>59.328</v>
      </c>
      <c r="L67" s="95">
        <f>+(F67+G67+J67+K67)*$L$4</f>
        <v>49.83552</v>
      </c>
      <c r="M67" s="78">
        <f t="shared" si="16"/>
        <v>603.56352</v>
      </c>
      <c r="N67" s="73">
        <f t="shared" si="17"/>
        <v>603.56352</v>
      </c>
      <c r="O67" s="93" t="s">
        <v>165</v>
      </c>
      <c r="Q67" s="105"/>
      <c r="R67" s="105"/>
      <c r="S67" s="105"/>
    </row>
    <row r="68" s="55" customFormat="1" ht="48" outlineLevel="1" spans="1:19">
      <c r="A68" s="69">
        <v>8</v>
      </c>
      <c r="B68" s="70" t="s">
        <v>269</v>
      </c>
      <c r="C68" s="71" t="s">
        <v>270</v>
      </c>
      <c r="D68" s="70" t="s">
        <v>109</v>
      </c>
      <c r="E68" s="72">
        <v>1</v>
      </c>
      <c r="F68" s="69">
        <v>12</v>
      </c>
      <c r="G68" s="69">
        <f t="shared" si="18"/>
        <v>30.3</v>
      </c>
      <c r="H68" s="69">
        <v>30</v>
      </c>
      <c r="I68" s="96">
        <v>0.01</v>
      </c>
      <c r="J68" s="69">
        <v>4</v>
      </c>
      <c r="K68" s="95">
        <f>+(F68+G68+J68)*$K$4</f>
        <v>5.556</v>
      </c>
      <c r="L68" s="95">
        <f>+(F68+G68+J68+K68)*$L$4</f>
        <v>4.66704</v>
      </c>
      <c r="M68" s="78">
        <f t="shared" si="16"/>
        <v>56.52304</v>
      </c>
      <c r="N68" s="73">
        <f t="shared" si="17"/>
        <v>56.52304</v>
      </c>
      <c r="O68" s="93" t="s">
        <v>165</v>
      </c>
      <c r="Q68" s="105"/>
      <c r="R68" s="106"/>
      <c r="S68" s="105"/>
    </row>
    <row r="69" s="55" customFormat="1" ht="36" outlineLevel="1" spans="1:19">
      <c r="A69" s="69">
        <v>9</v>
      </c>
      <c r="B69" s="70" t="s">
        <v>178</v>
      </c>
      <c r="C69" s="71" t="s">
        <v>179</v>
      </c>
      <c r="D69" s="70" t="s">
        <v>109</v>
      </c>
      <c r="E69" s="72">
        <v>2</v>
      </c>
      <c r="F69" s="73">
        <f>+F13</f>
        <v>15</v>
      </c>
      <c r="G69" s="69">
        <f t="shared" ref="G69:G74" si="19">+H69*(1+I69)</f>
        <v>55.55</v>
      </c>
      <c r="H69" s="73">
        <f>+H13</f>
        <v>55</v>
      </c>
      <c r="I69" s="96">
        <v>0.01</v>
      </c>
      <c r="J69" s="73">
        <f>+J13</f>
        <v>3</v>
      </c>
      <c r="K69" s="95">
        <f>+(F69+G69+J69)*$K$4</f>
        <v>8.826</v>
      </c>
      <c r="L69" s="95">
        <f>+(F69+G69+J69+K69)*$L$4</f>
        <v>7.41384</v>
      </c>
      <c r="M69" s="78">
        <f t="shared" si="16"/>
        <v>89.78984</v>
      </c>
      <c r="N69" s="73">
        <f t="shared" si="17"/>
        <v>179.57968</v>
      </c>
      <c r="O69" s="93" t="s">
        <v>165</v>
      </c>
      <c r="Q69" s="105"/>
      <c r="R69" s="105"/>
      <c r="S69" s="105"/>
    </row>
    <row r="70" s="55" customFormat="1" ht="36" outlineLevel="1" spans="1:15">
      <c r="A70" s="69">
        <v>10</v>
      </c>
      <c r="B70" s="70" t="s">
        <v>180</v>
      </c>
      <c r="C70" s="71" t="s">
        <v>181</v>
      </c>
      <c r="D70" s="70" t="s">
        <v>109</v>
      </c>
      <c r="E70" s="72">
        <v>1</v>
      </c>
      <c r="F70" s="69">
        <f>+F14</f>
        <v>5</v>
      </c>
      <c r="G70" s="69">
        <f t="shared" si="18"/>
        <v>6.06</v>
      </c>
      <c r="H70" s="69">
        <f>+H14</f>
        <v>6</v>
      </c>
      <c r="I70" s="96">
        <v>0.01</v>
      </c>
      <c r="J70" s="69">
        <f>+J14</f>
        <v>1</v>
      </c>
      <c r="K70" s="95">
        <f>+(F70+G70+J70)*$K$4</f>
        <v>1.4472</v>
      </c>
      <c r="L70" s="95">
        <f>+(F70+G70+J70+K70)*$L$4</f>
        <v>1.215648</v>
      </c>
      <c r="M70" s="78">
        <f t="shared" si="16"/>
        <v>14.722848</v>
      </c>
      <c r="N70" s="73">
        <f t="shared" si="17"/>
        <v>14.722848</v>
      </c>
      <c r="O70" s="93" t="s">
        <v>165</v>
      </c>
    </row>
    <row r="71" s="55" customFormat="1" ht="48" outlineLevel="1" spans="1:15">
      <c r="A71" s="69">
        <v>11</v>
      </c>
      <c r="B71" s="70" t="s">
        <v>182</v>
      </c>
      <c r="C71" s="71" t="s">
        <v>183</v>
      </c>
      <c r="D71" s="70" t="s">
        <v>109</v>
      </c>
      <c r="E71" s="72">
        <v>21</v>
      </c>
      <c r="F71" s="73">
        <f t="shared" ref="F71:F74" si="20">+$F$15</f>
        <v>11</v>
      </c>
      <c r="G71" s="69">
        <f t="shared" si="19"/>
        <v>21.21</v>
      </c>
      <c r="H71" s="73">
        <f>+H15</f>
        <v>21</v>
      </c>
      <c r="I71" s="94">
        <v>0.01</v>
      </c>
      <c r="J71" s="73">
        <f t="shared" ref="J71:J74" si="21">+$J$15</f>
        <v>3</v>
      </c>
      <c r="K71" s="95">
        <f>+(F71+G71+J71)*$K$4</f>
        <v>4.2252</v>
      </c>
      <c r="L71" s="95">
        <f>+(F71+G71+J71+K71)*$L$4</f>
        <v>3.549168</v>
      </c>
      <c r="M71" s="78">
        <f t="shared" si="16"/>
        <v>42.984368</v>
      </c>
      <c r="N71" s="73">
        <f t="shared" si="17"/>
        <v>902.671728</v>
      </c>
      <c r="O71" s="93" t="s">
        <v>184</v>
      </c>
    </row>
    <row r="72" s="57" customFormat="1" ht="48" outlineLevel="1" spans="1:15">
      <c r="A72" s="69">
        <v>12</v>
      </c>
      <c r="B72" s="70" t="s">
        <v>185</v>
      </c>
      <c r="C72" s="71" t="s">
        <v>186</v>
      </c>
      <c r="D72" s="70" t="s">
        <v>109</v>
      </c>
      <c r="E72" s="72">
        <v>3</v>
      </c>
      <c r="F72" s="73">
        <f t="shared" si="20"/>
        <v>11</v>
      </c>
      <c r="G72" s="69">
        <f t="shared" si="19"/>
        <v>16.16</v>
      </c>
      <c r="H72" s="73">
        <f>+H16</f>
        <v>16</v>
      </c>
      <c r="I72" s="94">
        <v>0.01</v>
      </c>
      <c r="J72" s="73">
        <f t="shared" si="21"/>
        <v>3</v>
      </c>
      <c r="K72" s="95">
        <f>+(F72+G72+J72)*$K$4</f>
        <v>3.6192</v>
      </c>
      <c r="L72" s="95">
        <f>+(F72+G72+J72+K72)*$L$4</f>
        <v>3.040128</v>
      </c>
      <c r="M72" s="78">
        <f t="shared" si="16"/>
        <v>36.819328</v>
      </c>
      <c r="N72" s="78">
        <f t="shared" si="17"/>
        <v>110.457984</v>
      </c>
      <c r="O72" s="93" t="s">
        <v>184</v>
      </c>
    </row>
    <row r="73" s="57" customFormat="1" ht="48" outlineLevel="1" spans="1:18">
      <c r="A73" s="69">
        <v>13</v>
      </c>
      <c r="B73" s="70" t="s">
        <v>187</v>
      </c>
      <c r="C73" s="71" t="s">
        <v>188</v>
      </c>
      <c r="D73" s="70" t="s">
        <v>109</v>
      </c>
      <c r="E73" s="72">
        <v>6</v>
      </c>
      <c r="F73" s="73">
        <f t="shared" si="20"/>
        <v>11</v>
      </c>
      <c r="G73" s="69">
        <f t="shared" si="19"/>
        <v>22.22</v>
      </c>
      <c r="H73" s="73">
        <v>22</v>
      </c>
      <c r="I73" s="94">
        <v>0.01</v>
      </c>
      <c r="J73" s="73">
        <f t="shared" si="21"/>
        <v>3</v>
      </c>
      <c r="K73" s="95">
        <f>+(F73+G73+J73)*$K$4</f>
        <v>4.3464</v>
      </c>
      <c r="L73" s="95">
        <f>+(F73+G73+J73+K73)*$L$4</f>
        <v>3.650976</v>
      </c>
      <c r="M73" s="78">
        <f t="shared" si="16"/>
        <v>44.217376</v>
      </c>
      <c r="N73" s="78">
        <f t="shared" si="17"/>
        <v>265.304256</v>
      </c>
      <c r="O73" s="93" t="s">
        <v>184</v>
      </c>
      <c r="R73" s="106"/>
    </row>
    <row r="74" s="57" customFormat="1" ht="48" outlineLevel="1" spans="1:15">
      <c r="A74" s="69">
        <v>14</v>
      </c>
      <c r="B74" s="70" t="s">
        <v>189</v>
      </c>
      <c r="C74" s="71" t="s">
        <v>190</v>
      </c>
      <c r="D74" s="70" t="s">
        <v>109</v>
      </c>
      <c r="E74" s="72">
        <v>1</v>
      </c>
      <c r="F74" s="73">
        <f t="shared" si="20"/>
        <v>11</v>
      </c>
      <c r="G74" s="69">
        <f t="shared" si="19"/>
        <v>32.32</v>
      </c>
      <c r="H74" s="73">
        <f>+H18</f>
        <v>32</v>
      </c>
      <c r="I74" s="94">
        <v>0.01</v>
      </c>
      <c r="J74" s="73">
        <f t="shared" si="21"/>
        <v>3</v>
      </c>
      <c r="K74" s="95">
        <f>+(F74+G74+J74)*$K$4</f>
        <v>5.5584</v>
      </c>
      <c r="L74" s="95">
        <f>+(F74+G74+J74+K74)*$L$4</f>
        <v>4.669056</v>
      </c>
      <c r="M74" s="78">
        <f t="shared" si="16"/>
        <v>56.547456</v>
      </c>
      <c r="N74" s="78">
        <f t="shared" si="17"/>
        <v>56.547456</v>
      </c>
      <c r="O74" s="93" t="s">
        <v>184</v>
      </c>
    </row>
    <row r="75" s="57" customFormat="1" ht="48" outlineLevel="1" spans="1:15">
      <c r="A75" s="69">
        <v>15</v>
      </c>
      <c r="B75" s="70" t="s">
        <v>191</v>
      </c>
      <c r="C75" s="71" t="s">
        <v>192</v>
      </c>
      <c r="D75" s="70" t="s">
        <v>109</v>
      </c>
      <c r="E75" s="72">
        <v>1</v>
      </c>
      <c r="F75" s="73">
        <f t="shared" ref="F74:F78" si="22">+$F$18</f>
        <v>11</v>
      </c>
      <c r="G75" s="69">
        <f t="shared" ref="G74:G78" si="23">+H75*(1+I75)</f>
        <v>35.35</v>
      </c>
      <c r="H75" s="73">
        <f>+H19</f>
        <v>35</v>
      </c>
      <c r="I75" s="94">
        <v>0.01</v>
      </c>
      <c r="J75" s="73">
        <f t="shared" ref="J74:J78" si="24">+$J$18</f>
        <v>3</v>
      </c>
      <c r="K75" s="95">
        <f>+(F75+G75+J75)*$K$4</f>
        <v>5.922</v>
      </c>
      <c r="L75" s="95">
        <f>+(F75+G75+J75+K75)*$L$4</f>
        <v>4.97448</v>
      </c>
      <c r="M75" s="78">
        <f t="shared" si="16"/>
        <v>60.24648</v>
      </c>
      <c r="N75" s="78">
        <f t="shared" si="17"/>
        <v>60.24648</v>
      </c>
      <c r="O75" s="93" t="s">
        <v>184</v>
      </c>
    </row>
    <row r="76" s="57" customFormat="1" ht="48" outlineLevel="1" spans="1:15">
      <c r="A76" s="69">
        <v>16</v>
      </c>
      <c r="B76" s="70" t="s">
        <v>193</v>
      </c>
      <c r="C76" s="71" t="s">
        <v>194</v>
      </c>
      <c r="D76" s="70" t="s">
        <v>109</v>
      </c>
      <c r="E76" s="72">
        <v>3</v>
      </c>
      <c r="F76" s="73">
        <f t="shared" si="22"/>
        <v>11</v>
      </c>
      <c r="G76" s="69">
        <f t="shared" si="23"/>
        <v>26.26</v>
      </c>
      <c r="H76" s="73">
        <f>+H20</f>
        <v>26</v>
      </c>
      <c r="I76" s="94">
        <v>0.01</v>
      </c>
      <c r="J76" s="73">
        <f t="shared" si="24"/>
        <v>3</v>
      </c>
      <c r="K76" s="95">
        <f>+(F76+G76+J76)*$K$4</f>
        <v>4.8312</v>
      </c>
      <c r="L76" s="95">
        <f>+(F76+G76+J76+K76)*$L$4</f>
        <v>4.058208</v>
      </c>
      <c r="M76" s="78">
        <f t="shared" si="16"/>
        <v>49.149408</v>
      </c>
      <c r="N76" s="78">
        <f t="shared" si="17"/>
        <v>147.448224</v>
      </c>
      <c r="O76" s="93" t="s">
        <v>184</v>
      </c>
    </row>
    <row r="77" s="57" customFormat="1" ht="48" outlineLevel="1" spans="1:15">
      <c r="A77" s="69">
        <v>17</v>
      </c>
      <c r="B77" s="70" t="s">
        <v>195</v>
      </c>
      <c r="C77" s="71" t="s">
        <v>196</v>
      </c>
      <c r="D77" s="70" t="s">
        <v>109</v>
      </c>
      <c r="E77" s="72">
        <v>5</v>
      </c>
      <c r="F77" s="73">
        <f t="shared" si="22"/>
        <v>11</v>
      </c>
      <c r="G77" s="69">
        <f t="shared" si="23"/>
        <v>22.22</v>
      </c>
      <c r="H77" s="73">
        <f>+H21</f>
        <v>22</v>
      </c>
      <c r="I77" s="94">
        <v>0.01</v>
      </c>
      <c r="J77" s="73">
        <f t="shared" si="24"/>
        <v>3</v>
      </c>
      <c r="K77" s="95">
        <f>+(F77+G77+J77)*$K$4</f>
        <v>4.3464</v>
      </c>
      <c r="L77" s="95">
        <f>+(F77+G77+J77+K77)*$L$4</f>
        <v>3.650976</v>
      </c>
      <c r="M77" s="78">
        <f t="shared" si="16"/>
        <v>44.217376</v>
      </c>
      <c r="N77" s="78">
        <f t="shared" si="17"/>
        <v>221.08688</v>
      </c>
      <c r="O77" s="93" t="s">
        <v>184</v>
      </c>
    </row>
    <row r="78" s="57" customFormat="1" ht="48" outlineLevel="1" spans="1:15">
      <c r="A78" s="69">
        <v>18</v>
      </c>
      <c r="B78" s="70" t="s">
        <v>199</v>
      </c>
      <c r="C78" s="71" t="s">
        <v>200</v>
      </c>
      <c r="D78" s="70" t="s">
        <v>109</v>
      </c>
      <c r="E78" s="72">
        <v>4</v>
      </c>
      <c r="F78" s="73">
        <f t="shared" si="22"/>
        <v>11</v>
      </c>
      <c r="G78" s="69">
        <f t="shared" si="23"/>
        <v>22.22</v>
      </c>
      <c r="H78" s="73">
        <f>+H23</f>
        <v>22</v>
      </c>
      <c r="I78" s="94">
        <v>0.01</v>
      </c>
      <c r="J78" s="73">
        <f t="shared" si="24"/>
        <v>3</v>
      </c>
      <c r="K78" s="95">
        <f>+(F78+G78+J78)*$K$4</f>
        <v>4.3464</v>
      </c>
      <c r="L78" s="95">
        <f>+(F78+G78+J78+K78)*$L$4</f>
        <v>3.650976</v>
      </c>
      <c r="M78" s="78">
        <f t="shared" si="16"/>
        <v>44.217376</v>
      </c>
      <c r="N78" s="78">
        <f t="shared" si="17"/>
        <v>176.869504</v>
      </c>
      <c r="O78" s="93" t="s">
        <v>184</v>
      </c>
    </row>
    <row r="79" s="57" customFormat="1" ht="48" outlineLevel="1" spans="1:15">
      <c r="A79" s="69">
        <v>19</v>
      </c>
      <c r="B79" s="70" t="s">
        <v>271</v>
      </c>
      <c r="C79" s="71" t="s">
        <v>272</v>
      </c>
      <c r="D79" s="70" t="s">
        <v>109</v>
      </c>
      <c r="E79" s="72">
        <v>2</v>
      </c>
      <c r="F79" s="73">
        <f t="shared" ref="F79:F82" si="25">+$F$18</f>
        <v>11</v>
      </c>
      <c r="G79" s="69">
        <f t="shared" ref="G77:G80" si="26">+H79*(1+I79)</f>
        <v>30.3</v>
      </c>
      <c r="H79" s="73">
        <v>30</v>
      </c>
      <c r="I79" s="94">
        <v>0.01</v>
      </c>
      <c r="J79" s="73">
        <f t="shared" ref="J79:J82" si="27">+$J$18</f>
        <v>3</v>
      </c>
      <c r="K79" s="95">
        <f>+(F79+G79+J79)*$K$4</f>
        <v>5.316</v>
      </c>
      <c r="L79" s="95">
        <f>+(F79+G79+J79+K79)*$L$4</f>
        <v>4.46544</v>
      </c>
      <c r="M79" s="78">
        <f t="shared" si="16"/>
        <v>54.08144</v>
      </c>
      <c r="N79" s="78">
        <f t="shared" si="17"/>
        <v>108.16288</v>
      </c>
      <c r="O79" s="93" t="s">
        <v>184</v>
      </c>
    </row>
    <row r="80" s="57" customFormat="1" ht="48" outlineLevel="1" spans="1:15">
      <c r="A80" s="69">
        <v>20</v>
      </c>
      <c r="B80" s="70" t="s">
        <v>203</v>
      </c>
      <c r="C80" s="71" t="s">
        <v>204</v>
      </c>
      <c r="D80" s="70" t="s">
        <v>109</v>
      </c>
      <c r="E80" s="72">
        <v>1</v>
      </c>
      <c r="F80" s="73">
        <f t="shared" si="25"/>
        <v>11</v>
      </c>
      <c r="G80" s="69">
        <f t="shared" si="26"/>
        <v>45.45</v>
      </c>
      <c r="H80" s="73">
        <f>+H25</f>
        <v>45</v>
      </c>
      <c r="I80" s="94">
        <v>0.01</v>
      </c>
      <c r="J80" s="73">
        <f t="shared" si="27"/>
        <v>3</v>
      </c>
      <c r="K80" s="95">
        <f>+(F80+G80+J80)*$K$4</f>
        <v>7.134</v>
      </c>
      <c r="L80" s="95">
        <f>+(F80+G80+J80+K80)*$L$4</f>
        <v>5.99256</v>
      </c>
      <c r="M80" s="78">
        <f t="shared" si="16"/>
        <v>72.57656</v>
      </c>
      <c r="N80" s="78">
        <f t="shared" si="17"/>
        <v>72.57656</v>
      </c>
      <c r="O80" s="93" t="s">
        <v>184</v>
      </c>
    </row>
    <row r="81" s="57" customFormat="1" ht="60" outlineLevel="1" spans="1:15">
      <c r="A81" s="69">
        <v>21</v>
      </c>
      <c r="B81" s="70" t="s">
        <v>205</v>
      </c>
      <c r="C81" s="71" t="s">
        <v>206</v>
      </c>
      <c r="D81" s="70" t="s">
        <v>109</v>
      </c>
      <c r="E81" s="72">
        <v>1</v>
      </c>
      <c r="F81" s="73">
        <f t="shared" si="25"/>
        <v>11</v>
      </c>
      <c r="G81" s="69">
        <f t="shared" ref="G80:G82" si="28">+H81*(1+I81)</f>
        <v>68.68</v>
      </c>
      <c r="H81" s="73">
        <f>+H26</f>
        <v>68</v>
      </c>
      <c r="I81" s="94">
        <v>0.01</v>
      </c>
      <c r="J81" s="73">
        <f t="shared" si="27"/>
        <v>3</v>
      </c>
      <c r="K81" s="95">
        <f>+(F81+G81+J81)*$K$4</f>
        <v>9.9216</v>
      </c>
      <c r="L81" s="95">
        <f>+(F81+G81+J81+K81)*$L$4</f>
        <v>8.334144</v>
      </c>
      <c r="M81" s="78">
        <f t="shared" si="16"/>
        <v>100.935744</v>
      </c>
      <c r="N81" s="78">
        <f t="shared" si="17"/>
        <v>100.935744</v>
      </c>
      <c r="O81" s="93"/>
    </row>
    <row r="82" s="57" customFormat="1" ht="48" outlineLevel="1" spans="1:15">
      <c r="A82" s="69">
        <v>22</v>
      </c>
      <c r="B82" s="70" t="s">
        <v>207</v>
      </c>
      <c r="C82" s="71" t="s">
        <v>208</v>
      </c>
      <c r="D82" s="70" t="s">
        <v>109</v>
      </c>
      <c r="E82" s="72">
        <v>1</v>
      </c>
      <c r="F82" s="73">
        <f t="shared" si="25"/>
        <v>11</v>
      </c>
      <c r="G82" s="69">
        <f t="shared" si="28"/>
        <v>28.28</v>
      </c>
      <c r="H82" s="73">
        <f>+H27</f>
        <v>28</v>
      </c>
      <c r="I82" s="94">
        <v>0.01</v>
      </c>
      <c r="J82" s="73">
        <f t="shared" si="27"/>
        <v>3</v>
      </c>
      <c r="K82" s="95">
        <f>+(F82+G82+J82)*$K$4</f>
        <v>5.0736</v>
      </c>
      <c r="L82" s="95">
        <f>+(F82+G82+J82+K82)*$L$4</f>
        <v>4.261824</v>
      </c>
      <c r="M82" s="78">
        <f t="shared" si="16"/>
        <v>51.615424</v>
      </c>
      <c r="N82" s="78">
        <f t="shared" si="17"/>
        <v>51.615424</v>
      </c>
      <c r="O82" s="93" t="s">
        <v>184</v>
      </c>
    </row>
    <row r="83" s="57" customFormat="1" ht="36" outlineLevel="1" spans="1:15">
      <c r="A83" s="69">
        <v>23</v>
      </c>
      <c r="B83" s="70" t="s">
        <v>209</v>
      </c>
      <c r="C83" s="71" t="s">
        <v>210</v>
      </c>
      <c r="D83" s="70" t="s">
        <v>109</v>
      </c>
      <c r="E83" s="72">
        <v>5</v>
      </c>
      <c r="F83" s="78">
        <f>+F28</f>
        <v>6</v>
      </c>
      <c r="G83" s="69">
        <f t="shared" ref="G83:G87" si="29">+H83*(1+I83)</f>
        <v>4.04</v>
      </c>
      <c r="H83" s="69">
        <f>+H28</f>
        <v>4</v>
      </c>
      <c r="I83" s="96">
        <v>0.01</v>
      </c>
      <c r="J83" s="69">
        <f>+J28</f>
        <v>1</v>
      </c>
      <c r="K83" s="95">
        <f>+(F83+G83+J83)*$K$4</f>
        <v>1.3248</v>
      </c>
      <c r="L83" s="95">
        <f>+(F83+G83+J83+K83)*$L$4</f>
        <v>1.112832</v>
      </c>
      <c r="M83" s="78">
        <f t="shared" si="16"/>
        <v>13.477632</v>
      </c>
      <c r="N83" s="78">
        <f t="shared" si="17"/>
        <v>67.38816</v>
      </c>
      <c r="O83" s="93"/>
    </row>
    <row r="84" s="57" customFormat="1" ht="36" outlineLevel="1" spans="1:15">
      <c r="A84" s="69">
        <v>24</v>
      </c>
      <c r="B84" s="70" t="s">
        <v>211</v>
      </c>
      <c r="C84" s="71" t="s">
        <v>212</v>
      </c>
      <c r="D84" s="70" t="s">
        <v>109</v>
      </c>
      <c r="E84" s="72">
        <v>1</v>
      </c>
      <c r="F84" s="73">
        <f t="shared" ref="F84:F86" si="30">+$F$15</f>
        <v>11</v>
      </c>
      <c r="G84" s="69">
        <f t="shared" si="29"/>
        <v>24.24</v>
      </c>
      <c r="H84" s="73">
        <f>+H29</f>
        <v>24</v>
      </c>
      <c r="I84" s="94">
        <v>0.01</v>
      </c>
      <c r="J84" s="73">
        <f>+$J$15</f>
        <v>3</v>
      </c>
      <c r="K84" s="95">
        <f>+(F84+G84+J84)*$K$4</f>
        <v>4.5888</v>
      </c>
      <c r="L84" s="95">
        <f>+(F84+G84+J84+K84)*$L$4</f>
        <v>3.854592</v>
      </c>
      <c r="M84" s="78">
        <f t="shared" si="16"/>
        <v>46.683392</v>
      </c>
      <c r="N84" s="78">
        <f t="shared" si="17"/>
        <v>46.683392</v>
      </c>
      <c r="O84" s="93" t="s">
        <v>184</v>
      </c>
    </row>
    <row r="85" s="57" customFormat="1" ht="36" outlineLevel="1" spans="1:15">
      <c r="A85" s="69">
        <v>25</v>
      </c>
      <c r="B85" s="70" t="s">
        <v>213</v>
      </c>
      <c r="C85" s="71" t="s">
        <v>214</v>
      </c>
      <c r="D85" s="70" t="s">
        <v>109</v>
      </c>
      <c r="E85" s="72">
        <v>1</v>
      </c>
      <c r="F85" s="73">
        <f t="shared" si="30"/>
        <v>11</v>
      </c>
      <c r="G85" s="69">
        <f t="shared" si="29"/>
        <v>24.24</v>
      </c>
      <c r="H85" s="73">
        <f>+H29</f>
        <v>24</v>
      </c>
      <c r="I85" s="94">
        <v>0.01</v>
      </c>
      <c r="J85" s="73">
        <f>+J29</f>
        <v>3</v>
      </c>
      <c r="K85" s="95">
        <f>+(F85+G85+J85)*$K$4</f>
        <v>4.5888</v>
      </c>
      <c r="L85" s="95">
        <f>+(F85+G85+J85+K85)*$L$4</f>
        <v>3.854592</v>
      </c>
      <c r="M85" s="78">
        <f t="shared" si="16"/>
        <v>46.683392</v>
      </c>
      <c r="N85" s="78">
        <f t="shared" si="17"/>
        <v>46.683392</v>
      </c>
      <c r="O85" s="93" t="s">
        <v>184</v>
      </c>
    </row>
    <row r="86" s="57" customFormat="1" ht="36" outlineLevel="1" spans="1:15">
      <c r="A86" s="69">
        <v>26</v>
      </c>
      <c r="B86" s="70" t="s">
        <v>215</v>
      </c>
      <c r="C86" s="71" t="s">
        <v>216</v>
      </c>
      <c r="D86" s="70" t="s">
        <v>109</v>
      </c>
      <c r="E86" s="72">
        <v>2</v>
      </c>
      <c r="F86" s="73">
        <f t="shared" si="30"/>
        <v>11</v>
      </c>
      <c r="G86" s="69">
        <f t="shared" si="29"/>
        <v>29.29</v>
      </c>
      <c r="H86" s="73">
        <f t="shared" ref="H86:H92" si="31">+H31</f>
        <v>29</v>
      </c>
      <c r="I86" s="94">
        <v>0.01</v>
      </c>
      <c r="J86" s="73">
        <f>+J31</f>
        <v>3</v>
      </c>
      <c r="K86" s="95">
        <f>+(F86+G86+J86)*$K$4</f>
        <v>5.1948</v>
      </c>
      <c r="L86" s="95">
        <f>+(F86+G86+J86+K86)*$L$4</f>
        <v>4.363632</v>
      </c>
      <c r="M86" s="78">
        <f t="shared" si="16"/>
        <v>52.848432</v>
      </c>
      <c r="N86" s="78">
        <f t="shared" si="17"/>
        <v>105.696864</v>
      </c>
      <c r="O86" s="93" t="s">
        <v>184</v>
      </c>
    </row>
    <row r="87" s="57" customFormat="1" ht="48" outlineLevel="1" spans="1:15">
      <c r="A87" s="69">
        <v>27</v>
      </c>
      <c r="B87" s="70" t="s">
        <v>217</v>
      </c>
      <c r="C87" s="71" t="s">
        <v>218</v>
      </c>
      <c r="D87" s="70" t="s">
        <v>162</v>
      </c>
      <c r="E87" s="72">
        <v>1</v>
      </c>
      <c r="F87" s="69">
        <f>+F32</f>
        <v>58</v>
      </c>
      <c r="G87" s="69">
        <f t="shared" si="29"/>
        <v>65.65</v>
      </c>
      <c r="H87" s="69">
        <f t="shared" si="31"/>
        <v>65</v>
      </c>
      <c r="I87" s="96">
        <v>0.01</v>
      </c>
      <c r="J87" s="69">
        <f>+J32</f>
        <v>45</v>
      </c>
      <c r="K87" s="95">
        <f>+(F87+G87+J87)*$K$4</f>
        <v>20.238</v>
      </c>
      <c r="L87" s="95">
        <f>+(F87+G87+J87+K87)*$L$4</f>
        <v>16.99992</v>
      </c>
      <c r="M87" s="78">
        <f t="shared" si="16"/>
        <v>205.88792</v>
      </c>
      <c r="N87" s="73">
        <f t="shared" si="17"/>
        <v>205.88792</v>
      </c>
      <c r="O87" s="93"/>
    </row>
    <row r="88" s="57" customFormat="1" ht="48" outlineLevel="1" spans="1:15">
      <c r="A88" s="69">
        <v>28</v>
      </c>
      <c r="B88" s="76" t="s">
        <v>219</v>
      </c>
      <c r="C88" s="77" t="s">
        <v>220</v>
      </c>
      <c r="D88" s="78" t="s">
        <v>68</v>
      </c>
      <c r="E88" s="78">
        <f>93.06+239.79</f>
        <v>332.85</v>
      </c>
      <c r="F88" s="73">
        <v>1</v>
      </c>
      <c r="G88" s="73">
        <f>+G33</f>
        <v>2.323</v>
      </c>
      <c r="H88" s="73">
        <f t="shared" si="31"/>
        <v>2.3</v>
      </c>
      <c r="I88" s="94">
        <v>0.01</v>
      </c>
      <c r="J88" s="73">
        <v>0.5</v>
      </c>
      <c r="K88" s="95">
        <f>+(F88+G88+J88)*$K$4</f>
        <v>0.45876</v>
      </c>
      <c r="L88" s="95">
        <f>+(F88+G88+J88+K88)*$L$4</f>
        <v>0.3853584</v>
      </c>
      <c r="M88" s="78">
        <f t="shared" si="16"/>
        <v>4.6671184</v>
      </c>
      <c r="N88" s="78">
        <f t="shared" si="17"/>
        <v>1553.45035944</v>
      </c>
      <c r="O88" s="93"/>
    </row>
    <row r="89" s="57" customFormat="1" ht="48" outlineLevel="1" spans="1:15">
      <c r="A89" s="69">
        <v>29</v>
      </c>
      <c r="B89" s="76" t="s">
        <v>219</v>
      </c>
      <c r="C89" s="77" t="s">
        <v>221</v>
      </c>
      <c r="D89" s="78" t="s">
        <v>68</v>
      </c>
      <c r="E89" s="78">
        <v>265.65</v>
      </c>
      <c r="F89" s="73">
        <f>+$F$33</f>
        <v>0.8</v>
      </c>
      <c r="G89" s="73">
        <f>+G34</f>
        <v>3.333</v>
      </c>
      <c r="H89" s="73">
        <f t="shared" si="31"/>
        <v>3.3</v>
      </c>
      <c r="I89" s="94">
        <v>0.01</v>
      </c>
      <c r="J89" s="73">
        <f>+$J$33</f>
        <v>0.5</v>
      </c>
      <c r="K89" s="95">
        <f>+(F89+G89+J89)*$K$4</f>
        <v>0.55596</v>
      </c>
      <c r="L89" s="95">
        <f>+(F89+G89+J89+K89)*$L$4</f>
        <v>0.4670064</v>
      </c>
      <c r="M89" s="78">
        <f t="shared" si="16"/>
        <v>5.6559664</v>
      </c>
      <c r="N89" s="78">
        <f t="shared" si="17"/>
        <v>1502.50747416</v>
      </c>
      <c r="O89" s="93"/>
    </row>
    <row r="90" s="57" customFormat="1" ht="48" outlineLevel="1" spans="1:15">
      <c r="A90" s="69">
        <v>30</v>
      </c>
      <c r="B90" s="76" t="s">
        <v>222</v>
      </c>
      <c r="C90" s="77" t="s">
        <v>223</v>
      </c>
      <c r="D90" s="78" t="s">
        <v>68</v>
      </c>
      <c r="E90" s="78">
        <v>23.81</v>
      </c>
      <c r="F90" s="78">
        <f>+F35</f>
        <v>0.8</v>
      </c>
      <c r="G90" s="69">
        <f>+H90*(1+I90)</f>
        <v>1.919</v>
      </c>
      <c r="H90" s="78">
        <f t="shared" si="31"/>
        <v>1.9</v>
      </c>
      <c r="I90" s="96">
        <v>0.01</v>
      </c>
      <c r="J90" s="69">
        <f>+J35</f>
        <v>0.5</v>
      </c>
      <c r="K90" s="95">
        <f>+(F90+G90+J90)*$K$4</f>
        <v>0.38628</v>
      </c>
      <c r="L90" s="95">
        <f>+(F90+G90+J90+K90)*$L$4</f>
        <v>0.3244752</v>
      </c>
      <c r="M90" s="78">
        <f t="shared" si="16"/>
        <v>3.9297552</v>
      </c>
      <c r="N90" s="78">
        <f t="shared" si="17"/>
        <v>93.567471312</v>
      </c>
      <c r="O90" s="93"/>
    </row>
    <row r="91" s="57" customFormat="1" ht="48" outlineLevel="1" spans="1:15">
      <c r="A91" s="69">
        <v>31</v>
      </c>
      <c r="B91" s="76" t="s">
        <v>224</v>
      </c>
      <c r="C91" s="77" t="s">
        <v>225</v>
      </c>
      <c r="D91" s="78" t="s">
        <v>68</v>
      </c>
      <c r="E91" s="78">
        <v>6.6</v>
      </c>
      <c r="F91" s="78">
        <f>+F36</f>
        <v>0.6</v>
      </c>
      <c r="G91" s="69">
        <f>+H91*(1+I91)</f>
        <v>0.505</v>
      </c>
      <c r="H91" s="78">
        <f t="shared" si="31"/>
        <v>0.5</v>
      </c>
      <c r="I91" s="94">
        <v>0.01</v>
      </c>
      <c r="J91" s="78">
        <f>+J36</f>
        <v>0.2</v>
      </c>
      <c r="K91" s="95">
        <f>+(F91+G91+J91)*$K$4</f>
        <v>0.1566</v>
      </c>
      <c r="L91" s="95">
        <f>+(F91+G91+J91+K91)*$L$4</f>
        <v>0.131544</v>
      </c>
      <c r="M91" s="78">
        <f t="shared" si="16"/>
        <v>1.593144</v>
      </c>
      <c r="N91" s="78">
        <f t="shared" si="17"/>
        <v>10.5147504</v>
      </c>
      <c r="O91" s="93" t="s">
        <v>226</v>
      </c>
    </row>
    <row r="92" s="57" customFormat="1" ht="48" outlineLevel="1" spans="1:15">
      <c r="A92" s="69">
        <v>32</v>
      </c>
      <c r="B92" s="76" t="s">
        <v>227</v>
      </c>
      <c r="C92" s="77" t="s">
        <v>228</v>
      </c>
      <c r="D92" s="78" t="s">
        <v>68</v>
      </c>
      <c r="E92" s="78">
        <v>4.6</v>
      </c>
      <c r="F92" s="78">
        <f>+F37</f>
        <v>1.67</v>
      </c>
      <c r="G92" s="69">
        <f>+H92*(1+I92)</f>
        <v>2.1715</v>
      </c>
      <c r="H92" s="78">
        <f t="shared" si="31"/>
        <v>2.15</v>
      </c>
      <c r="I92" s="96">
        <v>0.01</v>
      </c>
      <c r="J92" s="78">
        <f>+J37</f>
        <v>0.3</v>
      </c>
      <c r="K92" s="95">
        <f>+(F92+G92+J92)*$K$4</f>
        <v>0.49698</v>
      </c>
      <c r="L92" s="95">
        <f>+(F92+G92+J92+K92)*$L$4</f>
        <v>0.4174632</v>
      </c>
      <c r="M92" s="78">
        <f t="shared" si="16"/>
        <v>5.0559432</v>
      </c>
      <c r="N92" s="78">
        <f t="shared" si="17"/>
        <v>23.25733872</v>
      </c>
      <c r="O92" s="93"/>
    </row>
    <row r="93" s="57" customFormat="1" spans="1:15">
      <c r="A93" s="69">
        <v>33</v>
      </c>
      <c r="B93" s="107" t="s">
        <v>33</v>
      </c>
      <c r="C93" s="107"/>
      <c r="D93" s="107" t="s">
        <v>229</v>
      </c>
      <c r="E93" s="108"/>
      <c r="F93" s="78"/>
      <c r="G93" s="78"/>
      <c r="H93" s="78"/>
      <c r="I93" s="113"/>
      <c r="J93" s="78"/>
      <c r="K93" s="114"/>
      <c r="L93" s="67"/>
      <c r="M93" s="78"/>
      <c r="N93" s="78">
        <f>SUM(N61:N92)</f>
        <v>8339.182606832</v>
      </c>
      <c r="O93" s="93"/>
    </row>
    <row r="94" s="57" customFormat="1" spans="1:15">
      <c r="A94" s="85" t="s">
        <v>127</v>
      </c>
      <c r="B94" s="65" t="s">
        <v>273</v>
      </c>
      <c r="C94" s="65" t="s">
        <v>161</v>
      </c>
      <c r="D94" s="65" t="s">
        <v>162</v>
      </c>
      <c r="E94" s="108"/>
      <c r="F94" s="78"/>
      <c r="G94" s="78"/>
      <c r="H94" s="78"/>
      <c r="I94" s="113"/>
      <c r="J94" s="78"/>
      <c r="K94" s="114"/>
      <c r="L94" s="67"/>
      <c r="M94" s="78"/>
      <c r="N94" s="78"/>
      <c r="O94" s="93"/>
    </row>
    <row r="95" s="57" customFormat="1" ht="48" outlineLevel="1" spans="1:15">
      <c r="A95" s="85">
        <v>1</v>
      </c>
      <c r="B95" s="70" t="s">
        <v>231</v>
      </c>
      <c r="C95" s="71" t="s">
        <v>232</v>
      </c>
      <c r="D95" s="70" t="s">
        <v>35</v>
      </c>
      <c r="E95" s="85">
        <v>1</v>
      </c>
      <c r="F95" s="69">
        <v>38</v>
      </c>
      <c r="G95" s="69">
        <f t="shared" ref="G95:G100" si="32">+H95*(1+I95)</f>
        <v>732.25</v>
      </c>
      <c r="H95" s="85">
        <f t="shared" ref="H95:H104" si="33">+H40</f>
        <v>725</v>
      </c>
      <c r="I95" s="99">
        <v>0.01</v>
      </c>
      <c r="J95" s="69">
        <v>28</v>
      </c>
      <c r="K95" s="95">
        <f>+(F95+G95+J95)*$K$4</f>
        <v>95.79</v>
      </c>
      <c r="L95" s="95">
        <f>+(F95+G95+J95+K95)*$L$4</f>
        <v>80.4636</v>
      </c>
      <c r="M95" s="78">
        <f t="shared" ref="M95:M112" si="34">F95+G95+J95+K95+L95</f>
        <v>974.5036</v>
      </c>
      <c r="N95" s="78">
        <f t="shared" ref="N95:N112" si="35">M95*E95</f>
        <v>974.5036</v>
      </c>
      <c r="O95" s="93" t="s">
        <v>110</v>
      </c>
    </row>
    <row r="96" s="57" customFormat="1" ht="48" outlineLevel="1" spans="1:15">
      <c r="A96" s="85">
        <v>2</v>
      </c>
      <c r="B96" s="70" t="s">
        <v>233</v>
      </c>
      <c r="C96" s="71" t="s">
        <v>234</v>
      </c>
      <c r="D96" s="70" t="s">
        <v>35</v>
      </c>
      <c r="E96" s="85">
        <v>1</v>
      </c>
      <c r="F96" s="69">
        <f>+F41</f>
        <v>68</v>
      </c>
      <c r="G96" s="69">
        <f t="shared" si="32"/>
        <v>787.8</v>
      </c>
      <c r="H96" s="69">
        <f t="shared" si="33"/>
        <v>780</v>
      </c>
      <c r="I96" s="96">
        <v>0.01</v>
      </c>
      <c r="J96" s="69">
        <f>+J41</f>
        <v>22</v>
      </c>
      <c r="K96" s="95">
        <f>+(F96+G96+J96)*$K$4</f>
        <v>105.336</v>
      </c>
      <c r="L96" s="95">
        <f>+(F96+G96+J96+K96)*$L$4</f>
        <v>88.48224</v>
      </c>
      <c r="M96" s="78">
        <f t="shared" si="34"/>
        <v>1071.61824</v>
      </c>
      <c r="N96" s="78">
        <f t="shared" si="35"/>
        <v>1071.61824</v>
      </c>
      <c r="O96" s="93" t="s">
        <v>235</v>
      </c>
    </row>
    <row r="97" s="57" customFormat="1" ht="48" outlineLevel="1" spans="1:15">
      <c r="A97" s="85">
        <v>3</v>
      </c>
      <c r="B97" s="70" t="s">
        <v>236</v>
      </c>
      <c r="C97" s="71" t="s">
        <v>237</v>
      </c>
      <c r="D97" s="70" t="s">
        <v>35</v>
      </c>
      <c r="E97" s="85">
        <v>1</v>
      </c>
      <c r="F97" s="69">
        <v>38</v>
      </c>
      <c r="G97" s="69">
        <f t="shared" si="32"/>
        <v>828.2</v>
      </c>
      <c r="H97" s="85">
        <f t="shared" si="33"/>
        <v>820</v>
      </c>
      <c r="I97" s="99">
        <v>0.01</v>
      </c>
      <c r="J97" s="69">
        <v>28</v>
      </c>
      <c r="K97" s="95">
        <f>+(F97+G97+J97)*$K$4</f>
        <v>107.304</v>
      </c>
      <c r="L97" s="95">
        <f>+(F97+G97+J97+K97)*$L$4</f>
        <v>90.13536</v>
      </c>
      <c r="M97" s="78">
        <f t="shared" si="34"/>
        <v>1091.63936</v>
      </c>
      <c r="N97" s="78">
        <f t="shared" si="35"/>
        <v>1091.63936</v>
      </c>
      <c r="O97" s="93" t="s">
        <v>110</v>
      </c>
    </row>
    <row r="98" s="57" customFormat="1" ht="72" outlineLevel="1" spans="1:15">
      <c r="A98" s="85">
        <v>4</v>
      </c>
      <c r="B98" s="70" t="s">
        <v>238</v>
      </c>
      <c r="C98" s="71" t="s">
        <v>239</v>
      </c>
      <c r="D98" s="70" t="s">
        <v>35</v>
      </c>
      <c r="E98" s="85">
        <v>1</v>
      </c>
      <c r="F98" s="69">
        <v>40</v>
      </c>
      <c r="G98" s="69">
        <f t="shared" si="32"/>
        <v>1292.8</v>
      </c>
      <c r="H98" s="85">
        <f t="shared" si="33"/>
        <v>1280</v>
      </c>
      <c r="I98" s="99">
        <v>0.01</v>
      </c>
      <c r="J98" s="69">
        <v>28</v>
      </c>
      <c r="K98" s="95">
        <f>+(F98+G98+J98)*$K$4</f>
        <v>163.296</v>
      </c>
      <c r="L98" s="95">
        <f>+(F98+G98+J98+K98)*$L$4</f>
        <v>137.16864</v>
      </c>
      <c r="M98" s="78">
        <f t="shared" si="34"/>
        <v>1661.26464</v>
      </c>
      <c r="N98" s="78">
        <f t="shared" si="35"/>
        <v>1661.26464</v>
      </c>
      <c r="O98" s="93" t="s">
        <v>240</v>
      </c>
    </row>
    <row r="99" s="57" customFormat="1" ht="48" outlineLevel="1" spans="1:15">
      <c r="A99" s="85">
        <v>5</v>
      </c>
      <c r="B99" s="70" t="s">
        <v>241</v>
      </c>
      <c r="C99" s="71" t="s">
        <v>242</v>
      </c>
      <c r="D99" s="70" t="s">
        <v>35</v>
      </c>
      <c r="E99" s="85">
        <v>2</v>
      </c>
      <c r="F99" s="69">
        <f>+F44</f>
        <v>8</v>
      </c>
      <c r="G99" s="69">
        <f t="shared" si="32"/>
        <v>42.42</v>
      </c>
      <c r="H99" s="69">
        <f t="shared" si="33"/>
        <v>42</v>
      </c>
      <c r="I99" s="96">
        <v>0.01</v>
      </c>
      <c r="J99" s="69">
        <f>+J44</f>
        <v>1</v>
      </c>
      <c r="K99" s="95">
        <f>+(F99+G99+J99)*$K$4</f>
        <v>6.1704</v>
      </c>
      <c r="L99" s="95">
        <f>+(F99+G99+J99+K99)*$L$4</f>
        <v>5.183136</v>
      </c>
      <c r="M99" s="78">
        <f t="shared" si="34"/>
        <v>62.773536</v>
      </c>
      <c r="N99" s="78">
        <f t="shared" si="35"/>
        <v>125.547072</v>
      </c>
      <c r="O99" s="93" t="s">
        <v>110</v>
      </c>
    </row>
    <row r="100" s="57" customFormat="1" ht="48" outlineLevel="1" spans="1:15">
      <c r="A100" s="85">
        <v>6</v>
      </c>
      <c r="B100" s="70" t="s">
        <v>243</v>
      </c>
      <c r="C100" s="71" t="s">
        <v>244</v>
      </c>
      <c r="D100" s="70" t="s">
        <v>35</v>
      </c>
      <c r="E100" s="85">
        <v>2</v>
      </c>
      <c r="F100" s="69">
        <v>12</v>
      </c>
      <c r="G100" s="69">
        <f t="shared" si="32"/>
        <v>68.68</v>
      </c>
      <c r="H100" s="69">
        <f t="shared" si="33"/>
        <v>68</v>
      </c>
      <c r="I100" s="96">
        <v>0.01</v>
      </c>
      <c r="J100" s="69">
        <v>3</v>
      </c>
      <c r="K100" s="95">
        <f>+(F100+G100+J100)*$K$4</f>
        <v>10.0416</v>
      </c>
      <c r="L100" s="95">
        <f>+(F100+G100+J100+K100)*$L$4</f>
        <v>8.434944</v>
      </c>
      <c r="M100" s="78">
        <f t="shared" si="34"/>
        <v>102.156544</v>
      </c>
      <c r="N100" s="78">
        <f t="shared" si="35"/>
        <v>204.313088</v>
      </c>
      <c r="O100" s="93" t="s">
        <v>110</v>
      </c>
    </row>
    <row r="101" s="57" customFormat="1" ht="54" outlineLevel="1" spans="1:16">
      <c r="A101" s="85">
        <v>7</v>
      </c>
      <c r="B101" s="83" t="s">
        <v>245</v>
      </c>
      <c r="C101" s="82" t="s">
        <v>246</v>
      </c>
      <c r="D101" s="83" t="s">
        <v>35</v>
      </c>
      <c r="E101" s="85">
        <v>1</v>
      </c>
      <c r="F101" s="85">
        <f>+F46</f>
        <v>12</v>
      </c>
      <c r="G101" s="69">
        <f t="shared" ref="G101:G103" si="36">+H101*(1+I101)</f>
        <v>48.48</v>
      </c>
      <c r="H101" s="69">
        <f t="shared" si="33"/>
        <v>48</v>
      </c>
      <c r="I101" s="96">
        <v>0.01</v>
      </c>
      <c r="J101" s="85">
        <f>+J46</f>
        <v>3</v>
      </c>
      <c r="K101" s="95">
        <f>+(F101+G101+J101)*$K$4</f>
        <v>7.6176</v>
      </c>
      <c r="L101" s="95">
        <f>+(F101+G101+J101+K101)*$L$4</f>
        <v>6.398784</v>
      </c>
      <c r="M101" s="78">
        <f t="shared" si="34"/>
        <v>77.496384</v>
      </c>
      <c r="N101" s="78">
        <f t="shared" si="35"/>
        <v>77.496384</v>
      </c>
      <c r="O101" s="93" t="s">
        <v>110</v>
      </c>
      <c r="P101" s="115" t="s">
        <v>274</v>
      </c>
    </row>
    <row r="102" s="57" customFormat="1" ht="36" outlineLevel="1" spans="1:15">
      <c r="A102" s="85">
        <v>8</v>
      </c>
      <c r="B102" s="70" t="s">
        <v>247</v>
      </c>
      <c r="C102" s="71" t="s">
        <v>248</v>
      </c>
      <c r="D102" s="70" t="s">
        <v>35</v>
      </c>
      <c r="E102" s="85">
        <v>1</v>
      </c>
      <c r="F102" s="74">
        <f>+F47</f>
        <v>74.3741</v>
      </c>
      <c r="G102" s="69">
        <f t="shared" si="36"/>
        <v>1136.25</v>
      </c>
      <c r="H102" s="69">
        <f t="shared" si="33"/>
        <v>1125</v>
      </c>
      <c r="I102" s="96">
        <v>0.01</v>
      </c>
      <c r="J102" s="85">
        <f>+J47</f>
        <v>22</v>
      </c>
      <c r="K102" s="95">
        <f>+(F102+G102+J102)*$K$4</f>
        <v>147.914892</v>
      </c>
      <c r="L102" s="95">
        <f>+(F102+G102+J102+K102)*$L$4</f>
        <v>124.24850928</v>
      </c>
      <c r="M102" s="78">
        <f t="shared" si="34"/>
        <v>1504.78750128</v>
      </c>
      <c r="N102" s="78">
        <f t="shared" si="35"/>
        <v>1504.78750128</v>
      </c>
      <c r="O102" s="93" t="s">
        <v>275</v>
      </c>
    </row>
    <row r="103" s="57" customFormat="1" ht="36" outlineLevel="1" spans="1:15">
      <c r="A103" s="85">
        <v>9</v>
      </c>
      <c r="B103" s="70" t="s">
        <v>250</v>
      </c>
      <c r="C103" s="71" t="s">
        <v>251</v>
      </c>
      <c r="D103" s="70" t="s">
        <v>35</v>
      </c>
      <c r="E103" s="85">
        <v>1</v>
      </c>
      <c r="F103" s="69">
        <f>+F48</f>
        <v>58</v>
      </c>
      <c r="G103" s="69">
        <f t="shared" si="36"/>
        <v>808</v>
      </c>
      <c r="H103" s="69">
        <f t="shared" si="33"/>
        <v>800</v>
      </c>
      <c r="I103" s="96">
        <v>0.01</v>
      </c>
      <c r="J103" s="69">
        <f>+J48</f>
        <v>16</v>
      </c>
      <c r="K103" s="95">
        <f>+(F103+G103+J103)*$K$4</f>
        <v>105.84</v>
      </c>
      <c r="L103" s="95">
        <f>+(F103+G103+J103+K103)*$L$4</f>
        <v>88.9056</v>
      </c>
      <c r="M103" s="78">
        <f t="shared" si="34"/>
        <v>1076.7456</v>
      </c>
      <c r="N103" s="78">
        <f t="shared" si="35"/>
        <v>1076.7456</v>
      </c>
      <c r="O103" s="93" t="s">
        <v>275</v>
      </c>
    </row>
    <row r="104" s="57" customFormat="1" ht="60" outlineLevel="1" spans="1:15">
      <c r="A104" s="85">
        <v>10</v>
      </c>
      <c r="B104" s="70" t="s">
        <v>252</v>
      </c>
      <c r="C104" s="71" t="s">
        <v>253</v>
      </c>
      <c r="D104" s="70" t="s">
        <v>35</v>
      </c>
      <c r="E104" s="85">
        <v>1</v>
      </c>
      <c r="F104" s="69">
        <v>38</v>
      </c>
      <c r="G104" s="69">
        <f t="shared" ref="G104:G108" si="37">+H104*(1+I104)</f>
        <v>994.85</v>
      </c>
      <c r="H104" s="85">
        <f t="shared" si="33"/>
        <v>985</v>
      </c>
      <c r="I104" s="99">
        <v>0.01</v>
      </c>
      <c r="J104" s="69">
        <v>28</v>
      </c>
      <c r="K104" s="95">
        <f>+(F104+G104+J104)*$K$4</f>
        <v>127.302</v>
      </c>
      <c r="L104" s="95">
        <f>+(F104+G104+J104+K104)*$L$4</f>
        <v>106.93368</v>
      </c>
      <c r="M104" s="78">
        <f t="shared" si="34"/>
        <v>1295.08568</v>
      </c>
      <c r="N104" s="78">
        <f t="shared" si="35"/>
        <v>1295.08568</v>
      </c>
      <c r="O104" s="93" t="s">
        <v>110</v>
      </c>
    </row>
    <row r="105" s="57" customFormat="1" ht="48" outlineLevel="1" spans="1:15">
      <c r="A105" s="85">
        <v>11</v>
      </c>
      <c r="B105" s="70" t="s">
        <v>254</v>
      </c>
      <c r="C105" s="71" t="s">
        <v>255</v>
      </c>
      <c r="D105" s="70" t="s">
        <v>109</v>
      </c>
      <c r="E105" s="85">
        <v>5</v>
      </c>
      <c r="F105" s="69">
        <f>+$F$50</f>
        <v>12</v>
      </c>
      <c r="G105" s="69">
        <f t="shared" si="37"/>
        <v>15.15</v>
      </c>
      <c r="H105" s="69">
        <f>+$H$50</f>
        <v>15</v>
      </c>
      <c r="I105" s="69">
        <f>+$I$54</f>
        <v>0.01</v>
      </c>
      <c r="J105" s="69">
        <f>+$J$50</f>
        <v>4</v>
      </c>
      <c r="K105" s="95">
        <f>+(F105+G105+J105)*$K$4</f>
        <v>3.738</v>
      </c>
      <c r="L105" s="95">
        <f>+(F105+G105+J105+K105)*$L$4</f>
        <v>3.13992</v>
      </c>
      <c r="M105" s="78">
        <f t="shared" si="34"/>
        <v>38.02792</v>
      </c>
      <c r="N105" s="78">
        <f t="shared" si="35"/>
        <v>190.1396</v>
      </c>
      <c r="O105" s="93"/>
    </row>
    <row r="106" s="57" customFormat="1" ht="48" outlineLevel="1" spans="1:15">
      <c r="A106" s="85">
        <v>12</v>
      </c>
      <c r="B106" s="70" t="s">
        <v>254</v>
      </c>
      <c r="C106" s="71" t="s">
        <v>256</v>
      </c>
      <c r="D106" s="70" t="s">
        <v>109</v>
      </c>
      <c r="E106" s="85">
        <v>2</v>
      </c>
      <c r="F106" s="69">
        <f>+$F$51</f>
        <v>11</v>
      </c>
      <c r="G106" s="69">
        <f t="shared" si="37"/>
        <v>7.777</v>
      </c>
      <c r="H106" s="69">
        <f>+$H$51</f>
        <v>7.7</v>
      </c>
      <c r="I106" s="69">
        <f>+$I$54</f>
        <v>0.01</v>
      </c>
      <c r="J106" s="69">
        <f>+$J$51</f>
        <v>3.5</v>
      </c>
      <c r="K106" s="95">
        <f>+(F106+G106+J106)*$K$4</f>
        <v>2.67324</v>
      </c>
      <c r="L106" s="95">
        <f>+(F106+G106+J106+K106)*$L$4</f>
        <v>2.2455216</v>
      </c>
      <c r="M106" s="78">
        <f t="shared" si="34"/>
        <v>27.1957616</v>
      </c>
      <c r="N106" s="78">
        <f t="shared" si="35"/>
        <v>54.3915232</v>
      </c>
      <c r="O106" s="93"/>
    </row>
    <row r="107" s="57" customFormat="1" ht="48" outlineLevel="1" spans="1:15">
      <c r="A107" s="85">
        <v>13</v>
      </c>
      <c r="B107" s="70" t="s">
        <v>257</v>
      </c>
      <c r="C107" s="71" t="s">
        <v>258</v>
      </c>
      <c r="D107" s="70" t="s">
        <v>109</v>
      </c>
      <c r="E107" s="85">
        <v>1</v>
      </c>
      <c r="F107" s="69">
        <v>3</v>
      </c>
      <c r="G107" s="69">
        <f t="shared" si="37"/>
        <v>19.695</v>
      </c>
      <c r="H107" s="69">
        <v>19.5</v>
      </c>
      <c r="I107" s="96">
        <v>0.01</v>
      </c>
      <c r="J107" s="69">
        <v>0.5</v>
      </c>
      <c r="K107" s="95">
        <f>+(F107+G107+J107)*$K$4</f>
        <v>2.7834</v>
      </c>
      <c r="L107" s="95">
        <f>+(F107+G107+J107+K107)*$L$4</f>
        <v>2.338056</v>
      </c>
      <c r="M107" s="78">
        <f t="shared" si="34"/>
        <v>28.316456</v>
      </c>
      <c r="N107" s="78">
        <f t="shared" si="35"/>
        <v>28.316456</v>
      </c>
      <c r="O107" s="93"/>
    </row>
    <row r="108" s="57" customFormat="1" ht="36" outlineLevel="1" spans="1:15">
      <c r="A108" s="85">
        <v>14</v>
      </c>
      <c r="B108" s="70" t="s">
        <v>259</v>
      </c>
      <c r="C108" s="71" t="s">
        <v>260</v>
      </c>
      <c r="D108" s="70" t="s">
        <v>109</v>
      </c>
      <c r="E108" s="85">
        <v>1</v>
      </c>
      <c r="F108" s="69">
        <v>3</v>
      </c>
      <c r="G108" s="69">
        <f t="shared" si="37"/>
        <v>15.15</v>
      </c>
      <c r="H108" s="69">
        <v>15</v>
      </c>
      <c r="I108" s="96">
        <v>0.01</v>
      </c>
      <c r="J108" s="69">
        <v>0.5</v>
      </c>
      <c r="K108" s="95">
        <f>+(F108+G108+J108)*$K$4</f>
        <v>2.238</v>
      </c>
      <c r="L108" s="95">
        <f>+(F108+G108+J108+K108)*$L$4</f>
        <v>1.87992</v>
      </c>
      <c r="M108" s="78">
        <f t="shared" si="34"/>
        <v>22.76792</v>
      </c>
      <c r="N108" s="78">
        <f t="shared" si="35"/>
        <v>22.76792</v>
      </c>
      <c r="O108" s="93"/>
    </row>
    <row r="109" s="57" customFormat="1" ht="48" outlineLevel="1" spans="1:15">
      <c r="A109" s="85">
        <v>15</v>
      </c>
      <c r="B109" s="70" t="s">
        <v>261</v>
      </c>
      <c r="C109" s="86" t="s">
        <v>262</v>
      </c>
      <c r="D109" s="78" t="s">
        <v>68</v>
      </c>
      <c r="E109" s="109">
        <f>14.54-0.5</f>
        <v>14.04</v>
      </c>
      <c r="F109" s="69">
        <f t="shared" ref="F109:F112" si="38">+$F$54</f>
        <v>6</v>
      </c>
      <c r="G109" s="69">
        <f>+$G$54</f>
        <v>10.1</v>
      </c>
      <c r="H109" s="69">
        <f>+$H$54</f>
        <v>10</v>
      </c>
      <c r="I109" s="69">
        <f t="shared" ref="I109:I112" si="39">+$I$54</f>
        <v>0.01</v>
      </c>
      <c r="J109" s="69">
        <f>+$J$54</f>
        <v>5.8</v>
      </c>
      <c r="K109" s="95">
        <f>+(F109+G109+J109)*$K$4</f>
        <v>2.628</v>
      </c>
      <c r="L109" s="95">
        <f>+(F109+G109+J109+K109)*$L$4</f>
        <v>2.20752</v>
      </c>
      <c r="M109" s="78">
        <f t="shared" si="34"/>
        <v>26.73552</v>
      </c>
      <c r="N109" s="78">
        <f t="shared" si="35"/>
        <v>375.3667008</v>
      </c>
      <c r="O109" s="93"/>
    </row>
    <row r="110" s="57" customFormat="1" ht="48" outlineLevel="1" spans="1:15">
      <c r="A110" s="85">
        <v>16</v>
      </c>
      <c r="B110" s="70" t="s">
        <v>261</v>
      </c>
      <c r="C110" s="86" t="s">
        <v>264</v>
      </c>
      <c r="D110" s="78" t="s">
        <v>68</v>
      </c>
      <c r="E110" s="109">
        <v>12.37</v>
      </c>
      <c r="F110" s="69">
        <f t="shared" si="38"/>
        <v>6</v>
      </c>
      <c r="G110" s="69">
        <f>+$G$55</f>
        <v>8.08</v>
      </c>
      <c r="H110" s="69">
        <f>+$H$55</f>
        <v>8</v>
      </c>
      <c r="I110" s="69">
        <f t="shared" si="39"/>
        <v>0.01</v>
      </c>
      <c r="J110" s="69">
        <f>+$J$55</f>
        <v>5</v>
      </c>
      <c r="K110" s="95">
        <f>+(F110+G110+J110)*$K$4</f>
        <v>2.2896</v>
      </c>
      <c r="L110" s="95">
        <f>+(F110+G110+J110+K110)*$L$4</f>
        <v>1.923264</v>
      </c>
      <c r="M110" s="78">
        <f t="shared" si="34"/>
        <v>23.292864</v>
      </c>
      <c r="N110" s="78">
        <f t="shared" si="35"/>
        <v>288.13272768</v>
      </c>
      <c r="O110" s="93"/>
    </row>
    <row r="111" s="57" customFormat="1" ht="48" outlineLevel="1" spans="1:15">
      <c r="A111" s="85">
        <v>17</v>
      </c>
      <c r="B111" s="70" t="s">
        <v>261</v>
      </c>
      <c r="C111" s="86" t="s">
        <v>265</v>
      </c>
      <c r="D111" s="78" t="s">
        <v>68</v>
      </c>
      <c r="E111" s="109">
        <v>6.39</v>
      </c>
      <c r="F111" s="69">
        <f t="shared" si="38"/>
        <v>6</v>
      </c>
      <c r="G111" s="69">
        <f>+$G$54</f>
        <v>10.1</v>
      </c>
      <c r="H111" s="69">
        <f>+$H$54</f>
        <v>10</v>
      </c>
      <c r="I111" s="69">
        <f t="shared" si="39"/>
        <v>0.01</v>
      </c>
      <c r="J111" s="69">
        <f>+$J$54</f>
        <v>5.8</v>
      </c>
      <c r="K111" s="95">
        <f>+(F111+G111+J111)*$K$4</f>
        <v>2.628</v>
      </c>
      <c r="L111" s="95">
        <f>+(F111+G111+J111+K111)*$L$4</f>
        <v>2.20752</v>
      </c>
      <c r="M111" s="78">
        <f t="shared" si="34"/>
        <v>26.73552</v>
      </c>
      <c r="N111" s="78">
        <f t="shared" si="35"/>
        <v>170.8399728</v>
      </c>
      <c r="O111" s="93"/>
    </row>
    <row r="112" s="57" customFormat="1" ht="48" outlineLevel="1" spans="1:15">
      <c r="A112" s="85">
        <v>18</v>
      </c>
      <c r="B112" s="70" t="s">
        <v>261</v>
      </c>
      <c r="C112" s="86" t="s">
        <v>266</v>
      </c>
      <c r="D112" s="78" t="s">
        <v>68</v>
      </c>
      <c r="E112" s="109">
        <v>2</v>
      </c>
      <c r="F112" s="69">
        <f t="shared" si="38"/>
        <v>6</v>
      </c>
      <c r="G112" s="69">
        <f>+$G$55</f>
        <v>8.08</v>
      </c>
      <c r="H112" s="69">
        <f>+$H$55</f>
        <v>8</v>
      </c>
      <c r="I112" s="69">
        <f t="shared" si="39"/>
        <v>0.01</v>
      </c>
      <c r="J112" s="69">
        <f>+$J$55</f>
        <v>5</v>
      </c>
      <c r="K112" s="95">
        <f>+(F112+G112+J112)*$K$4</f>
        <v>2.2896</v>
      </c>
      <c r="L112" s="95">
        <f>+(F112+G112+J112+K112)*$L$4</f>
        <v>1.923264</v>
      </c>
      <c r="M112" s="78">
        <f t="shared" si="34"/>
        <v>23.292864</v>
      </c>
      <c r="N112" s="78">
        <f t="shared" si="35"/>
        <v>46.585728</v>
      </c>
      <c r="O112" s="93"/>
    </row>
    <row r="113" s="57" customFormat="1" spans="1:15">
      <c r="A113" s="85">
        <v>19</v>
      </c>
      <c r="B113" s="107" t="s">
        <v>33</v>
      </c>
      <c r="C113" s="107"/>
      <c r="D113" s="107" t="s">
        <v>229</v>
      </c>
      <c r="E113" s="108"/>
      <c r="F113" s="85"/>
      <c r="G113" s="85"/>
      <c r="H113" s="85"/>
      <c r="I113" s="99"/>
      <c r="J113" s="85"/>
      <c r="K113" s="114"/>
      <c r="L113" s="67"/>
      <c r="M113" s="78"/>
      <c r="N113" s="78">
        <f>SUM(N95:N112)</f>
        <v>10259.54179376</v>
      </c>
      <c r="O113" s="93"/>
    </row>
    <row r="114" s="58" customFormat="1" spans="1:15">
      <c r="A114" s="110" t="s">
        <v>135</v>
      </c>
      <c r="B114" s="111" t="s">
        <v>276</v>
      </c>
      <c r="C114" s="111" t="s">
        <v>161</v>
      </c>
      <c r="D114" s="111" t="s">
        <v>229</v>
      </c>
      <c r="E114" s="112"/>
      <c r="F114" s="110"/>
      <c r="G114" s="110"/>
      <c r="H114" s="110"/>
      <c r="I114" s="116"/>
      <c r="J114" s="110"/>
      <c r="K114" s="117"/>
      <c r="L114" s="102"/>
      <c r="M114" s="103"/>
      <c r="N114" s="103">
        <f>N93+N113</f>
        <v>18598.724400592</v>
      </c>
      <c r="O114" s="104"/>
    </row>
    <row r="115" s="57" customFormat="1" spans="1:15">
      <c r="A115" s="65" t="s">
        <v>52</v>
      </c>
      <c r="B115" s="65" t="s">
        <v>277</v>
      </c>
      <c r="C115" s="65" t="s">
        <v>161</v>
      </c>
      <c r="D115" s="65" t="s">
        <v>162</v>
      </c>
      <c r="E115" s="66"/>
      <c r="F115" s="67"/>
      <c r="G115" s="67"/>
      <c r="H115" s="67"/>
      <c r="I115" s="92"/>
      <c r="J115" s="67"/>
      <c r="K115" s="114"/>
      <c r="L115" s="67"/>
      <c r="M115" s="67"/>
      <c r="N115" s="67"/>
      <c r="O115" s="93"/>
    </row>
    <row r="116" s="57" customFormat="1" ht="48" outlineLevel="1" spans="1:15">
      <c r="A116" s="85">
        <v>1</v>
      </c>
      <c r="B116" s="70" t="s">
        <v>163</v>
      </c>
      <c r="C116" s="71" t="s">
        <v>164</v>
      </c>
      <c r="D116" s="70" t="s">
        <v>109</v>
      </c>
      <c r="E116" s="72">
        <v>3</v>
      </c>
      <c r="F116" s="78">
        <f>+F6</f>
        <v>13</v>
      </c>
      <c r="G116" s="69">
        <f t="shared" ref="G116:G120" si="40">+H116*(1+I116)</f>
        <v>45.45</v>
      </c>
      <c r="H116" s="78">
        <f>+H6</f>
        <v>45</v>
      </c>
      <c r="I116" s="94">
        <v>0.01</v>
      </c>
      <c r="J116" s="78">
        <f>+J6</f>
        <v>5</v>
      </c>
      <c r="K116" s="95">
        <f>+(F116+G116+J116)*$K$4</f>
        <v>7.614</v>
      </c>
      <c r="L116" s="95">
        <f>+(F116+G116+J116+K116)*$L$4</f>
        <v>6.39576</v>
      </c>
      <c r="M116" s="78">
        <f t="shared" ref="M116:M145" si="41">F116+G116+J116+K116+L116</f>
        <v>77.45976</v>
      </c>
      <c r="N116" s="78">
        <f t="shared" ref="N116:N145" si="42">M116*E116</f>
        <v>232.37928</v>
      </c>
      <c r="O116" s="93" t="s">
        <v>165</v>
      </c>
    </row>
    <row r="117" s="57" customFormat="1" ht="48" outlineLevel="1" spans="1:15">
      <c r="A117" s="85">
        <v>2</v>
      </c>
      <c r="B117" s="70" t="s">
        <v>166</v>
      </c>
      <c r="C117" s="71" t="s">
        <v>167</v>
      </c>
      <c r="D117" s="70" t="s">
        <v>109</v>
      </c>
      <c r="E117" s="72">
        <v>4</v>
      </c>
      <c r="F117" s="78">
        <f>+F7</f>
        <v>13</v>
      </c>
      <c r="G117" s="69">
        <f t="shared" si="40"/>
        <v>48.48</v>
      </c>
      <c r="H117" s="73">
        <f>+H7</f>
        <v>48</v>
      </c>
      <c r="I117" s="113">
        <v>0.01</v>
      </c>
      <c r="J117" s="78">
        <f>+J7</f>
        <v>5</v>
      </c>
      <c r="K117" s="95">
        <f>+(F117+G117+J117)*$K$4</f>
        <v>7.9776</v>
      </c>
      <c r="L117" s="95">
        <f>+(F117+G117+J117+K117)*$L$4</f>
        <v>6.701184</v>
      </c>
      <c r="M117" s="78">
        <f t="shared" si="41"/>
        <v>81.158784</v>
      </c>
      <c r="N117" s="78">
        <f t="shared" si="42"/>
        <v>324.635136</v>
      </c>
      <c r="O117" s="93" t="s">
        <v>165</v>
      </c>
    </row>
    <row r="118" s="57" customFormat="1" ht="48" outlineLevel="1" spans="1:15">
      <c r="A118" s="85">
        <v>3</v>
      </c>
      <c r="B118" s="70" t="s">
        <v>168</v>
      </c>
      <c r="C118" s="71" t="s">
        <v>169</v>
      </c>
      <c r="D118" s="70" t="s">
        <v>109</v>
      </c>
      <c r="E118" s="72">
        <v>1</v>
      </c>
      <c r="F118" s="73">
        <f>+F8</f>
        <v>15</v>
      </c>
      <c r="G118" s="69">
        <f t="shared" si="40"/>
        <v>52.52</v>
      </c>
      <c r="H118" s="69">
        <f>+H8</f>
        <v>52</v>
      </c>
      <c r="I118" s="96">
        <v>0.01</v>
      </c>
      <c r="J118" s="69">
        <f>+J8</f>
        <v>3</v>
      </c>
      <c r="K118" s="95">
        <f>+(F118+G118+J118)*$K$4</f>
        <v>8.4624</v>
      </c>
      <c r="L118" s="95">
        <f>+(F118+G118+J118+K118)*$L$4</f>
        <v>7.108416</v>
      </c>
      <c r="M118" s="78">
        <f t="shared" si="41"/>
        <v>86.090816</v>
      </c>
      <c r="N118" s="78">
        <f t="shared" si="42"/>
        <v>86.090816</v>
      </c>
      <c r="O118" s="93" t="s">
        <v>165</v>
      </c>
    </row>
    <row r="119" s="57" customFormat="1" ht="48" outlineLevel="1" spans="1:15">
      <c r="A119" s="85">
        <v>4</v>
      </c>
      <c r="B119" s="70" t="s">
        <v>170</v>
      </c>
      <c r="C119" s="71" t="s">
        <v>171</v>
      </c>
      <c r="D119" s="70" t="s">
        <v>109</v>
      </c>
      <c r="E119" s="72">
        <v>1</v>
      </c>
      <c r="F119" s="73">
        <v>15</v>
      </c>
      <c r="G119" s="69">
        <f t="shared" si="40"/>
        <v>45.45</v>
      </c>
      <c r="H119" s="69">
        <v>45</v>
      </c>
      <c r="I119" s="96">
        <v>0.01</v>
      </c>
      <c r="J119" s="69">
        <v>3</v>
      </c>
      <c r="K119" s="95">
        <f>+(F119+G119+J119)*$K$4</f>
        <v>7.614</v>
      </c>
      <c r="L119" s="95">
        <f>+(F119+G119+J119+K119)*$L$4</f>
        <v>6.39576</v>
      </c>
      <c r="M119" s="78">
        <f t="shared" si="41"/>
        <v>77.45976</v>
      </c>
      <c r="N119" s="78">
        <f t="shared" si="42"/>
        <v>77.45976</v>
      </c>
      <c r="O119" s="93" t="s">
        <v>165</v>
      </c>
    </row>
    <row r="120" s="57" customFormat="1" ht="48" outlineLevel="1" spans="1:15">
      <c r="A120" s="85">
        <v>5</v>
      </c>
      <c r="B120" s="70" t="s">
        <v>172</v>
      </c>
      <c r="C120" s="71" t="s">
        <v>173</v>
      </c>
      <c r="D120" s="70" t="s">
        <v>109</v>
      </c>
      <c r="E120" s="72">
        <v>1</v>
      </c>
      <c r="F120" s="73">
        <f>+F10</f>
        <v>15</v>
      </c>
      <c r="G120" s="69">
        <f t="shared" si="40"/>
        <v>45.45</v>
      </c>
      <c r="H120" s="69">
        <f t="shared" ref="H120:H126" si="43">+H10</f>
        <v>45</v>
      </c>
      <c r="I120" s="96">
        <v>0.01</v>
      </c>
      <c r="J120" s="69">
        <f>+J10</f>
        <v>3</v>
      </c>
      <c r="K120" s="95">
        <f>+(F120+G120+J120)*$K$4</f>
        <v>7.614</v>
      </c>
      <c r="L120" s="95">
        <f>+(F120+G120+J120+K120)*$L$4</f>
        <v>6.39576</v>
      </c>
      <c r="M120" s="78">
        <f t="shared" si="41"/>
        <v>77.45976</v>
      </c>
      <c r="N120" s="78">
        <f t="shared" si="42"/>
        <v>77.45976</v>
      </c>
      <c r="O120" s="93" t="s">
        <v>165</v>
      </c>
    </row>
    <row r="121" s="57" customFormat="1" ht="48" outlineLevel="1" spans="1:15">
      <c r="A121" s="85">
        <v>6</v>
      </c>
      <c r="B121" s="70" t="s">
        <v>174</v>
      </c>
      <c r="C121" s="71" t="s">
        <v>175</v>
      </c>
      <c r="D121" s="70" t="s">
        <v>68</v>
      </c>
      <c r="E121" s="74">
        <v>10.26</v>
      </c>
      <c r="F121" s="78">
        <f>+F11</f>
        <v>7.5</v>
      </c>
      <c r="G121" s="69">
        <f t="shared" ref="G121:G124" si="44">+H121*(1+I121)</f>
        <v>12.12</v>
      </c>
      <c r="H121" s="78">
        <f t="shared" si="43"/>
        <v>12</v>
      </c>
      <c r="I121" s="94">
        <v>0.01</v>
      </c>
      <c r="J121" s="78">
        <f>+J11</f>
        <v>2</v>
      </c>
      <c r="K121" s="95">
        <f>+(F121+G121+J121)*$K$4</f>
        <v>2.5944</v>
      </c>
      <c r="L121" s="95">
        <f>+(F121+G121+J121+K121)*$L$4</f>
        <v>2.179296</v>
      </c>
      <c r="M121" s="78">
        <f t="shared" si="41"/>
        <v>26.393696</v>
      </c>
      <c r="N121" s="78">
        <f t="shared" si="42"/>
        <v>270.79932096</v>
      </c>
      <c r="O121" s="93" t="s">
        <v>165</v>
      </c>
    </row>
    <row r="122" s="57" customFormat="1" ht="60" outlineLevel="1" spans="1:15">
      <c r="A122" s="85">
        <v>7</v>
      </c>
      <c r="B122" s="70" t="s">
        <v>176</v>
      </c>
      <c r="C122" s="71" t="s">
        <v>177</v>
      </c>
      <c r="D122" s="70" t="s">
        <v>109</v>
      </c>
      <c r="E122" s="72">
        <v>1</v>
      </c>
      <c r="F122" s="78">
        <f>+F12</f>
        <v>38</v>
      </c>
      <c r="G122" s="69">
        <f t="shared" si="44"/>
        <v>444.4</v>
      </c>
      <c r="H122" s="78">
        <f t="shared" si="43"/>
        <v>440</v>
      </c>
      <c r="I122" s="96">
        <v>0.01</v>
      </c>
      <c r="J122" s="78">
        <f>+J12</f>
        <v>12</v>
      </c>
      <c r="K122" s="95">
        <f>+(F122+G122+J122)*$K$4</f>
        <v>59.328</v>
      </c>
      <c r="L122" s="95">
        <f>+(F122+G122+J122+K122)*$L$4</f>
        <v>49.83552</v>
      </c>
      <c r="M122" s="78">
        <f t="shared" si="41"/>
        <v>603.56352</v>
      </c>
      <c r="N122" s="78">
        <f t="shared" si="42"/>
        <v>603.56352</v>
      </c>
      <c r="O122" s="93" t="s">
        <v>165</v>
      </c>
    </row>
    <row r="123" s="57" customFormat="1" ht="36" outlineLevel="1" spans="1:15">
      <c r="A123" s="85">
        <v>8</v>
      </c>
      <c r="B123" s="70" t="s">
        <v>178</v>
      </c>
      <c r="C123" s="71" t="s">
        <v>179</v>
      </c>
      <c r="D123" s="70" t="s">
        <v>109</v>
      </c>
      <c r="E123" s="72">
        <v>1</v>
      </c>
      <c r="F123" s="78">
        <f>+F13</f>
        <v>15</v>
      </c>
      <c r="G123" s="69">
        <f t="shared" ref="G123:G128" si="45">+H123*(1+I123)</f>
        <v>55.55</v>
      </c>
      <c r="H123" s="78">
        <f t="shared" si="43"/>
        <v>55</v>
      </c>
      <c r="I123" s="96">
        <v>0.01</v>
      </c>
      <c r="J123" s="78">
        <f>+J13</f>
        <v>3</v>
      </c>
      <c r="K123" s="95">
        <f>+(F123+G123+J123)*$K$4</f>
        <v>8.826</v>
      </c>
      <c r="L123" s="95">
        <f>+(F123+G123+J123+K123)*$L$4</f>
        <v>7.41384</v>
      </c>
      <c r="M123" s="78">
        <f t="shared" si="41"/>
        <v>89.78984</v>
      </c>
      <c r="N123" s="78">
        <f t="shared" si="42"/>
        <v>89.78984</v>
      </c>
      <c r="O123" s="93" t="s">
        <v>165</v>
      </c>
    </row>
    <row r="124" s="57" customFormat="1" ht="36" outlineLevel="1" spans="1:15">
      <c r="A124" s="85">
        <v>9</v>
      </c>
      <c r="B124" s="70" t="s">
        <v>180</v>
      </c>
      <c r="C124" s="71" t="s">
        <v>181</v>
      </c>
      <c r="D124" s="70" t="s">
        <v>109</v>
      </c>
      <c r="E124" s="72">
        <v>1</v>
      </c>
      <c r="F124" s="69">
        <f>+F14</f>
        <v>5</v>
      </c>
      <c r="G124" s="69">
        <f t="shared" si="44"/>
        <v>6.06</v>
      </c>
      <c r="H124" s="69">
        <f t="shared" si="43"/>
        <v>6</v>
      </c>
      <c r="I124" s="96">
        <v>0.01</v>
      </c>
      <c r="J124" s="69">
        <f>+J14</f>
        <v>1</v>
      </c>
      <c r="K124" s="95">
        <f>+(F124+G124+J124)*$K$4</f>
        <v>1.4472</v>
      </c>
      <c r="L124" s="95">
        <f>+(F124+G124+J124+K124)*$L$4</f>
        <v>1.215648</v>
      </c>
      <c r="M124" s="78">
        <f t="shared" si="41"/>
        <v>14.722848</v>
      </c>
      <c r="N124" s="78">
        <f t="shared" si="42"/>
        <v>14.722848</v>
      </c>
      <c r="O124" s="93" t="s">
        <v>165</v>
      </c>
    </row>
    <row r="125" s="57" customFormat="1" ht="48" outlineLevel="1" spans="1:15">
      <c r="A125" s="85">
        <v>10</v>
      </c>
      <c r="B125" s="70" t="s">
        <v>182</v>
      </c>
      <c r="C125" s="71" t="s">
        <v>183</v>
      </c>
      <c r="D125" s="70" t="s">
        <v>109</v>
      </c>
      <c r="E125" s="72">
        <v>11</v>
      </c>
      <c r="F125" s="73">
        <f t="shared" ref="F125:F128" si="46">+$F$15</f>
        <v>11</v>
      </c>
      <c r="G125" s="69">
        <f t="shared" si="45"/>
        <v>21.21</v>
      </c>
      <c r="H125" s="73">
        <f t="shared" si="43"/>
        <v>21</v>
      </c>
      <c r="I125" s="94">
        <v>0.01</v>
      </c>
      <c r="J125" s="73">
        <f t="shared" ref="J125:J128" si="47">+$J$15</f>
        <v>3</v>
      </c>
      <c r="K125" s="95">
        <f>+(F125+G125+J125)*$K$4</f>
        <v>4.2252</v>
      </c>
      <c r="L125" s="95">
        <f>+(F125+G125+J125+K125)*$L$4</f>
        <v>3.549168</v>
      </c>
      <c r="M125" s="78">
        <f t="shared" si="41"/>
        <v>42.984368</v>
      </c>
      <c r="N125" s="78">
        <f t="shared" si="42"/>
        <v>472.828048</v>
      </c>
      <c r="O125" s="93" t="s">
        <v>184</v>
      </c>
    </row>
    <row r="126" s="57" customFormat="1" ht="48" outlineLevel="1" spans="1:15">
      <c r="A126" s="85">
        <v>11</v>
      </c>
      <c r="B126" s="70" t="s">
        <v>185</v>
      </c>
      <c r="C126" s="71" t="s">
        <v>186</v>
      </c>
      <c r="D126" s="70" t="s">
        <v>109</v>
      </c>
      <c r="E126" s="72">
        <v>3</v>
      </c>
      <c r="F126" s="73">
        <f t="shared" si="46"/>
        <v>11</v>
      </c>
      <c r="G126" s="69">
        <f t="shared" si="45"/>
        <v>16.16</v>
      </c>
      <c r="H126" s="73">
        <f t="shared" si="43"/>
        <v>16</v>
      </c>
      <c r="I126" s="94">
        <v>0.01</v>
      </c>
      <c r="J126" s="73">
        <f t="shared" si="47"/>
        <v>3</v>
      </c>
      <c r="K126" s="95">
        <f>+(F126+G126+J126)*$K$4</f>
        <v>3.6192</v>
      </c>
      <c r="L126" s="95">
        <f>+(F126+G126+J126+K126)*$L$4</f>
        <v>3.040128</v>
      </c>
      <c r="M126" s="78">
        <f t="shared" si="41"/>
        <v>36.819328</v>
      </c>
      <c r="N126" s="78">
        <f t="shared" si="42"/>
        <v>110.457984</v>
      </c>
      <c r="O126" s="93" t="s">
        <v>184</v>
      </c>
    </row>
    <row r="127" s="57" customFormat="1" ht="48" outlineLevel="1" spans="1:15">
      <c r="A127" s="85">
        <v>12</v>
      </c>
      <c r="B127" s="70" t="s">
        <v>187</v>
      </c>
      <c r="C127" s="71" t="s">
        <v>188</v>
      </c>
      <c r="D127" s="70" t="s">
        <v>109</v>
      </c>
      <c r="E127" s="72">
        <v>6</v>
      </c>
      <c r="F127" s="73">
        <f t="shared" si="46"/>
        <v>11</v>
      </c>
      <c r="G127" s="69">
        <f t="shared" si="45"/>
        <v>22.22</v>
      </c>
      <c r="H127" s="73">
        <v>22</v>
      </c>
      <c r="I127" s="94">
        <v>0.01</v>
      </c>
      <c r="J127" s="73">
        <f t="shared" si="47"/>
        <v>3</v>
      </c>
      <c r="K127" s="95">
        <f>+(F127+G127+J127)*$K$4</f>
        <v>4.3464</v>
      </c>
      <c r="L127" s="95">
        <f>+(F127+G127+J127+K127)*$L$4</f>
        <v>3.650976</v>
      </c>
      <c r="M127" s="78">
        <f t="shared" si="41"/>
        <v>44.217376</v>
      </c>
      <c r="N127" s="78">
        <f t="shared" si="42"/>
        <v>265.304256</v>
      </c>
      <c r="O127" s="93" t="s">
        <v>184</v>
      </c>
    </row>
    <row r="128" s="57" customFormat="1" ht="48" outlineLevel="1" spans="1:15">
      <c r="A128" s="85">
        <v>13</v>
      </c>
      <c r="B128" s="70" t="s">
        <v>189</v>
      </c>
      <c r="C128" s="71" t="s">
        <v>190</v>
      </c>
      <c r="D128" s="70" t="s">
        <v>109</v>
      </c>
      <c r="E128" s="72">
        <v>1</v>
      </c>
      <c r="F128" s="73">
        <f t="shared" si="46"/>
        <v>11</v>
      </c>
      <c r="G128" s="69">
        <f t="shared" si="45"/>
        <v>32.32</v>
      </c>
      <c r="H128" s="73">
        <f>+H18</f>
        <v>32</v>
      </c>
      <c r="I128" s="94">
        <v>0.01</v>
      </c>
      <c r="J128" s="73">
        <f t="shared" si="47"/>
        <v>3</v>
      </c>
      <c r="K128" s="95">
        <f>+(F128+G128+J128)*$K$4</f>
        <v>5.5584</v>
      </c>
      <c r="L128" s="95">
        <f>+(F128+G128+J128+K128)*$L$4</f>
        <v>4.669056</v>
      </c>
      <c r="M128" s="78">
        <f t="shared" si="41"/>
        <v>56.547456</v>
      </c>
      <c r="N128" s="78">
        <f t="shared" si="42"/>
        <v>56.547456</v>
      </c>
      <c r="O128" s="93" t="s">
        <v>184</v>
      </c>
    </row>
    <row r="129" s="57" customFormat="1" ht="48" outlineLevel="1" spans="1:15">
      <c r="A129" s="85">
        <v>14</v>
      </c>
      <c r="B129" s="70" t="s">
        <v>191</v>
      </c>
      <c r="C129" s="71" t="s">
        <v>192</v>
      </c>
      <c r="D129" s="70" t="s">
        <v>109</v>
      </c>
      <c r="E129" s="72">
        <v>1</v>
      </c>
      <c r="F129" s="73">
        <f t="shared" ref="F128:F132" si="48">+$F$18</f>
        <v>11</v>
      </c>
      <c r="G129" s="69">
        <f t="shared" ref="G128:G132" si="49">+H129*(1+I129)</f>
        <v>35.35</v>
      </c>
      <c r="H129" s="73">
        <f>+H75</f>
        <v>35</v>
      </c>
      <c r="I129" s="94">
        <v>0.01</v>
      </c>
      <c r="J129" s="73">
        <f t="shared" ref="J128:J132" si="50">+$J$18</f>
        <v>3</v>
      </c>
      <c r="K129" s="95">
        <f>+(F129+G129+J129)*$K$4</f>
        <v>5.922</v>
      </c>
      <c r="L129" s="95">
        <f>+(F129+G129+J129+K129)*$L$4</f>
        <v>4.97448</v>
      </c>
      <c r="M129" s="78">
        <f t="shared" si="41"/>
        <v>60.24648</v>
      </c>
      <c r="N129" s="78">
        <f t="shared" si="42"/>
        <v>60.24648</v>
      </c>
      <c r="O129" s="93" t="s">
        <v>184</v>
      </c>
    </row>
    <row r="130" s="57" customFormat="1" ht="48" outlineLevel="1" spans="1:15">
      <c r="A130" s="85">
        <v>15</v>
      </c>
      <c r="B130" s="70" t="s">
        <v>193</v>
      </c>
      <c r="C130" s="71" t="s">
        <v>194</v>
      </c>
      <c r="D130" s="70" t="s">
        <v>109</v>
      </c>
      <c r="E130" s="72">
        <v>1</v>
      </c>
      <c r="F130" s="73">
        <f t="shared" si="48"/>
        <v>11</v>
      </c>
      <c r="G130" s="69">
        <f t="shared" si="49"/>
        <v>26.26</v>
      </c>
      <c r="H130" s="73">
        <f>+H76</f>
        <v>26</v>
      </c>
      <c r="I130" s="94">
        <v>0.01</v>
      </c>
      <c r="J130" s="73">
        <f t="shared" si="50"/>
        <v>3</v>
      </c>
      <c r="K130" s="95">
        <f>+(F130+G130+J130)*$K$4</f>
        <v>4.8312</v>
      </c>
      <c r="L130" s="95">
        <f>+(F130+G130+J130+K130)*$L$4</f>
        <v>4.058208</v>
      </c>
      <c r="M130" s="78">
        <f t="shared" si="41"/>
        <v>49.149408</v>
      </c>
      <c r="N130" s="78">
        <f t="shared" si="42"/>
        <v>49.149408</v>
      </c>
      <c r="O130" s="93" t="s">
        <v>184</v>
      </c>
    </row>
    <row r="131" s="57" customFormat="1" ht="48" outlineLevel="1" spans="1:15">
      <c r="A131" s="85">
        <v>16</v>
      </c>
      <c r="B131" s="70" t="s">
        <v>195</v>
      </c>
      <c r="C131" s="71" t="s">
        <v>196</v>
      </c>
      <c r="D131" s="70" t="s">
        <v>109</v>
      </c>
      <c r="E131" s="72">
        <v>1</v>
      </c>
      <c r="F131" s="73">
        <f t="shared" si="48"/>
        <v>11</v>
      </c>
      <c r="G131" s="69">
        <f t="shared" si="49"/>
        <v>22.22</v>
      </c>
      <c r="H131" s="73">
        <f>+H78</f>
        <v>22</v>
      </c>
      <c r="I131" s="94">
        <v>0.01</v>
      </c>
      <c r="J131" s="73">
        <f t="shared" si="50"/>
        <v>3</v>
      </c>
      <c r="K131" s="95">
        <f>+(F131+G131+J131)*$K$4</f>
        <v>4.3464</v>
      </c>
      <c r="L131" s="95">
        <f>+(F131+G131+J131+K131)*$L$4</f>
        <v>3.650976</v>
      </c>
      <c r="M131" s="78">
        <f t="shared" si="41"/>
        <v>44.217376</v>
      </c>
      <c r="N131" s="78">
        <f t="shared" si="42"/>
        <v>44.217376</v>
      </c>
      <c r="O131" s="93" t="s">
        <v>184</v>
      </c>
    </row>
    <row r="132" s="57" customFormat="1" ht="48" outlineLevel="1" spans="1:15">
      <c r="A132" s="85">
        <v>17</v>
      </c>
      <c r="B132" s="70" t="s">
        <v>199</v>
      </c>
      <c r="C132" s="71" t="s">
        <v>200</v>
      </c>
      <c r="D132" s="70" t="s">
        <v>109</v>
      </c>
      <c r="E132" s="72">
        <v>3</v>
      </c>
      <c r="F132" s="73">
        <f t="shared" si="48"/>
        <v>11</v>
      </c>
      <c r="G132" s="69">
        <f t="shared" si="49"/>
        <v>22.22</v>
      </c>
      <c r="H132" s="73">
        <f>+H78</f>
        <v>22</v>
      </c>
      <c r="I132" s="94">
        <v>0.01</v>
      </c>
      <c r="J132" s="73">
        <f t="shared" si="50"/>
        <v>3</v>
      </c>
      <c r="K132" s="95">
        <f>+(F132+G132+J132)*$K$4</f>
        <v>4.3464</v>
      </c>
      <c r="L132" s="95">
        <f>+(F132+G132+J132+K132)*$L$4</f>
        <v>3.650976</v>
      </c>
      <c r="M132" s="78">
        <f t="shared" si="41"/>
        <v>44.217376</v>
      </c>
      <c r="N132" s="78">
        <f t="shared" si="42"/>
        <v>132.652128</v>
      </c>
      <c r="O132" s="93" t="s">
        <v>184</v>
      </c>
    </row>
    <row r="133" s="57" customFormat="1" ht="48" outlineLevel="1" spans="1:15">
      <c r="A133" s="85">
        <v>18</v>
      </c>
      <c r="B133" s="70" t="s">
        <v>201</v>
      </c>
      <c r="C133" s="71" t="s">
        <v>202</v>
      </c>
      <c r="D133" s="70" t="s">
        <v>109</v>
      </c>
      <c r="E133" s="72">
        <v>2</v>
      </c>
      <c r="F133" s="73">
        <f t="shared" ref="F133:F136" si="51">+$F$18</f>
        <v>11</v>
      </c>
      <c r="G133" s="69">
        <f t="shared" ref="G131:G134" si="52">+H133*(1+I133)</f>
        <v>24.24</v>
      </c>
      <c r="H133" s="73">
        <f>+H24</f>
        <v>24</v>
      </c>
      <c r="I133" s="94">
        <v>0.01</v>
      </c>
      <c r="J133" s="73">
        <f t="shared" ref="J133:J136" si="53">+$J$18</f>
        <v>3</v>
      </c>
      <c r="K133" s="95">
        <f>+(F133+G133+J133)*$K$4</f>
        <v>4.5888</v>
      </c>
      <c r="L133" s="95">
        <f>+(F133+G133+J133+K133)*$L$4</f>
        <v>3.854592</v>
      </c>
      <c r="M133" s="78">
        <f t="shared" si="41"/>
        <v>46.683392</v>
      </c>
      <c r="N133" s="78">
        <f t="shared" si="42"/>
        <v>93.366784</v>
      </c>
      <c r="O133" s="93" t="s">
        <v>184</v>
      </c>
    </row>
    <row r="134" s="57" customFormat="1" ht="48" outlineLevel="1" spans="1:15">
      <c r="A134" s="85">
        <v>19</v>
      </c>
      <c r="B134" s="70" t="s">
        <v>203</v>
      </c>
      <c r="C134" s="71" t="s">
        <v>204</v>
      </c>
      <c r="D134" s="70" t="s">
        <v>109</v>
      </c>
      <c r="E134" s="72">
        <v>1</v>
      </c>
      <c r="F134" s="73">
        <f t="shared" si="51"/>
        <v>11</v>
      </c>
      <c r="G134" s="69">
        <f t="shared" si="52"/>
        <v>45.45</v>
      </c>
      <c r="H134" s="73">
        <f>+H80</f>
        <v>45</v>
      </c>
      <c r="I134" s="94">
        <v>0.01</v>
      </c>
      <c r="J134" s="73">
        <f t="shared" si="53"/>
        <v>3</v>
      </c>
      <c r="K134" s="95">
        <f>+(F134+G134+J134)*$K$4</f>
        <v>7.134</v>
      </c>
      <c r="L134" s="95">
        <f>+(F134+G134+J134+K134)*$L$4</f>
        <v>5.99256</v>
      </c>
      <c r="M134" s="78">
        <f t="shared" si="41"/>
        <v>72.57656</v>
      </c>
      <c r="N134" s="78">
        <f t="shared" si="42"/>
        <v>72.57656</v>
      </c>
      <c r="O134" s="93" t="s">
        <v>184</v>
      </c>
    </row>
    <row r="135" s="57" customFormat="1" ht="60" outlineLevel="1" spans="1:15">
      <c r="A135" s="85">
        <v>20</v>
      </c>
      <c r="B135" s="70" t="s">
        <v>205</v>
      </c>
      <c r="C135" s="71" t="s">
        <v>206</v>
      </c>
      <c r="D135" s="70" t="s">
        <v>109</v>
      </c>
      <c r="E135" s="72">
        <v>1</v>
      </c>
      <c r="F135" s="73">
        <f t="shared" si="51"/>
        <v>11</v>
      </c>
      <c r="G135" s="69">
        <f t="shared" ref="G134:G138" si="54">+H135*(1+I135)</f>
        <v>68.68</v>
      </c>
      <c r="H135" s="73">
        <f>+H81</f>
        <v>68</v>
      </c>
      <c r="I135" s="94">
        <v>0.01</v>
      </c>
      <c r="J135" s="73">
        <f t="shared" si="53"/>
        <v>3</v>
      </c>
      <c r="K135" s="95">
        <f>+(F135+G135+J135)*$K$4</f>
        <v>9.9216</v>
      </c>
      <c r="L135" s="95">
        <f>+(F135+G135+J135+K135)*$L$4</f>
        <v>8.334144</v>
      </c>
      <c r="M135" s="78">
        <f t="shared" si="41"/>
        <v>100.935744</v>
      </c>
      <c r="N135" s="78">
        <f t="shared" si="42"/>
        <v>100.935744</v>
      </c>
      <c r="O135" s="93"/>
    </row>
    <row r="136" s="57" customFormat="1" ht="48" outlineLevel="1" spans="1:15">
      <c r="A136" s="85">
        <v>21</v>
      </c>
      <c r="B136" s="70" t="s">
        <v>207</v>
      </c>
      <c r="C136" s="71" t="s">
        <v>208</v>
      </c>
      <c r="D136" s="70" t="s">
        <v>109</v>
      </c>
      <c r="E136" s="72">
        <v>1</v>
      </c>
      <c r="F136" s="73">
        <f t="shared" si="51"/>
        <v>11</v>
      </c>
      <c r="G136" s="69">
        <f t="shared" si="54"/>
        <v>28.28</v>
      </c>
      <c r="H136" s="73">
        <f>+H82</f>
        <v>28</v>
      </c>
      <c r="I136" s="94">
        <v>0.01</v>
      </c>
      <c r="J136" s="73">
        <f t="shared" si="53"/>
        <v>3</v>
      </c>
      <c r="K136" s="95">
        <f>+(F136+G136+J136)*$K$4</f>
        <v>5.0736</v>
      </c>
      <c r="L136" s="95">
        <f>+(F136+G136+J136+K136)*$L$4</f>
        <v>4.261824</v>
      </c>
      <c r="M136" s="78">
        <f t="shared" si="41"/>
        <v>51.615424</v>
      </c>
      <c r="N136" s="78">
        <f t="shared" si="42"/>
        <v>51.615424</v>
      </c>
      <c r="O136" s="93" t="s">
        <v>184</v>
      </c>
    </row>
    <row r="137" s="57" customFormat="1" ht="36" outlineLevel="1" spans="1:15">
      <c r="A137" s="85">
        <v>22</v>
      </c>
      <c r="B137" s="70" t="s">
        <v>209</v>
      </c>
      <c r="C137" s="71" t="s">
        <v>210</v>
      </c>
      <c r="D137" s="70" t="s">
        <v>109</v>
      </c>
      <c r="E137" s="72">
        <v>4</v>
      </c>
      <c r="F137" s="78">
        <f>+F28</f>
        <v>6</v>
      </c>
      <c r="G137" s="69">
        <f t="shared" si="54"/>
        <v>4.04</v>
      </c>
      <c r="H137" s="69">
        <f>+H28</f>
        <v>4</v>
      </c>
      <c r="I137" s="96">
        <v>0.01</v>
      </c>
      <c r="J137" s="69">
        <f>+J28</f>
        <v>1</v>
      </c>
      <c r="K137" s="95">
        <f>+(F137+G137+J137)*$K$4</f>
        <v>1.3248</v>
      </c>
      <c r="L137" s="95">
        <f>+(F137+G137+J137+K137)*$L$4</f>
        <v>1.112832</v>
      </c>
      <c r="M137" s="78">
        <f t="shared" si="41"/>
        <v>13.477632</v>
      </c>
      <c r="N137" s="78">
        <f t="shared" si="42"/>
        <v>53.910528</v>
      </c>
      <c r="O137" s="93"/>
    </row>
    <row r="138" s="57" customFormat="1" ht="36" outlineLevel="1" spans="1:15">
      <c r="A138" s="85">
        <v>23</v>
      </c>
      <c r="B138" s="70" t="s">
        <v>211</v>
      </c>
      <c r="C138" s="71" t="s">
        <v>212</v>
      </c>
      <c r="D138" s="70" t="s">
        <v>109</v>
      </c>
      <c r="E138" s="72">
        <v>1</v>
      </c>
      <c r="F138" s="73">
        <f>+$F$15</f>
        <v>11</v>
      </c>
      <c r="G138" s="69">
        <f t="shared" si="54"/>
        <v>24.24</v>
      </c>
      <c r="H138" s="73">
        <f>+H29</f>
        <v>24</v>
      </c>
      <c r="I138" s="94">
        <v>0.01</v>
      </c>
      <c r="J138" s="73">
        <f>+$J$15</f>
        <v>3</v>
      </c>
      <c r="K138" s="95">
        <f>+(F138+G138+J138)*$K$4</f>
        <v>4.5888</v>
      </c>
      <c r="L138" s="95">
        <f>+(F138+G138+J138+K138)*$L$4</f>
        <v>3.854592</v>
      </c>
      <c r="M138" s="78">
        <f t="shared" si="41"/>
        <v>46.683392</v>
      </c>
      <c r="N138" s="78">
        <f t="shared" si="42"/>
        <v>46.683392</v>
      </c>
      <c r="O138" s="93" t="s">
        <v>184</v>
      </c>
    </row>
    <row r="139" s="57" customFormat="1" ht="36" outlineLevel="1" spans="1:15">
      <c r="A139" s="85">
        <v>24</v>
      </c>
      <c r="B139" s="70" t="s">
        <v>278</v>
      </c>
      <c r="C139" s="71" t="s">
        <v>214</v>
      </c>
      <c r="D139" s="70" t="s">
        <v>109</v>
      </c>
      <c r="E139" s="72">
        <v>1</v>
      </c>
      <c r="F139" s="78">
        <f>++F138</f>
        <v>11</v>
      </c>
      <c r="G139" s="78">
        <f t="shared" ref="G139:L139" si="55">++G138</f>
        <v>24.24</v>
      </c>
      <c r="H139" s="78">
        <f t="shared" si="55"/>
        <v>24</v>
      </c>
      <c r="I139" s="78">
        <f t="shared" si="55"/>
        <v>0.01</v>
      </c>
      <c r="J139" s="78">
        <f t="shared" si="55"/>
        <v>3</v>
      </c>
      <c r="K139" s="78">
        <f t="shared" si="55"/>
        <v>4.5888</v>
      </c>
      <c r="L139" s="78">
        <f t="shared" si="55"/>
        <v>3.854592</v>
      </c>
      <c r="M139" s="78">
        <f t="shared" si="41"/>
        <v>46.683392</v>
      </c>
      <c r="N139" s="78">
        <f t="shared" si="42"/>
        <v>46.683392</v>
      </c>
      <c r="O139" s="93" t="s">
        <v>184</v>
      </c>
    </row>
    <row r="140" s="57" customFormat="1" ht="48" outlineLevel="1" spans="1:15">
      <c r="A140" s="85">
        <v>25</v>
      </c>
      <c r="B140" s="70" t="s">
        <v>217</v>
      </c>
      <c r="C140" s="71" t="s">
        <v>218</v>
      </c>
      <c r="D140" s="70" t="s">
        <v>162</v>
      </c>
      <c r="E140" s="72">
        <v>1</v>
      </c>
      <c r="F140" s="69">
        <f>+F32</f>
        <v>58</v>
      </c>
      <c r="G140" s="69">
        <f>+H140*(1+I140)</f>
        <v>65.65</v>
      </c>
      <c r="H140" s="69">
        <f>+H32</f>
        <v>65</v>
      </c>
      <c r="I140" s="96">
        <v>0.01</v>
      </c>
      <c r="J140" s="69">
        <f>+J32</f>
        <v>45</v>
      </c>
      <c r="K140" s="95">
        <f>+(F140+G140+J140)*$K$4</f>
        <v>20.238</v>
      </c>
      <c r="L140" s="95">
        <f>+(F140+G140+J140+K140)*$L$4</f>
        <v>16.99992</v>
      </c>
      <c r="M140" s="78">
        <f t="shared" si="41"/>
        <v>205.88792</v>
      </c>
      <c r="N140" s="73">
        <f t="shared" si="42"/>
        <v>205.88792</v>
      </c>
      <c r="O140" s="93"/>
    </row>
    <row r="141" s="57" customFormat="1" ht="48" outlineLevel="1" spans="1:15">
      <c r="A141" s="85">
        <v>26</v>
      </c>
      <c r="B141" s="76" t="s">
        <v>219</v>
      </c>
      <c r="C141" s="77" t="s">
        <v>220</v>
      </c>
      <c r="D141" s="78" t="s">
        <v>68</v>
      </c>
      <c r="E141" s="78">
        <f>20.43+132.77</f>
        <v>153.2</v>
      </c>
      <c r="F141" s="73">
        <v>1</v>
      </c>
      <c r="G141" s="73">
        <f>+G33</f>
        <v>2.323</v>
      </c>
      <c r="H141" s="73">
        <f>+H88</f>
        <v>2.3</v>
      </c>
      <c r="I141" s="94">
        <v>0.01</v>
      </c>
      <c r="J141" s="73">
        <v>0.5</v>
      </c>
      <c r="K141" s="95">
        <f>+(F141+G141+J141)*$K$4</f>
        <v>0.45876</v>
      </c>
      <c r="L141" s="95">
        <f>+(F141+G141+J141+K141)*$L$4</f>
        <v>0.3853584</v>
      </c>
      <c r="M141" s="78">
        <f t="shared" si="41"/>
        <v>4.6671184</v>
      </c>
      <c r="N141" s="78">
        <f t="shared" si="42"/>
        <v>715.00253888</v>
      </c>
      <c r="O141" s="93"/>
    </row>
    <row r="142" s="57" customFormat="1" ht="48" outlineLevel="1" spans="1:15">
      <c r="A142" s="85">
        <v>27</v>
      </c>
      <c r="B142" s="76" t="s">
        <v>219</v>
      </c>
      <c r="C142" s="77" t="s">
        <v>221</v>
      </c>
      <c r="D142" s="78" t="s">
        <v>68</v>
      </c>
      <c r="E142" s="78">
        <v>254.36</v>
      </c>
      <c r="F142" s="73">
        <f>+$F$33</f>
        <v>0.8</v>
      </c>
      <c r="G142" s="73">
        <f>+G34</f>
        <v>3.333</v>
      </c>
      <c r="H142" s="73">
        <f>+H89</f>
        <v>3.3</v>
      </c>
      <c r="I142" s="94">
        <v>0.01</v>
      </c>
      <c r="J142" s="73">
        <f>+$J$33</f>
        <v>0.5</v>
      </c>
      <c r="K142" s="95">
        <f>+(F142+G142+J142)*$K$4</f>
        <v>0.55596</v>
      </c>
      <c r="L142" s="95">
        <f>+(F142+G142+J142+K142)*$L$4</f>
        <v>0.4670064</v>
      </c>
      <c r="M142" s="78">
        <f t="shared" si="41"/>
        <v>5.6559664</v>
      </c>
      <c r="N142" s="78">
        <f t="shared" si="42"/>
        <v>1438.651613504</v>
      </c>
      <c r="O142" s="93"/>
    </row>
    <row r="143" s="57" customFormat="1" ht="48" outlineLevel="1" spans="1:15">
      <c r="A143" s="85">
        <v>28</v>
      </c>
      <c r="B143" s="76" t="s">
        <v>222</v>
      </c>
      <c r="C143" s="77" t="s">
        <v>223</v>
      </c>
      <c r="D143" s="78" t="s">
        <v>68</v>
      </c>
      <c r="E143" s="78">
        <v>8.06</v>
      </c>
      <c r="F143" s="78">
        <f>+F35</f>
        <v>0.8</v>
      </c>
      <c r="G143" s="69">
        <f>+H143*(1+I143)</f>
        <v>1.919</v>
      </c>
      <c r="H143" s="78">
        <f>+H35</f>
        <v>1.9</v>
      </c>
      <c r="I143" s="96">
        <v>0.01</v>
      </c>
      <c r="J143" s="69">
        <f>+J35</f>
        <v>0.5</v>
      </c>
      <c r="K143" s="95">
        <f>+(F143+G143+J143)*$K$4</f>
        <v>0.38628</v>
      </c>
      <c r="L143" s="95">
        <f>+(F143+G143+J143+K143)*$L$4</f>
        <v>0.3244752</v>
      </c>
      <c r="M143" s="78">
        <f t="shared" si="41"/>
        <v>3.9297552</v>
      </c>
      <c r="N143" s="78">
        <f t="shared" si="42"/>
        <v>31.673826912</v>
      </c>
      <c r="O143" s="93"/>
    </row>
    <row r="144" s="57" customFormat="1" ht="48" outlineLevel="1" spans="1:15">
      <c r="A144" s="85">
        <v>29</v>
      </c>
      <c r="B144" s="76" t="s">
        <v>224</v>
      </c>
      <c r="C144" s="77" t="s">
        <v>225</v>
      </c>
      <c r="D144" s="78" t="s">
        <v>68</v>
      </c>
      <c r="E144" s="78">
        <v>3.8</v>
      </c>
      <c r="F144" s="78">
        <f>+F36</f>
        <v>0.6</v>
      </c>
      <c r="G144" s="69">
        <f>+H144*(1+I144)</f>
        <v>0.505</v>
      </c>
      <c r="H144" s="78">
        <f>+H36</f>
        <v>0.5</v>
      </c>
      <c r="I144" s="94">
        <v>0.01</v>
      </c>
      <c r="J144" s="78">
        <f>+J36</f>
        <v>0.2</v>
      </c>
      <c r="K144" s="95">
        <f>+(F144+G144+J144)*$K$4</f>
        <v>0.1566</v>
      </c>
      <c r="L144" s="95">
        <f>+(F144+G144+J144+K144)*$L$4</f>
        <v>0.131544</v>
      </c>
      <c r="M144" s="78">
        <f t="shared" si="41"/>
        <v>1.593144</v>
      </c>
      <c r="N144" s="78">
        <f t="shared" si="42"/>
        <v>6.0539472</v>
      </c>
      <c r="O144" s="93" t="s">
        <v>226</v>
      </c>
    </row>
    <row r="145" s="57" customFormat="1" ht="48" outlineLevel="1" spans="1:15">
      <c r="A145" s="85">
        <v>30</v>
      </c>
      <c r="B145" s="76" t="s">
        <v>227</v>
      </c>
      <c r="C145" s="77" t="s">
        <v>228</v>
      </c>
      <c r="D145" s="78" t="s">
        <v>68</v>
      </c>
      <c r="E145" s="78">
        <v>4.4</v>
      </c>
      <c r="F145" s="78">
        <f>+F37</f>
        <v>1.67</v>
      </c>
      <c r="G145" s="69">
        <f>+H145*(1+I145)</f>
        <v>2.1715</v>
      </c>
      <c r="H145" s="78">
        <f>+H37</f>
        <v>2.15</v>
      </c>
      <c r="I145" s="96">
        <v>0.01</v>
      </c>
      <c r="J145" s="78">
        <f>+J37</f>
        <v>0.3</v>
      </c>
      <c r="K145" s="95">
        <f>+(F145+G145+J145)*$K$4</f>
        <v>0.49698</v>
      </c>
      <c r="L145" s="95">
        <f>+(F145+G145+J145+K145)*$L$4</f>
        <v>0.4174632</v>
      </c>
      <c r="M145" s="78">
        <f t="shared" si="41"/>
        <v>5.0559432</v>
      </c>
      <c r="N145" s="78">
        <f t="shared" si="42"/>
        <v>22.24615008</v>
      </c>
      <c r="O145" s="93"/>
    </row>
    <row r="146" s="57" customFormat="1" spans="1:15">
      <c r="A146" s="85">
        <v>31</v>
      </c>
      <c r="B146" s="107" t="s">
        <v>33</v>
      </c>
      <c r="C146" s="107"/>
      <c r="D146" s="107" t="s">
        <v>229</v>
      </c>
      <c r="E146" s="108"/>
      <c r="F146" s="78"/>
      <c r="G146" s="78"/>
      <c r="H146" s="78"/>
      <c r="I146" s="113"/>
      <c r="J146" s="78"/>
      <c r="K146" s="114"/>
      <c r="L146" s="67"/>
      <c r="M146" s="78"/>
      <c r="N146" s="78">
        <f>SUM(N116:N145)</f>
        <v>5853.591237536</v>
      </c>
      <c r="O146" s="93"/>
    </row>
    <row r="147" s="57" customFormat="1" spans="1:15">
      <c r="A147" s="85" t="s">
        <v>127</v>
      </c>
      <c r="B147" s="65" t="s">
        <v>279</v>
      </c>
      <c r="C147" s="65" t="s">
        <v>161</v>
      </c>
      <c r="D147" s="65" t="s">
        <v>162</v>
      </c>
      <c r="E147" s="108"/>
      <c r="F147" s="78"/>
      <c r="G147" s="78"/>
      <c r="H147" s="78"/>
      <c r="I147" s="113"/>
      <c r="J147" s="78"/>
      <c r="K147" s="114"/>
      <c r="L147" s="67"/>
      <c r="M147" s="78"/>
      <c r="N147" s="78"/>
      <c r="O147" s="93"/>
    </row>
    <row r="148" s="57" customFormat="1" ht="48" outlineLevel="1" spans="1:15">
      <c r="A148" s="85">
        <v>1</v>
      </c>
      <c r="B148" s="70" t="s">
        <v>231</v>
      </c>
      <c r="C148" s="71" t="s">
        <v>232</v>
      </c>
      <c r="D148" s="70" t="s">
        <v>35</v>
      </c>
      <c r="E148" s="85">
        <v>1</v>
      </c>
      <c r="F148" s="69">
        <v>38</v>
      </c>
      <c r="G148" s="69">
        <f t="shared" ref="G148:G155" si="56">+H148*(1+I148)</f>
        <v>732.25</v>
      </c>
      <c r="H148" s="85">
        <f t="shared" ref="H148:H157" si="57">+H40</f>
        <v>725</v>
      </c>
      <c r="I148" s="99">
        <v>0.01</v>
      </c>
      <c r="J148" s="69">
        <v>28</v>
      </c>
      <c r="K148" s="95">
        <f>+(F148+G148+J148)*$K$4</f>
        <v>95.79</v>
      </c>
      <c r="L148" s="95">
        <f>+(F148+G148+J148+K148)*$L$4</f>
        <v>80.4636</v>
      </c>
      <c r="M148" s="78">
        <f t="shared" ref="M148:M165" si="58">F148+G148+J148+K148+L148</f>
        <v>974.5036</v>
      </c>
      <c r="N148" s="78">
        <f t="shared" ref="N148:N165" si="59">M148*E148</f>
        <v>974.5036</v>
      </c>
      <c r="O148" s="93" t="s">
        <v>110</v>
      </c>
    </row>
    <row r="149" s="57" customFormat="1" ht="48" outlineLevel="1" spans="1:15">
      <c r="A149" s="85">
        <v>2</v>
      </c>
      <c r="B149" s="70" t="s">
        <v>233</v>
      </c>
      <c r="C149" s="71" t="s">
        <v>234</v>
      </c>
      <c r="D149" s="70" t="s">
        <v>35</v>
      </c>
      <c r="E149" s="85">
        <v>1</v>
      </c>
      <c r="F149" s="69">
        <f>+F41</f>
        <v>68</v>
      </c>
      <c r="G149" s="69">
        <f t="shared" si="56"/>
        <v>787.8</v>
      </c>
      <c r="H149" s="69">
        <f t="shared" si="57"/>
        <v>780</v>
      </c>
      <c r="I149" s="96">
        <v>0.01</v>
      </c>
      <c r="J149" s="69">
        <f>+J41</f>
        <v>22</v>
      </c>
      <c r="K149" s="95">
        <f>+(F149+G149+J149)*$K$4</f>
        <v>105.336</v>
      </c>
      <c r="L149" s="95">
        <f>+(F149+G149+J149+K149)*$L$4</f>
        <v>88.48224</v>
      </c>
      <c r="M149" s="78">
        <f t="shared" si="58"/>
        <v>1071.61824</v>
      </c>
      <c r="N149" s="78">
        <f t="shared" si="59"/>
        <v>1071.61824</v>
      </c>
      <c r="O149" s="93" t="s">
        <v>235</v>
      </c>
    </row>
    <row r="150" s="57" customFormat="1" ht="48" outlineLevel="1" spans="1:15">
      <c r="A150" s="85">
        <v>3</v>
      </c>
      <c r="B150" s="70" t="s">
        <v>236</v>
      </c>
      <c r="C150" s="71" t="s">
        <v>237</v>
      </c>
      <c r="D150" s="70" t="s">
        <v>35</v>
      </c>
      <c r="E150" s="85">
        <v>1</v>
      </c>
      <c r="F150" s="69">
        <v>38</v>
      </c>
      <c r="G150" s="69">
        <f t="shared" si="56"/>
        <v>828.2</v>
      </c>
      <c r="H150" s="85">
        <f t="shared" si="57"/>
        <v>820</v>
      </c>
      <c r="I150" s="99">
        <v>0.01</v>
      </c>
      <c r="J150" s="69">
        <v>28</v>
      </c>
      <c r="K150" s="95">
        <f>+(F150+G150+J150)*$K$4</f>
        <v>107.304</v>
      </c>
      <c r="L150" s="95">
        <f>+(F150+G150+J150+K150)*$L$4</f>
        <v>90.13536</v>
      </c>
      <c r="M150" s="78">
        <f t="shared" si="58"/>
        <v>1091.63936</v>
      </c>
      <c r="N150" s="78">
        <f t="shared" si="59"/>
        <v>1091.63936</v>
      </c>
      <c r="O150" s="93" t="s">
        <v>110</v>
      </c>
    </row>
    <row r="151" s="57" customFormat="1" ht="72" outlineLevel="1" spans="1:15">
      <c r="A151" s="85">
        <v>4</v>
      </c>
      <c r="B151" s="70" t="s">
        <v>238</v>
      </c>
      <c r="C151" s="71" t="s">
        <v>239</v>
      </c>
      <c r="D151" s="70" t="s">
        <v>35</v>
      </c>
      <c r="E151" s="85">
        <v>1</v>
      </c>
      <c r="F151" s="69">
        <v>40</v>
      </c>
      <c r="G151" s="69">
        <f t="shared" si="56"/>
        <v>1292.8</v>
      </c>
      <c r="H151" s="85">
        <f t="shared" si="57"/>
        <v>1280</v>
      </c>
      <c r="I151" s="99">
        <v>0.01</v>
      </c>
      <c r="J151" s="69">
        <v>28</v>
      </c>
      <c r="K151" s="95">
        <f>+(F151+G151+J151)*$K$4</f>
        <v>163.296</v>
      </c>
      <c r="L151" s="95">
        <f>+(F151+G151+J151+K151)*$L$4</f>
        <v>137.16864</v>
      </c>
      <c r="M151" s="78">
        <f t="shared" si="58"/>
        <v>1661.26464</v>
      </c>
      <c r="N151" s="78">
        <f t="shared" si="59"/>
        <v>1661.26464</v>
      </c>
      <c r="O151" s="93" t="s">
        <v>240</v>
      </c>
    </row>
    <row r="152" s="57" customFormat="1" ht="48" outlineLevel="1" spans="1:15">
      <c r="A152" s="85">
        <v>5</v>
      </c>
      <c r="B152" s="70" t="s">
        <v>241</v>
      </c>
      <c r="C152" s="71" t="s">
        <v>242</v>
      </c>
      <c r="D152" s="70" t="s">
        <v>35</v>
      </c>
      <c r="E152" s="85">
        <v>2</v>
      </c>
      <c r="F152" s="69">
        <f>+F44</f>
        <v>8</v>
      </c>
      <c r="G152" s="69">
        <f t="shared" si="56"/>
        <v>42.42</v>
      </c>
      <c r="H152" s="69">
        <f t="shared" si="57"/>
        <v>42</v>
      </c>
      <c r="I152" s="96">
        <v>0.01</v>
      </c>
      <c r="J152" s="69">
        <f>+J44</f>
        <v>1</v>
      </c>
      <c r="K152" s="95">
        <f>+(F152+G152+J152)*$K$4</f>
        <v>6.1704</v>
      </c>
      <c r="L152" s="95">
        <f>+(F152+G152+J152+K152)*$L$4</f>
        <v>5.183136</v>
      </c>
      <c r="M152" s="78">
        <f t="shared" si="58"/>
        <v>62.773536</v>
      </c>
      <c r="N152" s="78">
        <f t="shared" si="59"/>
        <v>125.547072</v>
      </c>
      <c r="O152" s="93" t="s">
        <v>110</v>
      </c>
    </row>
    <row r="153" s="57" customFormat="1" ht="48" outlineLevel="1" spans="1:15">
      <c r="A153" s="85">
        <v>6</v>
      </c>
      <c r="B153" s="70" t="s">
        <v>243</v>
      </c>
      <c r="C153" s="71" t="s">
        <v>244</v>
      </c>
      <c r="D153" s="70" t="s">
        <v>35</v>
      </c>
      <c r="E153" s="85">
        <v>2</v>
      </c>
      <c r="F153" s="69">
        <v>12</v>
      </c>
      <c r="G153" s="69">
        <f t="shared" si="56"/>
        <v>68.68</v>
      </c>
      <c r="H153" s="69">
        <f t="shared" si="57"/>
        <v>68</v>
      </c>
      <c r="I153" s="96">
        <v>0.01</v>
      </c>
      <c r="J153" s="69">
        <v>3</v>
      </c>
      <c r="K153" s="95">
        <f>+(F153+G153+J153)*$K$4</f>
        <v>10.0416</v>
      </c>
      <c r="L153" s="95">
        <f>+(F153+G153+J153+K153)*$L$4</f>
        <v>8.434944</v>
      </c>
      <c r="M153" s="78">
        <f t="shared" si="58"/>
        <v>102.156544</v>
      </c>
      <c r="N153" s="78">
        <f t="shared" si="59"/>
        <v>204.313088</v>
      </c>
      <c r="O153" s="93" t="s">
        <v>110</v>
      </c>
    </row>
    <row r="154" s="57" customFormat="1" ht="45" outlineLevel="1" spans="1:15">
      <c r="A154" s="85">
        <v>7</v>
      </c>
      <c r="B154" s="83" t="s">
        <v>245</v>
      </c>
      <c r="C154" s="82" t="s">
        <v>246</v>
      </c>
      <c r="D154" s="83" t="s">
        <v>35</v>
      </c>
      <c r="E154" s="85">
        <v>1</v>
      </c>
      <c r="F154" s="85">
        <f>+F46</f>
        <v>12</v>
      </c>
      <c r="G154" s="69">
        <f t="shared" si="56"/>
        <v>48.48</v>
      </c>
      <c r="H154" s="69">
        <f t="shared" si="57"/>
        <v>48</v>
      </c>
      <c r="I154" s="96">
        <v>0.01</v>
      </c>
      <c r="J154" s="85">
        <f>+J46</f>
        <v>3</v>
      </c>
      <c r="K154" s="95">
        <f>+(F154+G154+J154)*$K$4</f>
        <v>7.6176</v>
      </c>
      <c r="L154" s="95">
        <f>+(F154+G154+J154+K154)*$L$4</f>
        <v>6.398784</v>
      </c>
      <c r="M154" s="78">
        <f t="shared" si="58"/>
        <v>77.496384</v>
      </c>
      <c r="N154" s="78">
        <f t="shared" si="59"/>
        <v>77.496384</v>
      </c>
      <c r="O154" s="93" t="s">
        <v>110</v>
      </c>
    </row>
    <row r="155" s="57" customFormat="1" ht="36" outlineLevel="1" spans="1:15">
      <c r="A155" s="85">
        <v>8</v>
      </c>
      <c r="B155" s="70" t="s">
        <v>247</v>
      </c>
      <c r="C155" s="71" t="s">
        <v>248</v>
      </c>
      <c r="D155" s="70" t="s">
        <v>35</v>
      </c>
      <c r="E155" s="85">
        <v>1</v>
      </c>
      <c r="F155" s="74">
        <f>+F47</f>
        <v>74.3741</v>
      </c>
      <c r="G155" s="69">
        <f t="shared" si="56"/>
        <v>1136.25</v>
      </c>
      <c r="H155" s="69">
        <f t="shared" si="57"/>
        <v>1125</v>
      </c>
      <c r="I155" s="96">
        <v>0.01</v>
      </c>
      <c r="J155" s="85">
        <f>+J47</f>
        <v>22</v>
      </c>
      <c r="K155" s="95">
        <f>+(F155+G155+J155)*$K$4</f>
        <v>147.914892</v>
      </c>
      <c r="L155" s="95">
        <f>+(F155+G155+J155+K155)*$L$4</f>
        <v>124.24850928</v>
      </c>
      <c r="M155" s="78">
        <f t="shared" si="58"/>
        <v>1504.78750128</v>
      </c>
      <c r="N155" s="78">
        <f t="shared" si="59"/>
        <v>1504.78750128</v>
      </c>
      <c r="O155" s="93" t="s">
        <v>275</v>
      </c>
    </row>
    <row r="156" s="57" customFormat="1" ht="36" outlineLevel="1" spans="1:15">
      <c r="A156" s="85">
        <v>9</v>
      </c>
      <c r="B156" s="70" t="s">
        <v>250</v>
      </c>
      <c r="C156" s="71" t="s">
        <v>251</v>
      </c>
      <c r="D156" s="70" t="s">
        <v>35</v>
      </c>
      <c r="E156" s="85">
        <v>1</v>
      </c>
      <c r="F156" s="69">
        <f>+F48</f>
        <v>58</v>
      </c>
      <c r="G156" s="69">
        <f t="shared" ref="G156:G161" si="60">+H156*(1+I156)</f>
        <v>808</v>
      </c>
      <c r="H156" s="69">
        <f t="shared" si="57"/>
        <v>800</v>
      </c>
      <c r="I156" s="96">
        <v>0.01</v>
      </c>
      <c r="J156" s="69">
        <f>+J48</f>
        <v>16</v>
      </c>
      <c r="K156" s="95">
        <f>+(F156+G156+J156)*$K$4</f>
        <v>105.84</v>
      </c>
      <c r="L156" s="95">
        <f>+(F156+G156+J156+K156)*$L$4</f>
        <v>88.9056</v>
      </c>
      <c r="M156" s="78">
        <f t="shared" si="58"/>
        <v>1076.7456</v>
      </c>
      <c r="N156" s="78">
        <f t="shared" si="59"/>
        <v>1076.7456</v>
      </c>
      <c r="O156" s="93" t="s">
        <v>275</v>
      </c>
    </row>
    <row r="157" s="57" customFormat="1" ht="60" outlineLevel="1" spans="1:15">
      <c r="A157" s="85">
        <v>10</v>
      </c>
      <c r="B157" s="70" t="s">
        <v>252</v>
      </c>
      <c r="C157" s="71" t="s">
        <v>253</v>
      </c>
      <c r="D157" s="70" t="s">
        <v>35</v>
      </c>
      <c r="E157" s="85">
        <v>1</v>
      </c>
      <c r="F157" s="69">
        <v>38</v>
      </c>
      <c r="G157" s="69">
        <f t="shared" si="60"/>
        <v>994.85</v>
      </c>
      <c r="H157" s="85">
        <f t="shared" si="57"/>
        <v>985</v>
      </c>
      <c r="I157" s="99">
        <v>0.01</v>
      </c>
      <c r="J157" s="69">
        <v>28</v>
      </c>
      <c r="K157" s="95">
        <f>+(F157+G157+J157)*$K$4</f>
        <v>127.302</v>
      </c>
      <c r="L157" s="95">
        <f>+(F157+G157+J157+K157)*$L$4</f>
        <v>106.93368</v>
      </c>
      <c r="M157" s="78">
        <f t="shared" si="58"/>
        <v>1295.08568</v>
      </c>
      <c r="N157" s="78">
        <f t="shared" si="59"/>
        <v>1295.08568</v>
      </c>
      <c r="O157" s="93" t="s">
        <v>110</v>
      </c>
    </row>
    <row r="158" s="57" customFormat="1" ht="48" outlineLevel="1" spans="1:15">
      <c r="A158" s="85">
        <v>11</v>
      </c>
      <c r="B158" s="70" t="s">
        <v>254</v>
      </c>
      <c r="C158" s="71" t="s">
        <v>255</v>
      </c>
      <c r="D158" s="70" t="s">
        <v>109</v>
      </c>
      <c r="E158" s="85">
        <v>5</v>
      </c>
      <c r="F158" s="69">
        <f>+$F$50</f>
        <v>12</v>
      </c>
      <c r="G158" s="69">
        <f t="shared" si="60"/>
        <v>15.15</v>
      </c>
      <c r="H158" s="69">
        <f>+$H$50</f>
        <v>15</v>
      </c>
      <c r="I158" s="69">
        <f>+$I$54</f>
        <v>0.01</v>
      </c>
      <c r="J158" s="69">
        <f>+$J$50</f>
        <v>4</v>
      </c>
      <c r="K158" s="95">
        <f>+(F158+G158+J158)*$K$4</f>
        <v>3.738</v>
      </c>
      <c r="L158" s="95">
        <f>+(F158+G158+J158+K158)*$L$4</f>
        <v>3.13992</v>
      </c>
      <c r="M158" s="78">
        <f t="shared" si="58"/>
        <v>38.02792</v>
      </c>
      <c r="N158" s="78">
        <f t="shared" si="59"/>
        <v>190.1396</v>
      </c>
      <c r="O158" s="93"/>
    </row>
    <row r="159" s="57" customFormat="1" ht="48" outlineLevel="1" spans="1:15">
      <c r="A159" s="85">
        <v>12</v>
      </c>
      <c r="B159" s="70" t="s">
        <v>254</v>
      </c>
      <c r="C159" s="71" t="s">
        <v>256</v>
      </c>
      <c r="D159" s="70" t="s">
        <v>109</v>
      </c>
      <c r="E159" s="85">
        <v>2</v>
      </c>
      <c r="F159" s="69">
        <f>+$F$51</f>
        <v>11</v>
      </c>
      <c r="G159" s="69">
        <f t="shared" si="60"/>
        <v>7.777</v>
      </c>
      <c r="H159" s="69">
        <f>+$H$51</f>
        <v>7.7</v>
      </c>
      <c r="I159" s="69">
        <f>+$I$54</f>
        <v>0.01</v>
      </c>
      <c r="J159" s="69">
        <f>+$J$51</f>
        <v>3.5</v>
      </c>
      <c r="K159" s="95">
        <f>+(F159+G159+J159)*$K$4</f>
        <v>2.67324</v>
      </c>
      <c r="L159" s="95">
        <f>+(F159+G159+J159+K159)*$L$4</f>
        <v>2.2455216</v>
      </c>
      <c r="M159" s="78">
        <f t="shared" si="58"/>
        <v>27.1957616</v>
      </c>
      <c r="N159" s="78">
        <f t="shared" si="59"/>
        <v>54.3915232</v>
      </c>
      <c r="O159" s="93"/>
    </row>
    <row r="160" s="57" customFormat="1" ht="48" outlineLevel="1" spans="1:15">
      <c r="A160" s="85">
        <v>13</v>
      </c>
      <c r="B160" s="70" t="s">
        <v>257</v>
      </c>
      <c r="C160" s="71" t="s">
        <v>258</v>
      </c>
      <c r="D160" s="70" t="s">
        <v>109</v>
      </c>
      <c r="E160" s="85">
        <v>1</v>
      </c>
      <c r="F160" s="69">
        <v>3</v>
      </c>
      <c r="G160" s="69">
        <f t="shared" si="60"/>
        <v>19.695</v>
      </c>
      <c r="H160" s="69">
        <v>19.5</v>
      </c>
      <c r="I160" s="96">
        <v>0.01</v>
      </c>
      <c r="J160" s="69">
        <v>0.5</v>
      </c>
      <c r="K160" s="95">
        <f>+(F160+G160+J160)*$K$4</f>
        <v>2.7834</v>
      </c>
      <c r="L160" s="95">
        <f>+(F160+G160+J160+K160)*$L$4</f>
        <v>2.338056</v>
      </c>
      <c r="M160" s="78">
        <f t="shared" si="58"/>
        <v>28.316456</v>
      </c>
      <c r="N160" s="78">
        <f t="shared" si="59"/>
        <v>28.316456</v>
      </c>
      <c r="O160" s="93"/>
    </row>
    <row r="161" s="57" customFormat="1" ht="36" outlineLevel="1" spans="1:15">
      <c r="A161" s="85">
        <v>14</v>
      </c>
      <c r="B161" s="70" t="s">
        <v>259</v>
      </c>
      <c r="C161" s="71" t="s">
        <v>260</v>
      </c>
      <c r="D161" s="70" t="s">
        <v>109</v>
      </c>
      <c r="E161" s="85">
        <v>1</v>
      </c>
      <c r="F161" s="69">
        <v>3</v>
      </c>
      <c r="G161" s="69">
        <f t="shared" si="60"/>
        <v>15.15</v>
      </c>
      <c r="H161" s="69">
        <v>15</v>
      </c>
      <c r="I161" s="96">
        <v>0.01</v>
      </c>
      <c r="J161" s="69">
        <v>0.5</v>
      </c>
      <c r="K161" s="95">
        <f>+(F161+G161+J161)*$K$4</f>
        <v>2.238</v>
      </c>
      <c r="L161" s="95">
        <f>+(F161+G161+J161+K161)*$L$4</f>
        <v>1.87992</v>
      </c>
      <c r="M161" s="78">
        <f t="shared" si="58"/>
        <v>22.76792</v>
      </c>
      <c r="N161" s="78">
        <f t="shared" si="59"/>
        <v>22.76792</v>
      </c>
      <c r="O161" s="93"/>
    </row>
    <row r="162" s="57" customFormat="1" ht="48" outlineLevel="1" spans="1:15">
      <c r="A162" s="85">
        <v>15</v>
      </c>
      <c r="B162" s="70" t="s">
        <v>261</v>
      </c>
      <c r="C162" s="86" t="s">
        <v>262</v>
      </c>
      <c r="D162" s="78" t="s">
        <v>68</v>
      </c>
      <c r="E162" s="109">
        <f>14.15-0.5</f>
        <v>13.65</v>
      </c>
      <c r="F162" s="69">
        <f t="shared" ref="F162:F165" si="61">+$F$54</f>
        <v>6</v>
      </c>
      <c r="G162" s="69">
        <f>+$G$54</f>
        <v>10.1</v>
      </c>
      <c r="H162" s="69">
        <f>+$H$54</f>
        <v>10</v>
      </c>
      <c r="I162" s="69">
        <f t="shared" ref="I162:I165" si="62">+$I$54</f>
        <v>0.01</v>
      </c>
      <c r="J162" s="69">
        <f>+$J$54</f>
        <v>5.8</v>
      </c>
      <c r="K162" s="95">
        <f>+(F162+G162+J162)*$K$4</f>
        <v>2.628</v>
      </c>
      <c r="L162" s="95">
        <f>+(F162+G162+J162+K162)*$L$4</f>
        <v>2.20752</v>
      </c>
      <c r="M162" s="78">
        <f t="shared" si="58"/>
        <v>26.73552</v>
      </c>
      <c r="N162" s="78">
        <f t="shared" si="59"/>
        <v>364.939848</v>
      </c>
      <c r="O162" s="93"/>
    </row>
    <row r="163" s="57" customFormat="1" ht="48" outlineLevel="1" spans="1:15">
      <c r="A163" s="85">
        <v>16</v>
      </c>
      <c r="B163" s="70" t="s">
        <v>261</v>
      </c>
      <c r="C163" s="86" t="s">
        <v>264</v>
      </c>
      <c r="D163" s="78" t="s">
        <v>68</v>
      </c>
      <c r="E163" s="109">
        <v>8.18</v>
      </c>
      <c r="F163" s="69">
        <f t="shared" si="61"/>
        <v>6</v>
      </c>
      <c r="G163" s="69">
        <f>+$G$55</f>
        <v>8.08</v>
      </c>
      <c r="H163" s="69">
        <f>+$H$55</f>
        <v>8</v>
      </c>
      <c r="I163" s="69">
        <f t="shared" si="62"/>
        <v>0.01</v>
      </c>
      <c r="J163" s="69">
        <f>+$J$55</f>
        <v>5</v>
      </c>
      <c r="K163" s="95">
        <f>+(F163+G163+J163)*$K$4</f>
        <v>2.2896</v>
      </c>
      <c r="L163" s="95">
        <f>+(F163+G163+J163+K163)*$L$4</f>
        <v>1.923264</v>
      </c>
      <c r="M163" s="78">
        <f t="shared" si="58"/>
        <v>23.292864</v>
      </c>
      <c r="N163" s="78">
        <f t="shared" si="59"/>
        <v>190.53562752</v>
      </c>
      <c r="O163" s="93"/>
    </row>
    <row r="164" s="57" customFormat="1" ht="48" outlineLevel="1" spans="1:15">
      <c r="A164" s="85">
        <v>17</v>
      </c>
      <c r="B164" s="70" t="s">
        <v>261</v>
      </c>
      <c r="C164" s="86" t="s">
        <v>265</v>
      </c>
      <c r="D164" s="78" t="s">
        <v>68</v>
      </c>
      <c r="E164" s="109">
        <v>8.7</v>
      </c>
      <c r="F164" s="69">
        <f t="shared" si="61"/>
        <v>6</v>
      </c>
      <c r="G164" s="69">
        <f>+$G$54</f>
        <v>10.1</v>
      </c>
      <c r="H164" s="69">
        <f>+$H$54</f>
        <v>10</v>
      </c>
      <c r="I164" s="69">
        <f t="shared" si="62"/>
        <v>0.01</v>
      </c>
      <c r="J164" s="69">
        <f>+$J$54</f>
        <v>5.8</v>
      </c>
      <c r="K164" s="95">
        <f>+(F164+G164+J164)*$K$4</f>
        <v>2.628</v>
      </c>
      <c r="L164" s="95">
        <f>+(F164+G164+J164+K164)*$L$4</f>
        <v>2.20752</v>
      </c>
      <c r="M164" s="78">
        <f t="shared" si="58"/>
        <v>26.73552</v>
      </c>
      <c r="N164" s="78">
        <f t="shared" si="59"/>
        <v>232.599024</v>
      </c>
      <c r="O164" s="93"/>
    </row>
    <row r="165" s="57" customFormat="1" ht="48" outlineLevel="1" spans="1:15">
      <c r="A165" s="85">
        <v>18</v>
      </c>
      <c r="B165" s="70" t="s">
        <v>261</v>
      </c>
      <c r="C165" s="86" t="s">
        <v>266</v>
      </c>
      <c r="D165" s="78" t="s">
        <v>68</v>
      </c>
      <c r="E165" s="109">
        <v>2.74</v>
      </c>
      <c r="F165" s="69">
        <f t="shared" si="61"/>
        <v>6</v>
      </c>
      <c r="G165" s="69">
        <f>+$G$55</f>
        <v>8.08</v>
      </c>
      <c r="H165" s="69">
        <f>+$H$55</f>
        <v>8</v>
      </c>
      <c r="I165" s="69">
        <f t="shared" si="62"/>
        <v>0.01</v>
      </c>
      <c r="J165" s="69">
        <f>+$J$55</f>
        <v>5</v>
      </c>
      <c r="K165" s="95">
        <f>+(F165+G165+J165)*$K$4</f>
        <v>2.2896</v>
      </c>
      <c r="L165" s="95">
        <f>+(F165+G165+J165+K165)*$L$4</f>
        <v>1.923264</v>
      </c>
      <c r="M165" s="78">
        <f t="shared" si="58"/>
        <v>23.292864</v>
      </c>
      <c r="N165" s="78">
        <f t="shared" si="59"/>
        <v>63.82244736</v>
      </c>
      <c r="O165" s="93"/>
    </row>
    <row r="166" s="57" customFormat="1" spans="1:15">
      <c r="A166" s="85">
        <v>19</v>
      </c>
      <c r="B166" s="107" t="s">
        <v>33</v>
      </c>
      <c r="C166" s="107"/>
      <c r="D166" s="107" t="s">
        <v>229</v>
      </c>
      <c r="E166" s="108"/>
      <c r="F166" s="85"/>
      <c r="G166" s="85"/>
      <c r="H166" s="85"/>
      <c r="I166" s="99"/>
      <c r="J166" s="85"/>
      <c r="K166" s="114"/>
      <c r="L166" s="67"/>
      <c r="M166" s="78"/>
      <c r="N166" s="78">
        <f>SUM(N148:N165)</f>
        <v>10230.51361136</v>
      </c>
      <c r="O166" s="93"/>
    </row>
    <row r="167" s="57" customFormat="1" spans="1:15">
      <c r="A167" s="110" t="s">
        <v>135</v>
      </c>
      <c r="B167" s="111" t="s">
        <v>280</v>
      </c>
      <c r="C167" s="111" t="s">
        <v>161</v>
      </c>
      <c r="D167" s="111" t="s">
        <v>229</v>
      </c>
      <c r="E167" s="112"/>
      <c r="F167" s="110"/>
      <c r="G167" s="110"/>
      <c r="H167" s="110"/>
      <c r="I167" s="116"/>
      <c r="J167" s="110"/>
      <c r="K167" s="117"/>
      <c r="L167" s="102"/>
      <c r="M167" s="103"/>
      <c r="N167" s="103">
        <f>N146+N166</f>
        <v>16084.104848896</v>
      </c>
      <c r="O167" s="93"/>
    </row>
    <row r="168" s="57" customFormat="1" spans="1:15">
      <c r="A168" s="65" t="s">
        <v>52</v>
      </c>
      <c r="B168" s="65" t="s">
        <v>281</v>
      </c>
      <c r="C168" s="65" t="s">
        <v>161</v>
      </c>
      <c r="D168" s="65" t="s">
        <v>162</v>
      </c>
      <c r="E168" s="66"/>
      <c r="F168" s="67"/>
      <c r="G168" s="67"/>
      <c r="H168" s="67"/>
      <c r="I168" s="92"/>
      <c r="J168" s="67"/>
      <c r="K168" s="114"/>
      <c r="L168" s="67"/>
      <c r="M168" s="67"/>
      <c r="N168" s="67"/>
      <c r="O168" s="93"/>
    </row>
    <row r="169" s="57" customFormat="1" ht="48" outlineLevel="1" spans="1:15">
      <c r="A169" s="85">
        <v>1</v>
      </c>
      <c r="B169" s="70" t="s">
        <v>163</v>
      </c>
      <c r="C169" s="71" t="s">
        <v>164</v>
      </c>
      <c r="D169" s="70" t="s">
        <v>109</v>
      </c>
      <c r="E169" s="72">
        <v>1</v>
      </c>
      <c r="F169" s="78">
        <f>+F6</f>
        <v>13</v>
      </c>
      <c r="G169" s="69">
        <f t="shared" ref="G169:G173" si="63">+H169*(1+I169)</f>
        <v>45.45</v>
      </c>
      <c r="H169" s="78">
        <f>+H6</f>
        <v>45</v>
      </c>
      <c r="I169" s="94">
        <v>0.01</v>
      </c>
      <c r="J169" s="78">
        <f>+J6</f>
        <v>5</v>
      </c>
      <c r="K169" s="95">
        <f>+(F169+G169+J169)*$K$4</f>
        <v>7.614</v>
      </c>
      <c r="L169" s="95">
        <f>+(F169+G169+J169+K169)*$L$4</f>
        <v>6.39576</v>
      </c>
      <c r="M169" s="78">
        <f t="shared" ref="M169:M200" si="64">F169+G169+J169+K169+L169</f>
        <v>77.45976</v>
      </c>
      <c r="N169" s="78">
        <f t="shared" ref="N169:N200" si="65">M169*E169</f>
        <v>77.45976</v>
      </c>
      <c r="O169" s="93" t="s">
        <v>165</v>
      </c>
    </row>
    <row r="170" s="57" customFormat="1" ht="48" outlineLevel="1" spans="1:15">
      <c r="A170" s="85">
        <v>2</v>
      </c>
      <c r="B170" s="70" t="s">
        <v>166</v>
      </c>
      <c r="C170" s="71" t="s">
        <v>167</v>
      </c>
      <c r="D170" s="70" t="s">
        <v>109</v>
      </c>
      <c r="E170" s="72">
        <v>6</v>
      </c>
      <c r="F170" s="78">
        <f>+F7</f>
        <v>13</v>
      </c>
      <c r="G170" s="69">
        <f t="shared" si="63"/>
        <v>48.48</v>
      </c>
      <c r="H170" s="73">
        <f>+H7</f>
        <v>48</v>
      </c>
      <c r="I170" s="113">
        <v>0.01</v>
      </c>
      <c r="J170" s="78">
        <f>+J7</f>
        <v>5</v>
      </c>
      <c r="K170" s="95">
        <f>+(F170+G170+J170)*$K$4</f>
        <v>7.9776</v>
      </c>
      <c r="L170" s="95">
        <f>+(F170+G170+J170+K170)*$L$4</f>
        <v>6.701184</v>
      </c>
      <c r="M170" s="78">
        <f t="shared" si="64"/>
        <v>81.158784</v>
      </c>
      <c r="N170" s="78">
        <f t="shared" si="65"/>
        <v>486.952704</v>
      </c>
      <c r="O170" s="93" t="s">
        <v>165</v>
      </c>
    </row>
    <row r="171" s="57" customFormat="1" ht="48" outlineLevel="1" spans="1:15">
      <c r="A171" s="85">
        <v>3</v>
      </c>
      <c r="B171" s="70" t="s">
        <v>168</v>
      </c>
      <c r="C171" s="71" t="s">
        <v>169</v>
      </c>
      <c r="D171" s="70" t="s">
        <v>109</v>
      </c>
      <c r="E171" s="72">
        <v>1</v>
      </c>
      <c r="F171" s="73">
        <f>+F8</f>
        <v>15</v>
      </c>
      <c r="G171" s="69">
        <f t="shared" si="63"/>
        <v>52.52</v>
      </c>
      <c r="H171" s="69">
        <f>+H8</f>
        <v>52</v>
      </c>
      <c r="I171" s="96">
        <v>0.01</v>
      </c>
      <c r="J171" s="69">
        <f>+J8</f>
        <v>3</v>
      </c>
      <c r="K171" s="95">
        <f>+(F171+G171+J171)*$K$4</f>
        <v>8.4624</v>
      </c>
      <c r="L171" s="95">
        <f>+(F171+G171+J171+K171)*$L$4</f>
        <v>7.108416</v>
      </c>
      <c r="M171" s="78">
        <f t="shared" si="64"/>
        <v>86.090816</v>
      </c>
      <c r="N171" s="78">
        <f t="shared" si="65"/>
        <v>86.090816</v>
      </c>
      <c r="O171" s="93" t="s">
        <v>165</v>
      </c>
    </row>
    <row r="172" s="57" customFormat="1" ht="48" outlineLevel="1" spans="1:15">
      <c r="A172" s="85">
        <v>4</v>
      </c>
      <c r="B172" s="70" t="s">
        <v>170</v>
      </c>
      <c r="C172" s="71" t="s">
        <v>171</v>
      </c>
      <c r="D172" s="70" t="s">
        <v>109</v>
      </c>
      <c r="E172" s="72">
        <v>2</v>
      </c>
      <c r="F172" s="73">
        <v>15</v>
      </c>
      <c r="G172" s="69">
        <f t="shared" si="63"/>
        <v>45.45</v>
      </c>
      <c r="H172" s="69">
        <v>45</v>
      </c>
      <c r="I172" s="96">
        <v>0.01</v>
      </c>
      <c r="J172" s="69">
        <v>3</v>
      </c>
      <c r="K172" s="95">
        <f>+(F172+G172+J172)*$K$4</f>
        <v>7.614</v>
      </c>
      <c r="L172" s="95">
        <f>+(F172+G172+J172+K172)*$L$4</f>
        <v>6.39576</v>
      </c>
      <c r="M172" s="78">
        <f t="shared" si="64"/>
        <v>77.45976</v>
      </c>
      <c r="N172" s="78">
        <f t="shared" si="65"/>
        <v>154.91952</v>
      </c>
      <c r="O172" s="93" t="s">
        <v>165</v>
      </c>
    </row>
    <row r="173" s="57" customFormat="1" ht="48" outlineLevel="1" spans="1:15">
      <c r="A173" s="85">
        <v>5</v>
      </c>
      <c r="B173" s="70" t="s">
        <v>172</v>
      </c>
      <c r="C173" s="71" t="s">
        <v>173</v>
      </c>
      <c r="D173" s="70" t="s">
        <v>109</v>
      </c>
      <c r="E173" s="72">
        <v>3</v>
      </c>
      <c r="F173" s="73">
        <f>+F10</f>
        <v>15</v>
      </c>
      <c r="G173" s="69">
        <f t="shared" si="63"/>
        <v>45.45</v>
      </c>
      <c r="H173" s="69">
        <f>+H10</f>
        <v>45</v>
      </c>
      <c r="I173" s="96">
        <v>0.01</v>
      </c>
      <c r="J173" s="69">
        <f>+J10</f>
        <v>3</v>
      </c>
      <c r="K173" s="95">
        <f>+(F173+G173+J173)*$K$4</f>
        <v>7.614</v>
      </c>
      <c r="L173" s="95">
        <f>+(F173+G173+J173+K173)*$L$4</f>
        <v>6.39576</v>
      </c>
      <c r="M173" s="78">
        <f t="shared" si="64"/>
        <v>77.45976</v>
      </c>
      <c r="N173" s="78">
        <f t="shared" si="65"/>
        <v>232.37928</v>
      </c>
      <c r="O173" s="93" t="s">
        <v>165</v>
      </c>
    </row>
    <row r="174" s="57" customFormat="1" ht="48" outlineLevel="1" spans="1:15">
      <c r="A174" s="85">
        <v>6</v>
      </c>
      <c r="B174" s="70" t="s">
        <v>174</v>
      </c>
      <c r="C174" s="71" t="s">
        <v>175</v>
      </c>
      <c r="D174" s="70" t="s">
        <v>68</v>
      </c>
      <c r="E174" s="74">
        <v>14.76</v>
      </c>
      <c r="F174" s="78">
        <f>+F11</f>
        <v>7.5</v>
      </c>
      <c r="G174" s="69">
        <f t="shared" ref="G174:G178" si="66">+H174*(1+I174)</f>
        <v>12.12</v>
      </c>
      <c r="H174" s="78">
        <f>+H11</f>
        <v>12</v>
      </c>
      <c r="I174" s="94">
        <v>0.01</v>
      </c>
      <c r="J174" s="78">
        <f>+J11</f>
        <v>2</v>
      </c>
      <c r="K174" s="95">
        <f>+(F174+G174+J174)*$K$4</f>
        <v>2.5944</v>
      </c>
      <c r="L174" s="95">
        <f>+(F174+G174+J174+K174)*$L$4</f>
        <v>2.179296</v>
      </c>
      <c r="M174" s="78">
        <f t="shared" si="64"/>
        <v>26.393696</v>
      </c>
      <c r="N174" s="78">
        <f t="shared" si="65"/>
        <v>389.57095296</v>
      </c>
      <c r="O174" s="93" t="s">
        <v>165</v>
      </c>
    </row>
    <row r="175" s="57" customFormat="1" ht="60" outlineLevel="1" spans="1:15">
      <c r="A175" s="85">
        <v>7</v>
      </c>
      <c r="B175" s="70" t="s">
        <v>176</v>
      </c>
      <c r="C175" s="71" t="s">
        <v>177</v>
      </c>
      <c r="D175" s="70" t="s">
        <v>109</v>
      </c>
      <c r="E175" s="72">
        <v>1</v>
      </c>
      <c r="F175" s="78">
        <f>+F12</f>
        <v>38</v>
      </c>
      <c r="G175" s="69">
        <f t="shared" si="66"/>
        <v>444.4</v>
      </c>
      <c r="H175" s="78">
        <f>+H12</f>
        <v>440</v>
      </c>
      <c r="I175" s="96">
        <v>0.01</v>
      </c>
      <c r="J175" s="78">
        <f>+J12</f>
        <v>12</v>
      </c>
      <c r="K175" s="95">
        <f>+(F175+G175+J175)*$K$4</f>
        <v>59.328</v>
      </c>
      <c r="L175" s="95">
        <f>+(F175+G175+J175+K175)*$L$4</f>
        <v>49.83552</v>
      </c>
      <c r="M175" s="78">
        <f t="shared" si="64"/>
        <v>603.56352</v>
      </c>
      <c r="N175" s="78">
        <f t="shared" si="65"/>
        <v>603.56352</v>
      </c>
      <c r="O175" s="93" t="s">
        <v>165</v>
      </c>
    </row>
    <row r="176" s="57" customFormat="1" ht="48" outlineLevel="1" spans="1:15">
      <c r="A176" s="85">
        <v>8</v>
      </c>
      <c r="B176" s="70" t="s">
        <v>269</v>
      </c>
      <c r="C176" s="71" t="s">
        <v>270</v>
      </c>
      <c r="D176" s="70" t="s">
        <v>109</v>
      </c>
      <c r="E176" s="72">
        <v>1</v>
      </c>
      <c r="F176" s="69">
        <v>12</v>
      </c>
      <c r="G176" s="69">
        <f t="shared" si="66"/>
        <v>30.3</v>
      </c>
      <c r="H176" s="69">
        <f>+H68</f>
        <v>30</v>
      </c>
      <c r="I176" s="96">
        <v>0.01</v>
      </c>
      <c r="J176" s="69">
        <v>4</v>
      </c>
      <c r="K176" s="95">
        <f>+(F176+G176+J176)*$K$4</f>
        <v>5.556</v>
      </c>
      <c r="L176" s="95">
        <f>+(F176+G176+J176+K176)*$L$4</f>
        <v>4.66704</v>
      </c>
      <c r="M176" s="78">
        <f t="shared" si="64"/>
        <v>56.52304</v>
      </c>
      <c r="N176" s="73">
        <f t="shared" si="65"/>
        <v>56.52304</v>
      </c>
      <c r="O176" s="93" t="s">
        <v>165</v>
      </c>
    </row>
    <row r="177" s="57" customFormat="1" ht="36" outlineLevel="1" spans="1:15">
      <c r="A177" s="85">
        <v>9</v>
      </c>
      <c r="B177" s="70" t="s">
        <v>178</v>
      </c>
      <c r="C177" s="71" t="s">
        <v>179</v>
      </c>
      <c r="D177" s="70" t="s">
        <v>109</v>
      </c>
      <c r="E177" s="72">
        <v>2</v>
      </c>
      <c r="F177" s="78">
        <f>+F13</f>
        <v>15</v>
      </c>
      <c r="G177" s="69">
        <f t="shared" ref="G177:G182" si="67">+H177*(1+I177)</f>
        <v>55.55</v>
      </c>
      <c r="H177" s="78">
        <f>+H13</f>
        <v>55</v>
      </c>
      <c r="I177" s="96">
        <v>0.01</v>
      </c>
      <c r="J177" s="78">
        <f>+J13</f>
        <v>3</v>
      </c>
      <c r="K177" s="95">
        <f>+(F177+G177+J177)*$K$4</f>
        <v>8.826</v>
      </c>
      <c r="L177" s="95">
        <f>+(F177+G177+J177+K177)*$L$4</f>
        <v>7.41384</v>
      </c>
      <c r="M177" s="78">
        <f t="shared" si="64"/>
        <v>89.78984</v>
      </c>
      <c r="N177" s="78">
        <f t="shared" si="65"/>
        <v>179.57968</v>
      </c>
      <c r="O177" s="93" t="s">
        <v>165</v>
      </c>
    </row>
    <row r="178" s="57" customFormat="1" ht="36" outlineLevel="1" spans="1:15">
      <c r="A178" s="85">
        <v>10</v>
      </c>
      <c r="B178" s="70" t="s">
        <v>180</v>
      </c>
      <c r="C178" s="71" t="s">
        <v>181</v>
      </c>
      <c r="D178" s="70" t="s">
        <v>109</v>
      </c>
      <c r="E178" s="72">
        <v>1</v>
      </c>
      <c r="F178" s="69">
        <f>+F14</f>
        <v>5</v>
      </c>
      <c r="G178" s="69">
        <f t="shared" si="66"/>
        <v>6.06</v>
      </c>
      <c r="H178" s="69">
        <f>+H14</f>
        <v>6</v>
      </c>
      <c r="I178" s="96">
        <v>0.01</v>
      </c>
      <c r="J178" s="69">
        <f>+J14</f>
        <v>1</v>
      </c>
      <c r="K178" s="95">
        <f>+(F178+G178+J178)*$K$4</f>
        <v>1.4472</v>
      </c>
      <c r="L178" s="95">
        <f>+(F178+G178+J178+K178)*$L$4</f>
        <v>1.215648</v>
      </c>
      <c r="M178" s="78">
        <f t="shared" si="64"/>
        <v>14.722848</v>
      </c>
      <c r="N178" s="78">
        <f t="shared" si="65"/>
        <v>14.722848</v>
      </c>
      <c r="O178" s="93" t="s">
        <v>165</v>
      </c>
    </row>
    <row r="179" s="57" customFormat="1" ht="48" outlineLevel="1" spans="1:15">
      <c r="A179" s="85">
        <v>11</v>
      </c>
      <c r="B179" s="70" t="s">
        <v>182</v>
      </c>
      <c r="C179" s="71" t="s">
        <v>183</v>
      </c>
      <c r="D179" s="70" t="s">
        <v>109</v>
      </c>
      <c r="E179" s="72">
        <v>19</v>
      </c>
      <c r="F179" s="73">
        <f t="shared" ref="F179:F182" si="68">+$F$15</f>
        <v>11</v>
      </c>
      <c r="G179" s="69">
        <f t="shared" si="67"/>
        <v>21.21</v>
      </c>
      <c r="H179" s="73">
        <f>+H15</f>
        <v>21</v>
      </c>
      <c r="I179" s="94">
        <v>0.01</v>
      </c>
      <c r="J179" s="73">
        <f t="shared" ref="J179:J182" si="69">+$J$15</f>
        <v>3</v>
      </c>
      <c r="K179" s="95">
        <f>+(F179+G179+J179)*$K$4</f>
        <v>4.2252</v>
      </c>
      <c r="L179" s="95">
        <f>+(F179+G179+J179+K179)*$L$4</f>
        <v>3.549168</v>
      </c>
      <c r="M179" s="78">
        <f t="shared" si="64"/>
        <v>42.984368</v>
      </c>
      <c r="N179" s="78">
        <f t="shared" si="65"/>
        <v>816.702992</v>
      </c>
      <c r="O179" s="93" t="s">
        <v>184</v>
      </c>
    </row>
    <row r="180" s="57" customFormat="1" ht="48" outlineLevel="1" spans="1:15">
      <c r="A180" s="85">
        <v>12</v>
      </c>
      <c r="B180" s="70" t="s">
        <v>185</v>
      </c>
      <c r="C180" s="71" t="s">
        <v>186</v>
      </c>
      <c r="D180" s="70" t="s">
        <v>109</v>
      </c>
      <c r="E180" s="72">
        <v>3</v>
      </c>
      <c r="F180" s="73">
        <f t="shared" si="68"/>
        <v>11</v>
      </c>
      <c r="G180" s="69">
        <f t="shared" si="67"/>
        <v>16.16</v>
      </c>
      <c r="H180" s="73">
        <f>+H16</f>
        <v>16</v>
      </c>
      <c r="I180" s="94">
        <v>0.01</v>
      </c>
      <c r="J180" s="73">
        <f t="shared" si="69"/>
        <v>3</v>
      </c>
      <c r="K180" s="95">
        <f>+(F180+G180+J180)*$K$4</f>
        <v>3.6192</v>
      </c>
      <c r="L180" s="95">
        <f>+(F180+G180+J180+K180)*$L$4</f>
        <v>3.040128</v>
      </c>
      <c r="M180" s="78">
        <f t="shared" si="64"/>
        <v>36.819328</v>
      </c>
      <c r="N180" s="78">
        <f t="shared" si="65"/>
        <v>110.457984</v>
      </c>
      <c r="O180" s="93" t="s">
        <v>184</v>
      </c>
    </row>
    <row r="181" s="57" customFormat="1" ht="48" outlineLevel="1" spans="1:15">
      <c r="A181" s="85">
        <v>13</v>
      </c>
      <c r="B181" s="70" t="s">
        <v>187</v>
      </c>
      <c r="C181" s="71" t="s">
        <v>188</v>
      </c>
      <c r="D181" s="70" t="s">
        <v>109</v>
      </c>
      <c r="E181" s="72">
        <v>6</v>
      </c>
      <c r="F181" s="73">
        <f t="shared" si="68"/>
        <v>11</v>
      </c>
      <c r="G181" s="69">
        <f t="shared" si="67"/>
        <v>22.22</v>
      </c>
      <c r="H181" s="73">
        <v>22</v>
      </c>
      <c r="I181" s="94">
        <v>0.01</v>
      </c>
      <c r="J181" s="73">
        <f t="shared" si="69"/>
        <v>3</v>
      </c>
      <c r="K181" s="95">
        <f>+(F181+G181+J181)*$K$4</f>
        <v>4.3464</v>
      </c>
      <c r="L181" s="95">
        <f>+(F181+G181+J181+K181)*$L$4</f>
        <v>3.650976</v>
      </c>
      <c r="M181" s="78">
        <f t="shared" si="64"/>
        <v>44.217376</v>
      </c>
      <c r="N181" s="78">
        <f t="shared" si="65"/>
        <v>265.304256</v>
      </c>
      <c r="O181" s="93" t="s">
        <v>184</v>
      </c>
    </row>
    <row r="182" s="57" customFormat="1" ht="48" outlineLevel="1" spans="1:15">
      <c r="A182" s="85">
        <v>14</v>
      </c>
      <c r="B182" s="70" t="s">
        <v>189</v>
      </c>
      <c r="C182" s="71" t="s">
        <v>190</v>
      </c>
      <c r="D182" s="70" t="s">
        <v>109</v>
      </c>
      <c r="E182" s="72">
        <v>1</v>
      </c>
      <c r="F182" s="73">
        <f t="shared" si="68"/>
        <v>11</v>
      </c>
      <c r="G182" s="69">
        <f t="shared" si="67"/>
        <v>32.32</v>
      </c>
      <c r="H182" s="73">
        <f>+H18</f>
        <v>32</v>
      </c>
      <c r="I182" s="94">
        <v>0.01</v>
      </c>
      <c r="J182" s="73">
        <f t="shared" si="69"/>
        <v>3</v>
      </c>
      <c r="K182" s="95">
        <f>+(F182+G182+J182)*$K$4</f>
        <v>5.5584</v>
      </c>
      <c r="L182" s="95">
        <f>+(F182+G182+J182+K182)*$L$4</f>
        <v>4.669056</v>
      </c>
      <c r="M182" s="78">
        <f t="shared" si="64"/>
        <v>56.547456</v>
      </c>
      <c r="N182" s="78">
        <f t="shared" si="65"/>
        <v>56.547456</v>
      </c>
      <c r="O182" s="93" t="s">
        <v>184</v>
      </c>
    </row>
    <row r="183" s="57" customFormat="1" ht="48" outlineLevel="1" spans="1:15">
      <c r="A183" s="85">
        <v>15</v>
      </c>
      <c r="B183" s="70" t="s">
        <v>191</v>
      </c>
      <c r="C183" s="71" t="s">
        <v>192</v>
      </c>
      <c r="D183" s="70" t="s">
        <v>109</v>
      </c>
      <c r="E183" s="72">
        <v>1</v>
      </c>
      <c r="F183" s="73">
        <f t="shared" ref="F182:F190" si="70">+$F$18</f>
        <v>11</v>
      </c>
      <c r="G183" s="69">
        <f t="shared" ref="G182:G187" si="71">+H183*(1+I183)</f>
        <v>35.35</v>
      </c>
      <c r="H183" s="73">
        <f t="shared" ref="H182:H190" si="72">+H129</f>
        <v>35</v>
      </c>
      <c r="I183" s="94">
        <v>0.01</v>
      </c>
      <c r="J183" s="73">
        <f t="shared" ref="J182:J190" si="73">+$J$18</f>
        <v>3</v>
      </c>
      <c r="K183" s="95">
        <f>+(F183+G183+J183)*$K$4</f>
        <v>5.922</v>
      </c>
      <c r="L183" s="95">
        <f>+(F183+G183+J183+K183)*$L$4</f>
        <v>4.97448</v>
      </c>
      <c r="M183" s="78">
        <f t="shared" si="64"/>
        <v>60.24648</v>
      </c>
      <c r="N183" s="78">
        <f t="shared" si="65"/>
        <v>60.24648</v>
      </c>
      <c r="O183" s="93" t="s">
        <v>184</v>
      </c>
    </row>
    <row r="184" s="57" customFormat="1" ht="48" outlineLevel="1" spans="1:15">
      <c r="A184" s="85">
        <v>16</v>
      </c>
      <c r="B184" s="70" t="s">
        <v>193</v>
      </c>
      <c r="C184" s="71" t="s">
        <v>194</v>
      </c>
      <c r="D184" s="70" t="s">
        <v>109</v>
      </c>
      <c r="E184" s="72">
        <v>3</v>
      </c>
      <c r="F184" s="73">
        <f t="shared" si="70"/>
        <v>11</v>
      </c>
      <c r="G184" s="69">
        <f t="shared" si="71"/>
        <v>26.26</v>
      </c>
      <c r="H184" s="73">
        <f t="shared" si="72"/>
        <v>26</v>
      </c>
      <c r="I184" s="94">
        <v>0.01</v>
      </c>
      <c r="J184" s="73">
        <f t="shared" si="73"/>
        <v>3</v>
      </c>
      <c r="K184" s="95">
        <f>+(F184+G184+J184)*$K$4</f>
        <v>4.8312</v>
      </c>
      <c r="L184" s="95">
        <f>+(F184+G184+J184+K184)*$L$4</f>
        <v>4.058208</v>
      </c>
      <c r="M184" s="78">
        <f t="shared" si="64"/>
        <v>49.149408</v>
      </c>
      <c r="N184" s="78">
        <f t="shared" si="65"/>
        <v>147.448224</v>
      </c>
      <c r="O184" s="93" t="s">
        <v>184</v>
      </c>
    </row>
    <row r="185" s="57" customFormat="1" ht="48" outlineLevel="1" spans="1:15">
      <c r="A185" s="85">
        <v>17</v>
      </c>
      <c r="B185" s="70" t="s">
        <v>195</v>
      </c>
      <c r="C185" s="71" t="s">
        <v>196</v>
      </c>
      <c r="D185" s="70" t="s">
        <v>109</v>
      </c>
      <c r="E185" s="72">
        <v>4</v>
      </c>
      <c r="F185" s="73">
        <f t="shared" si="70"/>
        <v>11</v>
      </c>
      <c r="G185" s="69">
        <f t="shared" si="71"/>
        <v>22.22</v>
      </c>
      <c r="H185" s="73">
        <f t="shared" si="72"/>
        <v>22</v>
      </c>
      <c r="I185" s="94">
        <v>0.01</v>
      </c>
      <c r="J185" s="73">
        <f t="shared" si="73"/>
        <v>3</v>
      </c>
      <c r="K185" s="95">
        <f>+(F185+G185+J185)*$K$4</f>
        <v>4.3464</v>
      </c>
      <c r="L185" s="95">
        <f>+(F185+G185+J185+K185)*$L$4</f>
        <v>3.650976</v>
      </c>
      <c r="M185" s="78">
        <f t="shared" si="64"/>
        <v>44.217376</v>
      </c>
      <c r="N185" s="78">
        <f t="shared" si="65"/>
        <v>176.869504</v>
      </c>
      <c r="O185" s="93" t="s">
        <v>184</v>
      </c>
    </row>
    <row r="186" s="57" customFormat="1" ht="48" outlineLevel="1" spans="1:15">
      <c r="A186" s="85">
        <v>18</v>
      </c>
      <c r="B186" s="70" t="s">
        <v>199</v>
      </c>
      <c r="C186" s="71" t="s">
        <v>200</v>
      </c>
      <c r="D186" s="70" t="s">
        <v>109</v>
      </c>
      <c r="E186" s="72">
        <v>4</v>
      </c>
      <c r="F186" s="73">
        <f t="shared" si="70"/>
        <v>11</v>
      </c>
      <c r="G186" s="69">
        <f t="shared" si="71"/>
        <v>22.22</v>
      </c>
      <c r="H186" s="73">
        <f t="shared" si="72"/>
        <v>22</v>
      </c>
      <c r="I186" s="94">
        <v>0.01</v>
      </c>
      <c r="J186" s="73">
        <f t="shared" si="73"/>
        <v>3</v>
      </c>
      <c r="K186" s="95">
        <f>+(F186+G186+J186)*$K$4</f>
        <v>4.3464</v>
      </c>
      <c r="L186" s="95">
        <f>+(F186+G186+J186+K186)*$L$4</f>
        <v>3.650976</v>
      </c>
      <c r="M186" s="78">
        <f t="shared" si="64"/>
        <v>44.217376</v>
      </c>
      <c r="N186" s="78">
        <f t="shared" si="65"/>
        <v>176.869504</v>
      </c>
      <c r="O186" s="93" t="s">
        <v>184</v>
      </c>
    </row>
    <row r="187" s="57" customFormat="1" ht="48" outlineLevel="1" spans="1:15">
      <c r="A187" s="85">
        <v>19</v>
      </c>
      <c r="B187" s="70" t="s">
        <v>201</v>
      </c>
      <c r="C187" s="71" t="s">
        <v>202</v>
      </c>
      <c r="D187" s="70" t="s">
        <v>109</v>
      </c>
      <c r="E187" s="72">
        <v>2</v>
      </c>
      <c r="F187" s="73">
        <f t="shared" si="70"/>
        <v>11</v>
      </c>
      <c r="G187" s="69">
        <f t="shared" si="71"/>
        <v>24.24</v>
      </c>
      <c r="H187" s="73">
        <f t="shared" si="72"/>
        <v>24</v>
      </c>
      <c r="I187" s="94">
        <v>0.01</v>
      </c>
      <c r="J187" s="73">
        <f t="shared" si="73"/>
        <v>3</v>
      </c>
      <c r="K187" s="95">
        <f>+(F187+G187+J187)*$K$4</f>
        <v>4.5888</v>
      </c>
      <c r="L187" s="95">
        <f>+(F187+G187+J187+K187)*$L$4</f>
        <v>3.854592</v>
      </c>
      <c r="M187" s="78">
        <f t="shared" si="64"/>
        <v>46.683392</v>
      </c>
      <c r="N187" s="78">
        <f t="shared" si="65"/>
        <v>93.366784</v>
      </c>
      <c r="O187" s="93" t="s">
        <v>184</v>
      </c>
    </row>
    <row r="188" s="57" customFormat="1" ht="48" outlineLevel="1" spans="1:15">
      <c r="A188" s="85">
        <v>20</v>
      </c>
      <c r="B188" s="70" t="s">
        <v>203</v>
      </c>
      <c r="C188" s="71" t="s">
        <v>204</v>
      </c>
      <c r="D188" s="70" t="s">
        <v>109</v>
      </c>
      <c r="E188" s="72">
        <v>1</v>
      </c>
      <c r="F188" s="73">
        <f t="shared" si="70"/>
        <v>11</v>
      </c>
      <c r="G188" s="69">
        <f t="shared" ref="G188:G195" si="74">+H188*(1+I188)</f>
        <v>45.45</v>
      </c>
      <c r="H188" s="73">
        <f t="shared" si="72"/>
        <v>45</v>
      </c>
      <c r="I188" s="94">
        <v>0.01</v>
      </c>
      <c r="J188" s="73">
        <f t="shared" si="73"/>
        <v>3</v>
      </c>
      <c r="K188" s="95">
        <f>+(F188+G188+J188)*$K$4</f>
        <v>7.134</v>
      </c>
      <c r="L188" s="95">
        <f>+(F188+G188+J188+K188)*$L$4</f>
        <v>5.99256</v>
      </c>
      <c r="M188" s="78">
        <f t="shared" si="64"/>
        <v>72.57656</v>
      </c>
      <c r="N188" s="78">
        <f t="shared" si="65"/>
        <v>72.57656</v>
      </c>
      <c r="O188" s="93" t="s">
        <v>184</v>
      </c>
    </row>
    <row r="189" s="57" customFormat="1" ht="60" outlineLevel="1" spans="1:15">
      <c r="A189" s="85">
        <v>21</v>
      </c>
      <c r="B189" s="70" t="s">
        <v>205</v>
      </c>
      <c r="C189" s="71" t="s">
        <v>206</v>
      </c>
      <c r="D189" s="70" t="s">
        <v>109</v>
      </c>
      <c r="E189" s="72">
        <v>1</v>
      </c>
      <c r="F189" s="73">
        <f t="shared" si="70"/>
        <v>11</v>
      </c>
      <c r="G189" s="69">
        <f t="shared" si="74"/>
        <v>68.68</v>
      </c>
      <c r="H189" s="73">
        <f t="shared" si="72"/>
        <v>68</v>
      </c>
      <c r="I189" s="94">
        <v>0.01</v>
      </c>
      <c r="J189" s="73">
        <f t="shared" si="73"/>
        <v>3</v>
      </c>
      <c r="K189" s="95">
        <f>+(F189+G189+J189)*$K$4</f>
        <v>9.9216</v>
      </c>
      <c r="L189" s="95">
        <f>+(F189+G189+J189+K189)*$L$4</f>
        <v>8.334144</v>
      </c>
      <c r="M189" s="78">
        <f t="shared" si="64"/>
        <v>100.935744</v>
      </c>
      <c r="N189" s="78">
        <f t="shared" si="65"/>
        <v>100.935744</v>
      </c>
      <c r="O189" s="93"/>
    </row>
    <row r="190" s="57" customFormat="1" ht="48" outlineLevel="1" spans="1:15">
      <c r="A190" s="85">
        <v>22</v>
      </c>
      <c r="B190" s="70" t="s">
        <v>207</v>
      </c>
      <c r="C190" s="71" t="s">
        <v>208</v>
      </c>
      <c r="D190" s="70" t="s">
        <v>109</v>
      </c>
      <c r="E190" s="72">
        <v>1</v>
      </c>
      <c r="F190" s="73">
        <f t="shared" si="70"/>
        <v>11</v>
      </c>
      <c r="G190" s="69">
        <f t="shared" si="74"/>
        <v>28.28</v>
      </c>
      <c r="H190" s="73">
        <f t="shared" si="72"/>
        <v>28</v>
      </c>
      <c r="I190" s="94">
        <v>0.01</v>
      </c>
      <c r="J190" s="73">
        <f t="shared" si="73"/>
        <v>3</v>
      </c>
      <c r="K190" s="95">
        <f>+(F190+G190+J190)*$K$4</f>
        <v>5.0736</v>
      </c>
      <c r="L190" s="95">
        <f>+(F190+G190+J190+K190)*$L$4</f>
        <v>4.261824</v>
      </c>
      <c r="M190" s="78">
        <f t="shared" si="64"/>
        <v>51.615424</v>
      </c>
      <c r="N190" s="78">
        <f t="shared" si="65"/>
        <v>51.615424</v>
      </c>
      <c r="O190" s="93" t="s">
        <v>184</v>
      </c>
    </row>
    <row r="191" s="57" customFormat="1" ht="36" outlineLevel="1" spans="1:15">
      <c r="A191" s="85">
        <v>23</v>
      </c>
      <c r="B191" s="70" t="s">
        <v>209</v>
      </c>
      <c r="C191" s="71" t="s">
        <v>210</v>
      </c>
      <c r="D191" s="70" t="s">
        <v>109</v>
      </c>
      <c r="E191" s="72">
        <v>5</v>
      </c>
      <c r="F191" s="78">
        <f>+F28</f>
        <v>6</v>
      </c>
      <c r="G191" s="69">
        <f t="shared" si="74"/>
        <v>4.04</v>
      </c>
      <c r="H191" s="69">
        <f>+H28</f>
        <v>4</v>
      </c>
      <c r="I191" s="96">
        <v>0.01</v>
      </c>
      <c r="J191" s="69">
        <f>+J28</f>
        <v>1</v>
      </c>
      <c r="K191" s="95">
        <f>+(F191+G191+J191)*$K$4</f>
        <v>1.3248</v>
      </c>
      <c r="L191" s="95">
        <f>+(F191+G191+J191+K191)*$L$4</f>
        <v>1.112832</v>
      </c>
      <c r="M191" s="78">
        <f t="shared" si="64"/>
        <v>13.477632</v>
      </c>
      <c r="N191" s="78">
        <f t="shared" si="65"/>
        <v>67.38816</v>
      </c>
      <c r="O191" s="93"/>
    </row>
    <row r="192" s="57" customFormat="1" ht="36" outlineLevel="1" spans="1:15">
      <c r="A192" s="85">
        <v>24</v>
      </c>
      <c r="B192" s="70" t="s">
        <v>211</v>
      </c>
      <c r="C192" s="71" t="s">
        <v>212</v>
      </c>
      <c r="D192" s="70" t="s">
        <v>109</v>
      </c>
      <c r="E192" s="72">
        <v>1</v>
      </c>
      <c r="F192" s="73">
        <f t="shared" ref="F192:F194" si="75">+$F$15</f>
        <v>11</v>
      </c>
      <c r="G192" s="69">
        <f t="shared" si="74"/>
        <v>24.24</v>
      </c>
      <c r="H192" s="73">
        <f>+H29</f>
        <v>24</v>
      </c>
      <c r="I192" s="94">
        <v>0.01</v>
      </c>
      <c r="J192" s="73">
        <f>+$J$15</f>
        <v>3</v>
      </c>
      <c r="K192" s="95">
        <f>+(F192+G192+J192)*$K$4</f>
        <v>4.5888</v>
      </c>
      <c r="L192" s="95">
        <f>+(F192+G192+J192+K192)*$L$4</f>
        <v>3.854592</v>
      </c>
      <c r="M192" s="78">
        <f t="shared" si="64"/>
        <v>46.683392</v>
      </c>
      <c r="N192" s="78">
        <f t="shared" si="65"/>
        <v>46.683392</v>
      </c>
      <c r="O192" s="93" t="s">
        <v>184</v>
      </c>
    </row>
    <row r="193" s="57" customFormat="1" ht="36" outlineLevel="1" spans="1:15">
      <c r="A193" s="85">
        <v>25</v>
      </c>
      <c r="B193" s="70" t="s">
        <v>213</v>
      </c>
      <c r="C193" s="71" t="s">
        <v>214</v>
      </c>
      <c r="D193" s="70" t="s">
        <v>109</v>
      </c>
      <c r="E193" s="72">
        <v>1</v>
      </c>
      <c r="F193" s="73">
        <f t="shared" si="75"/>
        <v>11</v>
      </c>
      <c r="G193" s="69">
        <f t="shared" si="74"/>
        <v>24.24</v>
      </c>
      <c r="H193" s="73">
        <f>+H29</f>
        <v>24</v>
      </c>
      <c r="I193" s="94">
        <v>0.01</v>
      </c>
      <c r="J193" s="73">
        <f>+J29</f>
        <v>3</v>
      </c>
      <c r="K193" s="95">
        <f>+(F193+G193+J193)*$K$4</f>
        <v>4.5888</v>
      </c>
      <c r="L193" s="95">
        <f>+(F193+G193+J193+K193)*$L$4</f>
        <v>3.854592</v>
      </c>
      <c r="M193" s="78">
        <f t="shared" si="64"/>
        <v>46.683392</v>
      </c>
      <c r="N193" s="78">
        <f t="shared" si="65"/>
        <v>46.683392</v>
      </c>
      <c r="O193" s="93" t="s">
        <v>184</v>
      </c>
    </row>
    <row r="194" s="55" customFormat="1" ht="36" outlineLevel="1" spans="1:15">
      <c r="A194" s="85">
        <v>26</v>
      </c>
      <c r="B194" s="70" t="s">
        <v>215</v>
      </c>
      <c r="C194" s="71" t="s">
        <v>216</v>
      </c>
      <c r="D194" s="70" t="s">
        <v>109</v>
      </c>
      <c r="E194" s="72">
        <v>2</v>
      </c>
      <c r="F194" s="73">
        <f t="shared" si="75"/>
        <v>11</v>
      </c>
      <c r="G194" s="69">
        <f t="shared" si="74"/>
        <v>29.29</v>
      </c>
      <c r="H194" s="73">
        <f>+H31</f>
        <v>29</v>
      </c>
      <c r="I194" s="94">
        <v>0.01</v>
      </c>
      <c r="J194" s="73">
        <f>+J29</f>
        <v>3</v>
      </c>
      <c r="K194" s="95">
        <f>+(F194+G194+J194)*$K$4</f>
        <v>5.1948</v>
      </c>
      <c r="L194" s="95">
        <f>+(F194+G194+J194+K194)*$L$4</f>
        <v>4.363632</v>
      </c>
      <c r="M194" s="78">
        <f t="shared" si="64"/>
        <v>52.848432</v>
      </c>
      <c r="N194" s="78">
        <f t="shared" si="65"/>
        <v>105.696864</v>
      </c>
      <c r="O194" s="93" t="s">
        <v>184</v>
      </c>
    </row>
    <row r="195" s="55" customFormat="1" ht="48" outlineLevel="1" spans="1:15">
      <c r="A195" s="85">
        <v>27</v>
      </c>
      <c r="B195" s="70" t="s">
        <v>217</v>
      </c>
      <c r="C195" s="71" t="s">
        <v>218</v>
      </c>
      <c r="D195" s="70" t="s">
        <v>162</v>
      </c>
      <c r="E195" s="72">
        <v>1</v>
      </c>
      <c r="F195" s="69">
        <f>+F32</f>
        <v>58</v>
      </c>
      <c r="G195" s="69">
        <f t="shared" si="74"/>
        <v>65.65</v>
      </c>
      <c r="H195" s="69">
        <f>+H32</f>
        <v>65</v>
      </c>
      <c r="I195" s="96">
        <v>0.01</v>
      </c>
      <c r="J195" s="69">
        <f>+J32</f>
        <v>45</v>
      </c>
      <c r="K195" s="95">
        <f>+(F195+G195+J195)*$K$4</f>
        <v>20.238</v>
      </c>
      <c r="L195" s="95">
        <f>+(F195+G195+J195+K195)*$L$4</f>
        <v>16.99992</v>
      </c>
      <c r="M195" s="78">
        <f t="shared" si="64"/>
        <v>205.88792</v>
      </c>
      <c r="N195" s="73">
        <f t="shared" si="65"/>
        <v>205.88792</v>
      </c>
      <c r="O195" s="93"/>
    </row>
    <row r="196" s="57" customFormat="1" ht="48" outlineLevel="1" spans="1:15">
      <c r="A196" s="85">
        <v>28</v>
      </c>
      <c r="B196" s="76" t="s">
        <v>219</v>
      </c>
      <c r="C196" s="77" t="s">
        <v>220</v>
      </c>
      <c r="D196" s="78" t="s">
        <v>68</v>
      </c>
      <c r="E196" s="78">
        <f>145.7+188.28</f>
        <v>333.98</v>
      </c>
      <c r="F196" s="73">
        <v>1</v>
      </c>
      <c r="G196" s="73">
        <f>+G33</f>
        <v>2.323</v>
      </c>
      <c r="H196" s="73">
        <f>+H141</f>
        <v>2.3</v>
      </c>
      <c r="I196" s="94">
        <v>0.01</v>
      </c>
      <c r="J196" s="73">
        <v>0.5</v>
      </c>
      <c r="K196" s="95">
        <f>+(F196+G196+J196)*$K$4</f>
        <v>0.45876</v>
      </c>
      <c r="L196" s="95">
        <f>+(F196+G196+J196+K196)*$L$4</f>
        <v>0.3853584</v>
      </c>
      <c r="M196" s="78">
        <f t="shared" si="64"/>
        <v>4.6671184</v>
      </c>
      <c r="N196" s="78">
        <f t="shared" si="65"/>
        <v>1558.724203232</v>
      </c>
      <c r="O196" s="93"/>
    </row>
    <row r="197" s="57" customFormat="1" ht="48" outlineLevel="1" spans="1:15">
      <c r="A197" s="85">
        <v>29</v>
      </c>
      <c r="B197" s="76" t="s">
        <v>219</v>
      </c>
      <c r="C197" s="77" t="s">
        <v>221</v>
      </c>
      <c r="D197" s="78" t="s">
        <v>68</v>
      </c>
      <c r="E197" s="78">
        <v>145.77</v>
      </c>
      <c r="F197" s="73">
        <f>+$F$33</f>
        <v>0.8</v>
      </c>
      <c r="G197" s="73">
        <f>+G34</f>
        <v>3.333</v>
      </c>
      <c r="H197" s="73">
        <f>+H142</f>
        <v>3.3</v>
      </c>
      <c r="I197" s="94">
        <v>0.01</v>
      </c>
      <c r="J197" s="73">
        <f>+$J$33</f>
        <v>0.5</v>
      </c>
      <c r="K197" s="95">
        <f>+(F197+G197+J197)*$K$4</f>
        <v>0.55596</v>
      </c>
      <c r="L197" s="95">
        <f>+(F197+G197+J197+K197)*$L$4</f>
        <v>0.4670064</v>
      </c>
      <c r="M197" s="78">
        <f t="shared" si="64"/>
        <v>5.6559664</v>
      </c>
      <c r="N197" s="78">
        <f t="shared" si="65"/>
        <v>824.470222128</v>
      </c>
      <c r="O197" s="93"/>
    </row>
    <row r="198" s="57" customFormat="1" ht="48" outlineLevel="1" spans="1:15">
      <c r="A198" s="85">
        <v>30</v>
      </c>
      <c r="B198" s="76" t="s">
        <v>222</v>
      </c>
      <c r="C198" s="77" t="s">
        <v>223</v>
      </c>
      <c r="D198" s="78" t="s">
        <v>68</v>
      </c>
      <c r="E198" s="78">
        <v>20.11</v>
      </c>
      <c r="F198" s="78">
        <f>+F35</f>
        <v>0.8</v>
      </c>
      <c r="G198" s="69">
        <f>+H198*(1+I198)</f>
        <v>1.919</v>
      </c>
      <c r="H198" s="78">
        <f>+H35</f>
        <v>1.9</v>
      </c>
      <c r="I198" s="96">
        <v>0.01</v>
      </c>
      <c r="J198" s="69">
        <f>+J35</f>
        <v>0.5</v>
      </c>
      <c r="K198" s="95">
        <f>+(F198+G198+J198)*$K$4</f>
        <v>0.38628</v>
      </c>
      <c r="L198" s="95">
        <f>+(F198+G198+J198+K198)*$L$4</f>
        <v>0.3244752</v>
      </c>
      <c r="M198" s="78">
        <f t="shared" si="64"/>
        <v>3.9297552</v>
      </c>
      <c r="N198" s="78">
        <f t="shared" si="65"/>
        <v>79.027377072</v>
      </c>
      <c r="O198" s="93"/>
    </row>
    <row r="199" s="57" customFormat="1" ht="48" outlineLevel="1" spans="1:15">
      <c r="A199" s="85">
        <v>31</v>
      </c>
      <c r="B199" s="76" t="s">
        <v>224</v>
      </c>
      <c r="C199" s="77" t="s">
        <v>225</v>
      </c>
      <c r="D199" s="78" t="s">
        <v>68</v>
      </c>
      <c r="E199" s="78">
        <v>3</v>
      </c>
      <c r="F199" s="78">
        <f>+F36</f>
        <v>0.6</v>
      </c>
      <c r="G199" s="69">
        <f>+H199*(1+I199)</f>
        <v>0.505</v>
      </c>
      <c r="H199" s="78">
        <f>+H36</f>
        <v>0.5</v>
      </c>
      <c r="I199" s="94">
        <v>0.01</v>
      </c>
      <c r="J199" s="78">
        <f>+J36</f>
        <v>0.2</v>
      </c>
      <c r="K199" s="95">
        <f>+(F199+G199+J199)*$K$4</f>
        <v>0.1566</v>
      </c>
      <c r="L199" s="95">
        <f>+(F199+G199+J199+K199)*$L$4</f>
        <v>0.131544</v>
      </c>
      <c r="M199" s="78">
        <f t="shared" si="64"/>
        <v>1.593144</v>
      </c>
      <c r="N199" s="78">
        <f t="shared" si="65"/>
        <v>4.779432</v>
      </c>
      <c r="O199" s="93" t="s">
        <v>226</v>
      </c>
    </row>
    <row r="200" s="57" customFormat="1" ht="48" outlineLevel="1" spans="1:15">
      <c r="A200" s="85">
        <v>32</v>
      </c>
      <c r="B200" s="76" t="s">
        <v>227</v>
      </c>
      <c r="C200" s="77" t="s">
        <v>228</v>
      </c>
      <c r="D200" s="78" t="s">
        <v>68</v>
      </c>
      <c r="E200" s="78">
        <v>5.3</v>
      </c>
      <c r="F200" s="78">
        <f>+F37</f>
        <v>1.67</v>
      </c>
      <c r="G200" s="69">
        <f>+H200*(1+I200)</f>
        <v>2.1715</v>
      </c>
      <c r="H200" s="78">
        <f>+H37</f>
        <v>2.15</v>
      </c>
      <c r="I200" s="96">
        <v>0.01</v>
      </c>
      <c r="J200" s="78">
        <f>+J37</f>
        <v>0.3</v>
      </c>
      <c r="K200" s="95">
        <f>+(F200+G200+J200)*$K$4</f>
        <v>0.49698</v>
      </c>
      <c r="L200" s="95">
        <f>+(F200+G200+J200+K200)*$L$4</f>
        <v>0.4174632</v>
      </c>
      <c r="M200" s="78">
        <f t="shared" si="64"/>
        <v>5.0559432</v>
      </c>
      <c r="N200" s="78">
        <f t="shared" si="65"/>
        <v>26.79649896</v>
      </c>
      <c r="O200" s="93"/>
    </row>
    <row r="201" s="57" customFormat="1" spans="1:15">
      <c r="A201" s="85">
        <v>33</v>
      </c>
      <c r="B201" s="107" t="s">
        <v>33</v>
      </c>
      <c r="C201" s="107"/>
      <c r="D201" s="107" t="s">
        <v>229</v>
      </c>
      <c r="E201" s="108"/>
      <c r="F201" s="78"/>
      <c r="G201" s="78"/>
      <c r="H201" s="78"/>
      <c r="I201" s="113"/>
      <c r="J201" s="78"/>
      <c r="K201" s="114"/>
      <c r="L201" s="67"/>
      <c r="M201" s="78"/>
      <c r="N201" s="78">
        <f>SUM(N169:N200)</f>
        <v>7376.840494352</v>
      </c>
      <c r="O201" s="93"/>
    </row>
    <row r="202" s="57" customFormat="1" spans="1:15">
      <c r="A202" s="85" t="s">
        <v>127</v>
      </c>
      <c r="B202" s="65" t="s">
        <v>282</v>
      </c>
      <c r="C202" s="65" t="s">
        <v>161</v>
      </c>
      <c r="D202" s="65" t="s">
        <v>162</v>
      </c>
      <c r="E202" s="108"/>
      <c r="F202" s="78"/>
      <c r="G202" s="78"/>
      <c r="H202" s="78"/>
      <c r="I202" s="113"/>
      <c r="J202" s="78"/>
      <c r="K202" s="114"/>
      <c r="L202" s="67"/>
      <c r="M202" s="78"/>
      <c r="N202" s="78"/>
      <c r="O202" s="93"/>
    </row>
    <row r="203" s="57" customFormat="1" ht="48" outlineLevel="1" spans="1:15">
      <c r="A203" s="85">
        <v>1</v>
      </c>
      <c r="B203" s="70" t="s">
        <v>231</v>
      </c>
      <c r="C203" s="71" t="s">
        <v>232</v>
      </c>
      <c r="D203" s="70" t="s">
        <v>35</v>
      </c>
      <c r="E203" s="85">
        <v>1</v>
      </c>
      <c r="F203" s="69">
        <v>38</v>
      </c>
      <c r="G203" s="69">
        <f t="shared" ref="G203:G210" si="76">+H203*(1+I203)</f>
        <v>732.25</v>
      </c>
      <c r="H203" s="85">
        <f t="shared" ref="H203:H212" si="77">+H40</f>
        <v>725</v>
      </c>
      <c r="I203" s="99">
        <v>0.01</v>
      </c>
      <c r="J203" s="69">
        <v>28</v>
      </c>
      <c r="K203" s="95">
        <f>+(F203+G203+J203)*$K$4</f>
        <v>95.79</v>
      </c>
      <c r="L203" s="95">
        <f>+(F203+G203+J203+K203)*$L$4</f>
        <v>80.4636</v>
      </c>
      <c r="M203" s="78">
        <f t="shared" ref="M203:M220" si="78">F203+G203+J203+K203+L203</f>
        <v>974.5036</v>
      </c>
      <c r="N203" s="78">
        <f t="shared" ref="N203:N220" si="79">M203*E203</f>
        <v>974.5036</v>
      </c>
      <c r="O203" s="93" t="s">
        <v>110</v>
      </c>
    </row>
    <row r="204" s="57" customFormat="1" ht="48" outlineLevel="1" spans="1:15">
      <c r="A204" s="85">
        <v>2</v>
      </c>
      <c r="B204" s="70" t="s">
        <v>233</v>
      </c>
      <c r="C204" s="71" t="s">
        <v>234</v>
      </c>
      <c r="D204" s="70" t="s">
        <v>35</v>
      </c>
      <c r="E204" s="85">
        <v>1</v>
      </c>
      <c r="F204" s="69">
        <f>+F41</f>
        <v>68</v>
      </c>
      <c r="G204" s="69">
        <f t="shared" si="76"/>
        <v>787.8</v>
      </c>
      <c r="H204" s="69">
        <f t="shared" si="77"/>
        <v>780</v>
      </c>
      <c r="I204" s="96">
        <v>0.01</v>
      </c>
      <c r="J204" s="69">
        <f>+J41</f>
        <v>22</v>
      </c>
      <c r="K204" s="95">
        <f>+(F204+G204+J204)*$K$4</f>
        <v>105.336</v>
      </c>
      <c r="L204" s="95">
        <f>+(F204+G204+J204+K204)*$L$4</f>
        <v>88.48224</v>
      </c>
      <c r="M204" s="78">
        <f t="shared" si="78"/>
        <v>1071.61824</v>
      </c>
      <c r="N204" s="78">
        <f t="shared" si="79"/>
        <v>1071.61824</v>
      </c>
      <c r="O204" s="93" t="s">
        <v>235</v>
      </c>
    </row>
    <row r="205" s="57" customFormat="1" ht="48" outlineLevel="1" spans="1:15">
      <c r="A205" s="85">
        <v>3</v>
      </c>
      <c r="B205" s="70" t="s">
        <v>236</v>
      </c>
      <c r="C205" s="71" t="s">
        <v>237</v>
      </c>
      <c r="D205" s="70" t="s">
        <v>35</v>
      </c>
      <c r="E205" s="85">
        <v>1</v>
      </c>
      <c r="F205" s="69">
        <v>38</v>
      </c>
      <c r="G205" s="69">
        <f t="shared" si="76"/>
        <v>828.2</v>
      </c>
      <c r="H205" s="85">
        <f t="shared" si="77"/>
        <v>820</v>
      </c>
      <c r="I205" s="99">
        <v>0.01</v>
      </c>
      <c r="J205" s="69">
        <v>28</v>
      </c>
      <c r="K205" s="95">
        <f>+(F205+G205+J205)*$K$4</f>
        <v>107.304</v>
      </c>
      <c r="L205" s="95">
        <f>+(F205+G205+J205+K205)*$L$4</f>
        <v>90.13536</v>
      </c>
      <c r="M205" s="78">
        <f t="shared" si="78"/>
        <v>1091.63936</v>
      </c>
      <c r="N205" s="78">
        <f t="shared" si="79"/>
        <v>1091.63936</v>
      </c>
      <c r="O205" s="93" t="s">
        <v>110</v>
      </c>
    </row>
    <row r="206" s="57" customFormat="1" ht="72" outlineLevel="1" spans="1:15">
      <c r="A206" s="85">
        <v>4</v>
      </c>
      <c r="B206" s="70" t="s">
        <v>238</v>
      </c>
      <c r="C206" s="71" t="s">
        <v>239</v>
      </c>
      <c r="D206" s="70" t="s">
        <v>35</v>
      </c>
      <c r="E206" s="85">
        <v>1</v>
      </c>
      <c r="F206" s="69">
        <v>40</v>
      </c>
      <c r="G206" s="69">
        <f t="shared" si="76"/>
        <v>1292.8</v>
      </c>
      <c r="H206" s="85">
        <f t="shared" si="77"/>
        <v>1280</v>
      </c>
      <c r="I206" s="99">
        <v>0.01</v>
      </c>
      <c r="J206" s="69">
        <v>28</v>
      </c>
      <c r="K206" s="95">
        <f>+(F206+G206+J206)*$K$4</f>
        <v>163.296</v>
      </c>
      <c r="L206" s="95">
        <f>+(F206+G206+J206+K206)*$L$4</f>
        <v>137.16864</v>
      </c>
      <c r="M206" s="78">
        <f t="shared" si="78"/>
        <v>1661.26464</v>
      </c>
      <c r="N206" s="78">
        <f t="shared" si="79"/>
        <v>1661.26464</v>
      </c>
      <c r="O206" s="93" t="s">
        <v>240</v>
      </c>
    </row>
    <row r="207" s="57" customFormat="1" ht="48" outlineLevel="1" spans="1:15">
      <c r="A207" s="85">
        <v>5</v>
      </c>
      <c r="B207" s="70" t="s">
        <v>241</v>
      </c>
      <c r="C207" s="71" t="s">
        <v>242</v>
      </c>
      <c r="D207" s="70" t="s">
        <v>35</v>
      </c>
      <c r="E207" s="85">
        <v>2</v>
      </c>
      <c r="F207" s="69">
        <f>+F44</f>
        <v>8</v>
      </c>
      <c r="G207" s="69">
        <f t="shared" si="76"/>
        <v>42.42</v>
      </c>
      <c r="H207" s="69">
        <f t="shared" si="77"/>
        <v>42</v>
      </c>
      <c r="I207" s="96">
        <v>0.01</v>
      </c>
      <c r="J207" s="69">
        <f>+J44</f>
        <v>1</v>
      </c>
      <c r="K207" s="95">
        <f>+(F207+G207+J207)*$K$4</f>
        <v>6.1704</v>
      </c>
      <c r="L207" s="95">
        <f>+(F207+G207+J207+K207)*$L$4</f>
        <v>5.183136</v>
      </c>
      <c r="M207" s="78">
        <f t="shared" si="78"/>
        <v>62.773536</v>
      </c>
      <c r="N207" s="78">
        <f t="shared" si="79"/>
        <v>125.547072</v>
      </c>
      <c r="O207" s="93" t="s">
        <v>110</v>
      </c>
    </row>
    <row r="208" s="57" customFormat="1" ht="48" outlineLevel="1" spans="1:15">
      <c r="A208" s="85">
        <v>6</v>
      </c>
      <c r="B208" s="70" t="s">
        <v>243</v>
      </c>
      <c r="C208" s="71" t="s">
        <v>244</v>
      </c>
      <c r="D208" s="70" t="s">
        <v>35</v>
      </c>
      <c r="E208" s="85">
        <v>1</v>
      </c>
      <c r="F208" s="69">
        <v>12</v>
      </c>
      <c r="G208" s="69">
        <f t="shared" si="76"/>
        <v>68.68</v>
      </c>
      <c r="H208" s="69">
        <f t="shared" si="77"/>
        <v>68</v>
      </c>
      <c r="I208" s="96">
        <v>0.01</v>
      </c>
      <c r="J208" s="69">
        <v>3</v>
      </c>
      <c r="K208" s="95">
        <f>+(F208+G208+J208)*$K$4</f>
        <v>10.0416</v>
      </c>
      <c r="L208" s="95">
        <f>+(F208+G208+J208+K208)*$L$4</f>
        <v>8.434944</v>
      </c>
      <c r="M208" s="78">
        <f t="shared" si="78"/>
        <v>102.156544</v>
      </c>
      <c r="N208" s="78">
        <f t="shared" si="79"/>
        <v>102.156544</v>
      </c>
      <c r="O208" s="93" t="s">
        <v>110</v>
      </c>
    </row>
    <row r="209" s="57" customFormat="1" ht="45" outlineLevel="1" spans="1:15">
      <c r="A209" s="85">
        <v>7</v>
      </c>
      <c r="B209" s="83" t="s">
        <v>245</v>
      </c>
      <c r="C209" s="82" t="s">
        <v>246</v>
      </c>
      <c r="D209" s="83" t="s">
        <v>35</v>
      </c>
      <c r="E209" s="85">
        <v>1</v>
      </c>
      <c r="F209" s="85">
        <f>+F46</f>
        <v>12</v>
      </c>
      <c r="G209" s="69">
        <f t="shared" si="76"/>
        <v>48.48</v>
      </c>
      <c r="H209" s="69">
        <f t="shared" si="77"/>
        <v>48</v>
      </c>
      <c r="I209" s="96">
        <v>0.01</v>
      </c>
      <c r="J209" s="85">
        <f>+J46</f>
        <v>3</v>
      </c>
      <c r="K209" s="95">
        <f>+(F209+G209+J209)*$K$4</f>
        <v>7.6176</v>
      </c>
      <c r="L209" s="95">
        <f>+(F209+G209+J209+K209)*$L$4</f>
        <v>6.398784</v>
      </c>
      <c r="M209" s="78">
        <f t="shared" si="78"/>
        <v>77.496384</v>
      </c>
      <c r="N209" s="78">
        <f t="shared" si="79"/>
        <v>77.496384</v>
      </c>
      <c r="O209" s="93" t="s">
        <v>110</v>
      </c>
    </row>
    <row r="210" s="57" customFormat="1" ht="36" outlineLevel="1" spans="1:15">
      <c r="A210" s="85">
        <v>8</v>
      </c>
      <c r="B210" s="70" t="s">
        <v>247</v>
      </c>
      <c r="C210" s="71" t="s">
        <v>248</v>
      </c>
      <c r="D210" s="70" t="s">
        <v>35</v>
      </c>
      <c r="E210" s="85">
        <v>1</v>
      </c>
      <c r="F210" s="74">
        <f>+F47</f>
        <v>74.3741</v>
      </c>
      <c r="G210" s="69">
        <f t="shared" si="76"/>
        <v>1136.25</v>
      </c>
      <c r="H210" s="69">
        <f t="shared" si="77"/>
        <v>1125</v>
      </c>
      <c r="I210" s="96">
        <v>0.01</v>
      </c>
      <c r="J210" s="85">
        <f>+J47</f>
        <v>22</v>
      </c>
      <c r="K210" s="95">
        <f>+(F210+G210+J210)*$K$4</f>
        <v>147.914892</v>
      </c>
      <c r="L210" s="95">
        <f>+(F210+G210+J210+K210)*$L$4</f>
        <v>124.24850928</v>
      </c>
      <c r="M210" s="78">
        <f t="shared" si="78"/>
        <v>1504.78750128</v>
      </c>
      <c r="N210" s="78">
        <f t="shared" si="79"/>
        <v>1504.78750128</v>
      </c>
      <c r="O210" s="93" t="s">
        <v>275</v>
      </c>
    </row>
    <row r="211" s="57" customFormat="1" ht="36" outlineLevel="1" spans="1:15">
      <c r="A211" s="85">
        <v>9</v>
      </c>
      <c r="B211" s="70" t="s">
        <v>250</v>
      </c>
      <c r="C211" s="71" t="s">
        <v>251</v>
      </c>
      <c r="D211" s="70" t="s">
        <v>35</v>
      </c>
      <c r="E211" s="85">
        <v>1</v>
      </c>
      <c r="F211" s="69">
        <f>+F48</f>
        <v>58</v>
      </c>
      <c r="G211" s="69">
        <f t="shared" ref="G211:G216" si="80">+H211*(1+I211)</f>
        <v>808</v>
      </c>
      <c r="H211" s="69">
        <f t="shared" si="77"/>
        <v>800</v>
      </c>
      <c r="I211" s="96">
        <v>0.01</v>
      </c>
      <c r="J211" s="69">
        <f>+J48</f>
        <v>16</v>
      </c>
      <c r="K211" s="95">
        <f>+(F211+G211+J211)*$K$4</f>
        <v>105.84</v>
      </c>
      <c r="L211" s="95">
        <f>+(F211+G211+J211+K211)*$L$4</f>
        <v>88.9056</v>
      </c>
      <c r="M211" s="78">
        <f t="shared" si="78"/>
        <v>1076.7456</v>
      </c>
      <c r="N211" s="78">
        <f t="shared" si="79"/>
        <v>1076.7456</v>
      </c>
      <c r="O211" s="93" t="s">
        <v>275</v>
      </c>
    </row>
    <row r="212" s="57" customFormat="1" ht="60" outlineLevel="1" spans="1:15">
      <c r="A212" s="85">
        <v>10</v>
      </c>
      <c r="B212" s="70" t="s">
        <v>252</v>
      </c>
      <c r="C212" s="71" t="s">
        <v>253</v>
      </c>
      <c r="D212" s="70" t="s">
        <v>35</v>
      </c>
      <c r="E212" s="85">
        <v>1</v>
      </c>
      <c r="F212" s="69">
        <v>38</v>
      </c>
      <c r="G212" s="69">
        <f t="shared" si="80"/>
        <v>994.85</v>
      </c>
      <c r="H212" s="85">
        <f t="shared" si="77"/>
        <v>985</v>
      </c>
      <c r="I212" s="99">
        <v>0.01</v>
      </c>
      <c r="J212" s="69">
        <v>28</v>
      </c>
      <c r="K212" s="95">
        <f>+(F212+G212+J212)*$K$4</f>
        <v>127.302</v>
      </c>
      <c r="L212" s="95">
        <f>+(F212+G212+J212+K212)*$L$4</f>
        <v>106.93368</v>
      </c>
      <c r="M212" s="78">
        <f t="shared" si="78"/>
        <v>1295.08568</v>
      </c>
      <c r="N212" s="78">
        <f t="shared" si="79"/>
        <v>1295.08568</v>
      </c>
      <c r="O212" s="93" t="s">
        <v>110</v>
      </c>
    </row>
    <row r="213" s="57" customFormat="1" ht="48" outlineLevel="1" spans="1:15">
      <c r="A213" s="85">
        <v>11</v>
      </c>
      <c r="B213" s="70" t="s">
        <v>254</v>
      </c>
      <c r="C213" s="71" t="s">
        <v>255</v>
      </c>
      <c r="D213" s="70" t="s">
        <v>109</v>
      </c>
      <c r="E213" s="85">
        <v>5</v>
      </c>
      <c r="F213" s="69">
        <f>+$F$50</f>
        <v>12</v>
      </c>
      <c r="G213" s="69">
        <f t="shared" si="80"/>
        <v>15.15</v>
      </c>
      <c r="H213" s="69">
        <f>+$H$50</f>
        <v>15</v>
      </c>
      <c r="I213" s="69">
        <f>+$I$54</f>
        <v>0.01</v>
      </c>
      <c r="J213" s="69">
        <f>+$J$50</f>
        <v>4</v>
      </c>
      <c r="K213" s="95">
        <f>+(F213+G213+J213)*$K$4</f>
        <v>3.738</v>
      </c>
      <c r="L213" s="95">
        <f>+(F213+G213+J213+K213)*$L$4</f>
        <v>3.13992</v>
      </c>
      <c r="M213" s="78">
        <f t="shared" si="78"/>
        <v>38.02792</v>
      </c>
      <c r="N213" s="78">
        <f t="shared" si="79"/>
        <v>190.1396</v>
      </c>
      <c r="O213" s="93"/>
    </row>
    <row r="214" s="57" customFormat="1" ht="48" outlineLevel="1" spans="1:15">
      <c r="A214" s="85">
        <v>12</v>
      </c>
      <c r="B214" s="70" t="s">
        <v>254</v>
      </c>
      <c r="C214" s="71" t="s">
        <v>256</v>
      </c>
      <c r="D214" s="70" t="s">
        <v>109</v>
      </c>
      <c r="E214" s="85">
        <v>2</v>
      </c>
      <c r="F214" s="69">
        <f>+$F$51</f>
        <v>11</v>
      </c>
      <c r="G214" s="69">
        <f t="shared" si="80"/>
        <v>7.777</v>
      </c>
      <c r="H214" s="69">
        <f>+$H$51</f>
        <v>7.7</v>
      </c>
      <c r="I214" s="69">
        <f>+$I$54</f>
        <v>0.01</v>
      </c>
      <c r="J214" s="69">
        <f>+$J$51</f>
        <v>3.5</v>
      </c>
      <c r="K214" s="95">
        <f>+(F214+G214+J214)*$K$4</f>
        <v>2.67324</v>
      </c>
      <c r="L214" s="95">
        <f>+(F214+G214+J214+K214)*$L$4</f>
        <v>2.2455216</v>
      </c>
      <c r="M214" s="78">
        <f t="shared" si="78"/>
        <v>27.1957616</v>
      </c>
      <c r="N214" s="78">
        <f t="shared" si="79"/>
        <v>54.3915232</v>
      </c>
      <c r="O214" s="93"/>
    </row>
    <row r="215" s="57" customFormat="1" ht="48" outlineLevel="1" spans="1:15">
      <c r="A215" s="85">
        <v>13</v>
      </c>
      <c r="B215" s="70" t="s">
        <v>257</v>
      </c>
      <c r="C215" s="71" t="s">
        <v>258</v>
      </c>
      <c r="D215" s="70" t="s">
        <v>109</v>
      </c>
      <c r="E215" s="85">
        <v>1</v>
      </c>
      <c r="F215" s="69">
        <v>3</v>
      </c>
      <c r="G215" s="69">
        <f t="shared" si="80"/>
        <v>19.695</v>
      </c>
      <c r="H215" s="69">
        <v>19.5</v>
      </c>
      <c r="I215" s="96">
        <v>0.01</v>
      </c>
      <c r="J215" s="69">
        <v>0.5</v>
      </c>
      <c r="K215" s="95">
        <f>+(F215+G215+J215)*$K$4</f>
        <v>2.7834</v>
      </c>
      <c r="L215" s="95">
        <f>+(F215+G215+J215+K215)*$L$4</f>
        <v>2.338056</v>
      </c>
      <c r="M215" s="78">
        <f t="shared" si="78"/>
        <v>28.316456</v>
      </c>
      <c r="N215" s="78">
        <f t="shared" si="79"/>
        <v>28.316456</v>
      </c>
      <c r="O215" s="93"/>
    </row>
    <row r="216" s="57" customFormat="1" ht="36" outlineLevel="1" spans="1:15">
      <c r="A216" s="85">
        <v>14</v>
      </c>
      <c r="B216" s="70" t="s">
        <v>259</v>
      </c>
      <c r="C216" s="71" t="s">
        <v>260</v>
      </c>
      <c r="D216" s="70" t="s">
        <v>109</v>
      </c>
      <c r="E216" s="85">
        <v>1</v>
      </c>
      <c r="F216" s="69">
        <v>3</v>
      </c>
      <c r="G216" s="69">
        <f t="shared" si="80"/>
        <v>15.15</v>
      </c>
      <c r="H216" s="69">
        <v>15</v>
      </c>
      <c r="I216" s="96">
        <v>0.01</v>
      </c>
      <c r="J216" s="69">
        <v>0.5</v>
      </c>
      <c r="K216" s="95">
        <f>+(F216+G216+J216)*$K$4</f>
        <v>2.238</v>
      </c>
      <c r="L216" s="95">
        <f>+(F216+G216+J216+K216)*$L$4</f>
        <v>1.87992</v>
      </c>
      <c r="M216" s="78">
        <f t="shared" si="78"/>
        <v>22.76792</v>
      </c>
      <c r="N216" s="78">
        <f t="shared" si="79"/>
        <v>22.76792</v>
      </c>
      <c r="O216" s="93"/>
    </row>
    <row r="217" s="57" customFormat="1" ht="48" outlineLevel="1" spans="1:15">
      <c r="A217" s="85">
        <v>15</v>
      </c>
      <c r="B217" s="70" t="s">
        <v>261</v>
      </c>
      <c r="C217" s="86" t="s">
        <v>262</v>
      </c>
      <c r="D217" s="78" t="s">
        <v>68</v>
      </c>
      <c r="E217" s="109">
        <f>14.65-0.5</f>
        <v>14.15</v>
      </c>
      <c r="F217" s="69">
        <f t="shared" ref="F217:F220" si="81">+$F$54</f>
        <v>6</v>
      </c>
      <c r="G217" s="69">
        <f>+$G$54</f>
        <v>10.1</v>
      </c>
      <c r="H217" s="69">
        <f>+$H$54</f>
        <v>10</v>
      </c>
      <c r="I217" s="69">
        <f t="shared" ref="I217:I220" si="82">+$I$54</f>
        <v>0.01</v>
      </c>
      <c r="J217" s="69">
        <f>+$J$54</f>
        <v>5.8</v>
      </c>
      <c r="K217" s="95">
        <f>+(F217+G217+J217)*$K$4</f>
        <v>2.628</v>
      </c>
      <c r="L217" s="95">
        <f>+(F217+G217+J217+K217)*$L$4</f>
        <v>2.20752</v>
      </c>
      <c r="M217" s="78">
        <f t="shared" si="78"/>
        <v>26.73552</v>
      </c>
      <c r="N217" s="78">
        <f t="shared" si="79"/>
        <v>378.307608</v>
      </c>
      <c r="O217" s="93"/>
    </row>
    <row r="218" s="57" customFormat="1" ht="48" outlineLevel="1" spans="1:15">
      <c r="A218" s="85">
        <v>16</v>
      </c>
      <c r="B218" s="70" t="s">
        <v>261</v>
      </c>
      <c r="C218" s="86" t="s">
        <v>264</v>
      </c>
      <c r="D218" s="78" t="s">
        <v>68</v>
      </c>
      <c r="E218" s="109">
        <v>11.91</v>
      </c>
      <c r="F218" s="69">
        <f t="shared" si="81"/>
        <v>6</v>
      </c>
      <c r="G218" s="69">
        <f>+$G$55</f>
        <v>8.08</v>
      </c>
      <c r="H218" s="69">
        <f>+$H$55</f>
        <v>8</v>
      </c>
      <c r="I218" s="69">
        <f t="shared" si="82"/>
        <v>0.01</v>
      </c>
      <c r="J218" s="69">
        <f>+$J$55</f>
        <v>5</v>
      </c>
      <c r="K218" s="95">
        <f>+(F218+G218+J218)*$K$4</f>
        <v>2.2896</v>
      </c>
      <c r="L218" s="95">
        <f>+(F218+G218+J218+K218)*$L$4</f>
        <v>1.923264</v>
      </c>
      <c r="M218" s="78">
        <f t="shared" si="78"/>
        <v>23.292864</v>
      </c>
      <c r="N218" s="78">
        <f t="shared" si="79"/>
        <v>277.41801024</v>
      </c>
      <c r="O218" s="93"/>
    </row>
    <row r="219" s="57" customFormat="1" ht="48" outlineLevel="1" spans="1:15">
      <c r="A219" s="85">
        <v>17</v>
      </c>
      <c r="B219" s="70" t="s">
        <v>261</v>
      </c>
      <c r="C219" s="86" t="s">
        <v>265</v>
      </c>
      <c r="D219" s="78" t="s">
        <v>68</v>
      </c>
      <c r="E219" s="109">
        <v>7.34</v>
      </c>
      <c r="F219" s="69">
        <f t="shared" si="81"/>
        <v>6</v>
      </c>
      <c r="G219" s="69">
        <f>+$G$54</f>
        <v>10.1</v>
      </c>
      <c r="H219" s="69">
        <f>+$H$54</f>
        <v>10</v>
      </c>
      <c r="I219" s="69">
        <f t="shared" si="82"/>
        <v>0.01</v>
      </c>
      <c r="J219" s="69">
        <f>+$J$54</f>
        <v>5.8</v>
      </c>
      <c r="K219" s="95">
        <f>+(F219+G219+J219)*$K$4</f>
        <v>2.628</v>
      </c>
      <c r="L219" s="95">
        <f>+(F219+G219+J219+K219)*$L$4</f>
        <v>2.20752</v>
      </c>
      <c r="M219" s="78">
        <f t="shared" si="78"/>
        <v>26.73552</v>
      </c>
      <c r="N219" s="78">
        <f t="shared" si="79"/>
        <v>196.2387168</v>
      </c>
      <c r="O219" s="93"/>
    </row>
    <row r="220" s="57" customFormat="1" ht="48" outlineLevel="1" spans="1:15">
      <c r="A220" s="85">
        <v>18</v>
      </c>
      <c r="B220" s="70" t="s">
        <v>261</v>
      </c>
      <c r="C220" s="86" t="s">
        <v>266</v>
      </c>
      <c r="D220" s="78" t="s">
        <v>68</v>
      </c>
      <c r="E220" s="109">
        <v>1.9</v>
      </c>
      <c r="F220" s="69">
        <f t="shared" si="81"/>
        <v>6</v>
      </c>
      <c r="G220" s="69">
        <f>+$G$55</f>
        <v>8.08</v>
      </c>
      <c r="H220" s="69">
        <f>+$H$55</f>
        <v>8</v>
      </c>
      <c r="I220" s="69">
        <f t="shared" si="82"/>
        <v>0.01</v>
      </c>
      <c r="J220" s="69">
        <f>+$J$55</f>
        <v>5</v>
      </c>
      <c r="K220" s="95">
        <f>+(F220+G220+J220)*$K$4</f>
        <v>2.2896</v>
      </c>
      <c r="L220" s="95">
        <f>+(F220+G220+J220+K220)*$L$4</f>
        <v>1.923264</v>
      </c>
      <c r="M220" s="78">
        <f t="shared" si="78"/>
        <v>23.292864</v>
      </c>
      <c r="N220" s="78">
        <f t="shared" si="79"/>
        <v>44.2564416</v>
      </c>
      <c r="O220" s="93"/>
    </row>
    <row r="221" s="57" customFormat="1" spans="1:15">
      <c r="A221" s="85">
        <v>19</v>
      </c>
      <c r="B221" s="107" t="s">
        <v>33</v>
      </c>
      <c r="C221" s="107"/>
      <c r="D221" s="107" t="s">
        <v>229</v>
      </c>
      <c r="E221" s="108"/>
      <c r="F221" s="85"/>
      <c r="G221" s="85"/>
      <c r="H221" s="85"/>
      <c r="I221" s="99"/>
      <c r="J221" s="85"/>
      <c r="K221" s="114"/>
      <c r="L221" s="67"/>
      <c r="M221" s="78"/>
      <c r="N221" s="78">
        <f>SUM(N203:N220)</f>
        <v>10172.68089712</v>
      </c>
      <c r="O221" s="93"/>
    </row>
    <row r="222" s="57" customFormat="1" spans="1:15">
      <c r="A222" s="110" t="s">
        <v>135</v>
      </c>
      <c r="B222" s="111" t="s">
        <v>283</v>
      </c>
      <c r="C222" s="111" t="s">
        <v>161</v>
      </c>
      <c r="D222" s="111" t="s">
        <v>229</v>
      </c>
      <c r="E222" s="112"/>
      <c r="F222" s="110"/>
      <c r="G222" s="110"/>
      <c r="H222" s="110"/>
      <c r="I222" s="116"/>
      <c r="J222" s="110"/>
      <c r="K222" s="117"/>
      <c r="L222" s="102"/>
      <c r="M222" s="103"/>
      <c r="N222" s="103">
        <f>N201+N221</f>
        <v>17549.521391472</v>
      </c>
      <c r="O222" s="93"/>
    </row>
  </sheetData>
  <autoFilter xmlns:etc="http://www.wps.cn/officeDocument/2017/etCustomData" ref="A4:S222" etc:filterBottomFollowUsedRange="0">
    <extLst/>
  </autoFilter>
  <mergeCells count="12">
    <mergeCell ref="A1:O1"/>
    <mergeCell ref="F2:L2"/>
    <mergeCell ref="A2:A4"/>
    <mergeCell ref="B2:B4"/>
    <mergeCell ref="C2:C4"/>
    <mergeCell ref="D2:D4"/>
    <mergeCell ref="E2:E4"/>
    <mergeCell ref="F3:F4"/>
    <mergeCell ref="J3:J4"/>
    <mergeCell ref="M2:M4"/>
    <mergeCell ref="N2:N4"/>
    <mergeCell ref="O2:O4"/>
  </mergeCells>
  <dataValidations count="2">
    <dataValidation type="list" allowBlank="1" showInputMessage="1" showErrorMessage="1" sqref="D40 D95 D148 D203">
      <formula1>"m,m²,樘,套,件,项"</formula1>
    </dataValidation>
    <dataValidation type="list" allowBlank="1" showInputMessage="1" showErrorMessage="1" sqref="D68 D176 D6:D11 D41:D53 D61:D66 D96:D108 D116:D121 D149:D161 D169:D174 D204:D216">
      <formula1>"m,m²,樘,套,件,项,个"</formula1>
    </dataValidation>
  </dataValidations>
  <pageMargins left="0.739583333333333" right="0.739583333333333" top="0.739583333333333" bottom="0.739583333333333" header="0.5" footer="0.5"/>
  <pageSetup paperSize="9" scale="6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6"/>
  <sheetViews>
    <sheetView zoomScale="130" zoomScaleNormal="130" workbookViewId="0">
      <selection activeCell="C200" sqref="C200"/>
    </sheetView>
  </sheetViews>
  <sheetFormatPr defaultColWidth="9" defaultRowHeight="13.5" outlineLevelCol="7"/>
  <cols>
    <col min="1" max="1" width="9" style="20"/>
    <col min="2" max="2" width="22.7833333333333" style="21" customWidth="1"/>
    <col min="3" max="3" width="31.5333333333333" style="20" customWidth="1"/>
    <col min="4" max="4" width="11.8833333333333" style="21" customWidth="1"/>
    <col min="5" max="5" width="30.5666666666667" style="22" customWidth="1"/>
    <col min="6" max="6" width="18" style="23" customWidth="1"/>
    <col min="7" max="7" width="15.75" style="20" customWidth="1"/>
    <col min="8" max="8" width="14.5" style="20" customWidth="1"/>
    <col min="9" max="16384" width="9" style="20"/>
  </cols>
  <sheetData>
    <row r="1" s="17" customFormat="1" ht="42" customHeight="1" spans="1:7">
      <c r="A1" s="24" t="s">
        <v>284</v>
      </c>
      <c r="B1" s="25"/>
      <c r="C1" s="24"/>
      <c r="D1" s="25"/>
      <c r="E1" s="24"/>
      <c r="F1" s="26" t="s">
        <v>285</v>
      </c>
      <c r="G1" s="27"/>
    </row>
    <row r="2" s="17" customFormat="1" ht="23" customHeight="1" spans="1:7">
      <c r="A2" s="25" t="s">
        <v>24</v>
      </c>
      <c r="B2" s="28" t="s">
        <v>286</v>
      </c>
      <c r="C2" s="28" t="s">
        <v>287</v>
      </c>
      <c r="D2" s="28" t="s">
        <v>42</v>
      </c>
      <c r="E2" s="28" t="s">
        <v>288</v>
      </c>
      <c r="F2" s="26" t="s">
        <v>33</v>
      </c>
      <c r="G2" s="28" t="s">
        <v>30</v>
      </c>
    </row>
    <row r="3" s="17" customFormat="1" ht="29" customHeight="1" spans="1:7">
      <c r="A3" s="29" t="s">
        <v>52</v>
      </c>
      <c r="B3" s="30" t="s">
        <v>289</v>
      </c>
      <c r="C3" s="31"/>
      <c r="D3" s="29"/>
      <c r="E3" s="31"/>
      <c r="F3" s="32"/>
      <c r="G3" s="27"/>
    </row>
    <row r="4" s="18" customFormat="1" ht="27" customHeight="1" spans="1:7">
      <c r="A4" s="33"/>
      <c r="B4" s="30" t="s">
        <v>290</v>
      </c>
      <c r="C4" s="34" t="s">
        <v>291</v>
      </c>
      <c r="D4" s="29" t="s">
        <v>58</v>
      </c>
      <c r="E4" s="35" t="s">
        <v>292</v>
      </c>
      <c r="F4" s="32">
        <f ca="1">EVALUATE(E4)</f>
        <v>4.74</v>
      </c>
      <c r="G4" s="27"/>
    </row>
    <row r="5" s="18" customFormat="1" ht="49" customHeight="1" spans="1:7">
      <c r="A5" s="33"/>
      <c r="B5" s="30" t="s">
        <v>293</v>
      </c>
      <c r="C5" s="34" t="s">
        <v>291</v>
      </c>
      <c r="D5" s="29" t="s">
        <v>58</v>
      </c>
      <c r="E5" s="35" t="s">
        <v>294</v>
      </c>
      <c r="F5" s="32">
        <f ca="1" t="shared" ref="F5:F15" si="0">EVALUATE(E5)</f>
        <v>0.543</v>
      </c>
      <c r="G5" s="36"/>
    </row>
    <row r="6" s="18" customFormat="1" ht="27" customHeight="1" spans="1:7">
      <c r="A6" s="33"/>
      <c r="B6" s="30" t="s">
        <v>293</v>
      </c>
      <c r="C6" s="34" t="s">
        <v>84</v>
      </c>
      <c r="D6" s="29" t="s">
        <v>68</v>
      </c>
      <c r="E6" s="35" t="s">
        <v>295</v>
      </c>
      <c r="F6" s="32">
        <f ca="1" t="shared" si="0"/>
        <v>5.33</v>
      </c>
      <c r="G6" s="36"/>
    </row>
    <row r="7" s="18" customFormat="1" ht="27" customHeight="1" spans="1:8">
      <c r="A7" s="33"/>
      <c r="B7" s="30" t="s">
        <v>296</v>
      </c>
      <c r="C7" s="34" t="s">
        <v>291</v>
      </c>
      <c r="D7" s="29" t="s">
        <v>58</v>
      </c>
      <c r="E7" s="35">
        <v>8.06</v>
      </c>
      <c r="F7" s="32">
        <f ca="1" t="shared" si="0"/>
        <v>8.06</v>
      </c>
      <c r="G7" s="36"/>
      <c r="H7" s="37"/>
    </row>
    <row r="8" s="18" customFormat="1" ht="27" customHeight="1" spans="1:8">
      <c r="A8" s="33"/>
      <c r="B8" s="30" t="s">
        <v>297</v>
      </c>
      <c r="C8" s="34" t="s">
        <v>291</v>
      </c>
      <c r="D8" s="29" t="s">
        <v>58</v>
      </c>
      <c r="E8" s="35">
        <v>4.06</v>
      </c>
      <c r="F8" s="32">
        <f ca="1" t="shared" si="0"/>
        <v>4.06</v>
      </c>
      <c r="G8" s="36"/>
      <c r="H8" s="37"/>
    </row>
    <row r="9" s="18" customFormat="1" ht="48" customHeight="1" spans="1:8">
      <c r="A9" s="33"/>
      <c r="B9" s="30" t="s">
        <v>298</v>
      </c>
      <c r="C9" s="34" t="s">
        <v>291</v>
      </c>
      <c r="D9" s="29" t="s">
        <v>58</v>
      </c>
      <c r="E9" s="35" t="s">
        <v>299</v>
      </c>
      <c r="F9" s="32">
        <f ca="1" t="shared" si="0"/>
        <v>9.297</v>
      </c>
      <c r="G9" s="36" t="s">
        <v>300</v>
      </c>
      <c r="H9" s="37"/>
    </row>
    <row r="10" s="18" customFormat="1" ht="21" customHeight="1" spans="1:8">
      <c r="A10" s="33"/>
      <c r="B10" s="30" t="s">
        <v>298</v>
      </c>
      <c r="C10" s="34" t="s">
        <v>86</v>
      </c>
      <c r="D10" s="29" t="s">
        <v>58</v>
      </c>
      <c r="E10" s="35">
        <v>3.8465</v>
      </c>
      <c r="F10" s="32">
        <f ca="1" t="shared" si="0"/>
        <v>3.8465</v>
      </c>
      <c r="G10" s="36" t="s">
        <v>301</v>
      </c>
      <c r="H10" s="37"/>
    </row>
    <row r="11" s="18" customFormat="1" ht="31" customHeight="1" spans="1:8">
      <c r="A11" s="33"/>
      <c r="B11" s="30" t="s">
        <v>298</v>
      </c>
      <c r="C11" s="34" t="s">
        <v>302</v>
      </c>
      <c r="D11" s="29" t="s">
        <v>58</v>
      </c>
      <c r="E11" s="35">
        <v>2.889</v>
      </c>
      <c r="F11" s="32">
        <f ca="1" t="shared" si="0"/>
        <v>2.889</v>
      </c>
      <c r="G11" s="36"/>
      <c r="H11" s="37"/>
    </row>
    <row r="12" s="18" customFormat="1" ht="48" customHeight="1" spans="1:8">
      <c r="A12" s="33"/>
      <c r="B12" s="30" t="s">
        <v>303</v>
      </c>
      <c r="C12" s="34" t="s">
        <v>291</v>
      </c>
      <c r="D12" s="29" t="s">
        <v>58</v>
      </c>
      <c r="E12" s="35">
        <v>4.506</v>
      </c>
      <c r="F12" s="32">
        <f ca="1" t="shared" si="0"/>
        <v>4.506</v>
      </c>
      <c r="G12" s="36"/>
      <c r="H12" s="37"/>
    </row>
    <row r="13" s="18" customFormat="1" ht="27" customHeight="1" spans="1:8">
      <c r="A13" s="33"/>
      <c r="B13" s="30" t="s">
        <v>303</v>
      </c>
      <c r="C13" s="34" t="s">
        <v>304</v>
      </c>
      <c r="D13" s="29" t="s">
        <v>92</v>
      </c>
      <c r="E13" s="35">
        <v>1</v>
      </c>
      <c r="F13" s="32">
        <f ca="1" t="shared" si="0"/>
        <v>1</v>
      </c>
      <c r="G13" s="36"/>
      <c r="H13" s="37"/>
    </row>
    <row r="14" s="18" customFormat="1" ht="22" customHeight="1" spans="1:7">
      <c r="A14" s="33"/>
      <c r="B14" s="30" t="s">
        <v>303</v>
      </c>
      <c r="C14" s="34" t="s">
        <v>305</v>
      </c>
      <c r="D14" s="29" t="s">
        <v>92</v>
      </c>
      <c r="E14" s="35">
        <v>1</v>
      </c>
      <c r="F14" s="32">
        <f ca="1" t="shared" si="0"/>
        <v>1</v>
      </c>
      <c r="G14" s="36"/>
    </row>
    <row r="15" s="18" customFormat="1" ht="23" customHeight="1" spans="1:7">
      <c r="A15" s="33" t="s">
        <v>127</v>
      </c>
      <c r="B15" s="30" t="s">
        <v>306</v>
      </c>
      <c r="C15" s="38"/>
      <c r="D15" s="29"/>
      <c r="E15" s="35"/>
      <c r="F15" s="32" t="e">
        <f ca="1" t="shared" si="0"/>
        <v>#VALUE!</v>
      </c>
      <c r="G15" s="36"/>
    </row>
    <row r="16" ht="25" customHeight="1" spans="1:7">
      <c r="A16" s="39"/>
      <c r="B16" s="30" t="s">
        <v>307</v>
      </c>
      <c r="C16" s="40" t="s">
        <v>308</v>
      </c>
      <c r="D16" s="41" t="s">
        <v>58</v>
      </c>
      <c r="E16" s="42">
        <v>4.529</v>
      </c>
      <c r="F16" s="32">
        <f ca="1" t="shared" ref="F16:F25" si="1">EVALUATE(E16)</f>
        <v>4.529</v>
      </c>
      <c r="G16" s="39"/>
    </row>
    <row r="17" ht="25" customHeight="1" spans="1:7">
      <c r="A17" s="39"/>
      <c r="B17" s="41"/>
      <c r="C17" s="40" t="s">
        <v>309</v>
      </c>
      <c r="D17" s="41" t="s">
        <v>58</v>
      </c>
      <c r="E17" s="42" t="s">
        <v>310</v>
      </c>
      <c r="F17" s="32">
        <f ca="1" t="shared" si="1"/>
        <v>1.807</v>
      </c>
      <c r="G17" s="39"/>
    </row>
    <row r="18" ht="25" customHeight="1" spans="1:7">
      <c r="A18" s="39"/>
      <c r="B18" s="30" t="s">
        <v>311</v>
      </c>
      <c r="C18" s="40" t="s">
        <v>308</v>
      </c>
      <c r="D18" s="41" t="s">
        <v>58</v>
      </c>
      <c r="E18" s="42">
        <v>3.44</v>
      </c>
      <c r="F18" s="32">
        <f ca="1" t="shared" si="1"/>
        <v>3.44</v>
      </c>
      <c r="G18" s="39"/>
    </row>
    <row r="19" ht="25" customHeight="1" spans="1:7">
      <c r="A19" s="39"/>
      <c r="B19" s="41"/>
      <c r="C19" s="40" t="s">
        <v>309</v>
      </c>
      <c r="D19" s="41" t="s">
        <v>58</v>
      </c>
      <c r="E19" s="42" t="s">
        <v>312</v>
      </c>
      <c r="F19" s="32">
        <f ca="1" t="shared" si="1"/>
        <v>0.365</v>
      </c>
      <c r="G19" s="39"/>
    </row>
    <row r="20" ht="25" customHeight="1" spans="1:7">
      <c r="A20" s="39"/>
      <c r="B20" s="30" t="s">
        <v>313</v>
      </c>
      <c r="C20" s="40" t="s">
        <v>308</v>
      </c>
      <c r="D20" s="41" t="s">
        <v>58</v>
      </c>
      <c r="E20" s="42" t="s">
        <v>314</v>
      </c>
      <c r="F20" s="32">
        <f ca="1" t="shared" si="1"/>
        <v>6.212</v>
      </c>
      <c r="G20" s="39"/>
    </row>
    <row r="21" ht="25" customHeight="1" spans="1:7">
      <c r="A21" s="39"/>
      <c r="B21" s="41"/>
      <c r="C21" s="40" t="s">
        <v>309</v>
      </c>
      <c r="D21" s="41" t="s">
        <v>58</v>
      </c>
      <c r="E21" s="42">
        <v>0.315</v>
      </c>
      <c r="F21" s="32">
        <f ca="1" t="shared" si="1"/>
        <v>0.315</v>
      </c>
      <c r="G21" s="39"/>
    </row>
    <row r="22" ht="25" customHeight="1" spans="1:7">
      <c r="A22" s="39"/>
      <c r="B22" s="30" t="s">
        <v>315</v>
      </c>
      <c r="C22" s="40" t="s">
        <v>308</v>
      </c>
      <c r="D22" s="41" t="s">
        <v>58</v>
      </c>
      <c r="E22" s="42" t="s">
        <v>316</v>
      </c>
      <c r="F22" s="32">
        <f ca="1" t="shared" si="1"/>
        <v>1.856</v>
      </c>
      <c r="G22" s="39"/>
    </row>
    <row r="23" ht="25" customHeight="1" spans="1:7">
      <c r="A23" s="33" t="s">
        <v>135</v>
      </c>
      <c r="B23" s="30" t="s">
        <v>317</v>
      </c>
      <c r="C23" s="43"/>
      <c r="D23" s="41"/>
      <c r="E23" s="42"/>
      <c r="F23" s="32" t="e">
        <f ca="1" t="shared" si="1"/>
        <v>#VALUE!</v>
      </c>
      <c r="G23" s="39"/>
    </row>
    <row r="24" ht="25" customHeight="1" spans="1:7">
      <c r="A24" s="39"/>
      <c r="B24" s="30" t="s">
        <v>318</v>
      </c>
      <c r="C24" s="40" t="s">
        <v>308</v>
      </c>
      <c r="D24" s="41" t="s">
        <v>58</v>
      </c>
      <c r="E24" s="42">
        <v>4.16</v>
      </c>
      <c r="F24" s="32">
        <f ca="1" t="shared" si="1"/>
        <v>4.16</v>
      </c>
      <c r="G24" s="39"/>
    </row>
    <row r="25" ht="25" customHeight="1" spans="1:7">
      <c r="A25" s="39"/>
      <c r="B25" s="30" t="s">
        <v>319</v>
      </c>
      <c r="C25" s="40" t="s">
        <v>308</v>
      </c>
      <c r="D25" s="41" t="s">
        <v>58</v>
      </c>
      <c r="E25" s="42" t="s">
        <v>320</v>
      </c>
      <c r="F25" s="32">
        <f ca="1" t="shared" si="1"/>
        <v>3.108</v>
      </c>
      <c r="G25" s="39"/>
    </row>
    <row r="26" ht="14.25" spans="1:7">
      <c r="A26" s="39"/>
      <c r="B26" s="30" t="s">
        <v>321</v>
      </c>
      <c r="C26" s="40" t="s">
        <v>308</v>
      </c>
      <c r="D26" s="41" t="s">
        <v>58</v>
      </c>
      <c r="E26" s="42">
        <v>4.42</v>
      </c>
      <c r="F26" s="32">
        <f ca="1" t="shared" ref="F26:F40" si="2">EVALUATE(E26)</f>
        <v>4.42</v>
      </c>
      <c r="G26" s="39"/>
    </row>
    <row r="27" ht="14.25" spans="1:7">
      <c r="A27" s="39"/>
      <c r="B27" s="30" t="s">
        <v>322</v>
      </c>
      <c r="C27" s="40" t="s">
        <v>308</v>
      </c>
      <c r="D27" s="41" t="s">
        <v>58</v>
      </c>
      <c r="E27" s="42" t="s">
        <v>323</v>
      </c>
      <c r="F27" s="32">
        <f ca="1" t="shared" si="2"/>
        <v>1.62</v>
      </c>
      <c r="G27" s="39"/>
    </row>
    <row r="28" ht="36" customHeight="1" spans="1:7">
      <c r="A28" s="33" t="s">
        <v>148</v>
      </c>
      <c r="B28" s="30" t="s">
        <v>324</v>
      </c>
      <c r="C28" s="43"/>
      <c r="D28" s="41"/>
      <c r="E28" s="42"/>
      <c r="F28" s="32" t="e">
        <f ca="1" t="shared" si="2"/>
        <v>#VALUE!</v>
      </c>
      <c r="G28" s="39"/>
    </row>
    <row r="29" ht="21" customHeight="1" spans="1:7">
      <c r="A29" s="39"/>
      <c r="B29" s="30" t="s">
        <v>325</v>
      </c>
      <c r="C29" s="40" t="s">
        <v>326</v>
      </c>
      <c r="D29" s="41" t="s">
        <v>58</v>
      </c>
      <c r="E29" s="42" t="s">
        <v>327</v>
      </c>
      <c r="F29" s="32">
        <f ca="1" t="shared" si="2"/>
        <v>3.6</v>
      </c>
      <c r="G29" s="39"/>
    </row>
    <row r="30" ht="21" customHeight="1" spans="1:7">
      <c r="A30" s="39"/>
      <c r="B30" s="30" t="s">
        <v>328</v>
      </c>
      <c r="C30" s="40" t="s">
        <v>326</v>
      </c>
      <c r="D30" s="41" t="s">
        <v>58</v>
      </c>
      <c r="E30" s="42">
        <v>1.46</v>
      </c>
      <c r="F30" s="32">
        <f ca="1" t="shared" si="2"/>
        <v>1.46</v>
      </c>
      <c r="G30" s="39"/>
    </row>
    <row r="31" ht="21" customHeight="1" spans="1:7">
      <c r="A31" s="39"/>
      <c r="B31" s="30" t="s">
        <v>329</v>
      </c>
      <c r="C31" s="40" t="s">
        <v>326</v>
      </c>
      <c r="D31" s="41" t="s">
        <v>58</v>
      </c>
      <c r="E31" s="42" t="s">
        <v>330</v>
      </c>
      <c r="F31" s="32">
        <f ca="1" t="shared" si="2"/>
        <v>2.67</v>
      </c>
      <c r="G31" s="39"/>
    </row>
    <row r="32" ht="21" customHeight="1" spans="1:7">
      <c r="A32" s="39"/>
      <c r="B32" s="30" t="s">
        <v>331</v>
      </c>
      <c r="C32" s="40" t="s">
        <v>326</v>
      </c>
      <c r="D32" s="41" t="s">
        <v>58</v>
      </c>
      <c r="E32" s="42">
        <v>2.67</v>
      </c>
      <c r="F32" s="32">
        <f ca="1" t="shared" si="2"/>
        <v>2.67</v>
      </c>
      <c r="G32" s="39"/>
    </row>
    <row r="33" ht="21" customHeight="1" spans="1:7">
      <c r="A33" s="33" t="s">
        <v>332</v>
      </c>
      <c r="B33" s="30" t="s">
        <v>112</v>
      </c>
      <c r="C33" s="39"/>
      <c r="D33" s="41" t="s">
        <v>58</v>
      </c>
      <c r="E33" s="42"/>
      <c r="F33" s="32" t="e">
        <f ca="1" t="shared" si="2"/>
        <v>#VALUE!</v>
      </c>
      <c r="G33" s="39"/>
    </row>
    <row r="34" ht="14.25" spans="1:7">
      <c r="A34" s="39"/>
      <c r="B34" s="41" t="s">
        <v>333</v>
      </c>
      <c r="C34" s="40" t="s">
        <v>334</v>
      </c>
      <c r="D34" s="41" t="s">
        <v>58</v>
      </c>
      <c r="E34" s="42">
        <v>2.6</v>
      </c>
      <c r="F34" s="32">
        <f ca="1" t="shared" si="2"/>
        <v>2.6</v>
      </c>
      <c r="G34" s="39"/>
    </row>
    <row r="35" ht="14.25" spans="1:7">
      <c r="A35" s="39"/>
      <c r="B35" s="41" t="s">
        <v>335</v>
      </c>
      <c r="C35" s="40" t="s">
        <v>334</v>
      </c>
      <c r="D35" s="41" t="s">
        <v>58</v>
      </c>
      <c r="E35" s="42">
        <v>3.59</v>
      </c>
      <c r="F35" s="32">
        <f ca="1" t="shared" si="2"/>
        <v>3.59</v>
      </c>
      <c r="G35" s="39"/>
    </row>
    <row r="36" ht="27" customHeight="1" spans="1:7">
      <c r="A36" s="39"/>
      <c r="B36" s="41" t="s">
        <v>336</v>
      </c>
      <c r="C36" s="40" t="s">
        <v>337</v>
      </c>
      <c r="D36" s="41" t="s">
        <v>58</v>
      </c>
      <c r="E36" s="42">
        <v>4.01</v>
      </c>
      <c r="F36" s="32">
        <f ca="1" t="shared" si="2"/>
        <v>4.01</v>
      </c>
      <c r="G36" s="39"/>
    </row>
    <row r="37" ht="14.25" spans="1:7">
      <c r="A37" s="39"/>
      <c r="B37" s="41" t="s">
        <v>338</v>
      </c>
      <c r="C37" s="40" t="s">
        <v>339</v>
      </c>
      <c r="D37" s="41" t="s">
        <v>58</v>
      </c>
      <c r="E37" s="42" t="s">
        <v>340</v>
      </c>
      <c r="F37" s="32">
        <f ca="1" t="shared" si="2"/>
        <v>4.484</v>
      </c>
      <c r="G37" s="39"/>
    </row>
    <row r="38" ht="27" spans="1:7">
      <c r="A38" s="39"/>
      <c r="B38" s="41" t="s">
        <v>338</v>
      </c>
      <c r="C38" s="40" t="s">
        <v>341</v>
      </c>
      <c r="D38" s="41" t="s">
        <v>58</v>
      </c>
      <c r="E38" s="42">
        <v>6.54</v>
      </c>
      <c r="F38" s="32">
        <f ca="1" t="shared" si="2"/>
        <v>6.54</v>
      </c>
      <c r="G38" s="39" t="s">
        <v>120</v>
      </c>
    </row>
    <row r="39" ht="14.25" spans="1:7">
      <c r="A39" s="39"/>
      <c r="B39" s="41" t="s">
        <v>125</v>
      </c>
      <c r="C39" s="40" t="s">
        <v>342</v>
      </c>
      <c r="D39" s="41" t="s">
        <v>58</v>
      </c>
      <c r="E39" s="42">
        <v>3.18</v>
      </c>
      <c r="F39" s="32">
        <f ca="1" t="shared" si="2"/>
        <v>3.18</v>
      </c>
      <c r="G39" s="39"/>
    </row>
    <row r="40" ht="14.25" spans="1:7">
      <c r="A40" s="39"/>
      <c r="B40" s="41" t="s">
        <v>343</v>
      </c>
      <c r="C40" s="40" t="s">
        <v>344</v>
      </c>
      <c r="D40" s="41" t="s">
        <v>58</v>
      </c>
      <c r="E40" s="42">
        <v>3.96</v>
      </c>
      <c r="F40" s="32">
        <f ca="1" t="shared" si="2"/>
        <v>3.96</v>
      </c>
      <c r="G40" s="39"/>
    </row>
    <row r="41" s="19" customFormat="1" ht="14.25" spans="1:7">
      <c r="A41" s="44"/>
      <c r="B41" s="45"/>
      <c r="C41" s="44"/>
      <c r="D41" s="45"/>
      <c r="E41" s="46"/>
      <c r="F41" s="47"/>
      <c r="G41" s="44"/>
    </row>
    <row r="42" ht="42" customHeight="1" spans="1:7">
      <c r="A42" s="29" t="s">
        <v>52</v>
      </c>
      <c r="B42" s="30" t="s">
        <v>345</v>
      </c>
      <c r="C42" s="31"/>
      <c r="D42" s="29"/>
      <c r="E42" s="42"/>
      <c r="F42" s="32" t="e">
        <f ca="1">EVALUATE(E42)</f>
        <v>#VALUE!</v>
      </c>
      <c r="G42" s="39"/>
    </row>
    <row r="43" ht="42" customHeight="1" spans="1:7">
      <c r="A43" s="33"/>
      <c r="B43" s="30" t="s">
        <v>290</v>
      </c>
      <c r="C43" s="48" t="s">
        <v>291</v>
      </c>
      <c r="D43" s="29" t="s">
        <v>58</v>
      </c>
      <c r="E43" s="42">
        <v>0.918</v>
      </c>
      <c r="F43" s="32">
        <f ca="1">EVALUATE(E43)</f>
        <v>0.918</v>
      </c>
      <c r="G43" s="39"/>
    </row>
    <row r="44" ht="42" customHeight="1" spans="1:7">
      <c r="A44" s="33"/>
      <c r="B44" s="30" t="s">
        <v>290</v>
      </c>
      <c r="C44" s="48" t="s">
        <v>346</v>
      </c>
      <c r="D44" s="29" t="s">
        <v>68</v>
      </c>
      <c r="E44" s="42" t="s">
        <v>347</v>
      </c>
      <c r="F44" s="32">
        <f ca="1">EVALUATE(E44)</f>
        <v>5.36</v>
      </c>
      <c r="G44" s="39"/>
    </row>
    <row r="45" ht="42" customHeight="1" spans="1:7">
      <c r="A45" s="33"/>
      <c r="B45" s="30" t="s">
        <v>290</v>
      </c>
      <c r="C45" s="48" t="s">
        <v>348</v>
      </c>
      <c r="D45" s="29" t="s">
        <v>58</v>
      </c>
      <c r="E45" s="42" t="s">
        <v>349</v>
      </c>
      <c r="F45" s="32">
        <f ca="1">EVALUATE(E45)</f>
        <v>3.36</v>
      </c>
      <c r="G45" s="39"/>
    </row>
    <row r="46" ht="42" customHeight="1" spans="1:7">
      <c r="A46" s="33"/>
      <c r="B46" s="30" t="s">
        <v>293</v>
      </c>
      <c r="C46" s="48" t="s">
        <v>291</v>
      </c>
      <c r="D46" s="29" t="s">
        <v>58</v>
      </c>
      <c r="E46" s="42" t="s">
        <v>350</v>
      </c>
      <c r="F46" s="32">
        <f ca="1" t="shared" ref="F46:F51" si="3">EVALUATE(E46)</f>
        <v>4.55</v>
      </c>
      <c r="G46" s="39"/>
    </row>
    <row r="47" ht="42" customHeight="1" spans="1:7">
      <c r="A47" s="39"/>
      <c r="B47" s="30" t="s">
        <v>293</v>
      </c>
      <c r="C47" s="49" t="s">
        <v>351</v>
      </c>
      <c r="D47" s="41" t="s">
        <v>68</v>
      </c>
      <c r="E47" s="42">
        <v>1.52</v>
      </c>
      <c r="F47" s="32">
        <f ca="1" t="shared" si="3"/>
        <v>1.52</v>
      </c>
      <c r="G47" s="39" t="s">
        <v>352</v>
      </c>
    </row>
    <row r="48" ht="36" customHeight="1" spans="1:7">
      <c r="A48" s="39"/>
      <c r="B48" s="30" t="s">
        <v>296</v>
      </c>
      <c r="C48" s="48" t="s">
        <v>291</v>
      </c>
      <c r="D48" s="29" t="s">
        <v>58</v>
      </c>
      <c r="E48" s="42">
        <v>6.045</v>
      </c>
      <c r="F48" s="32">
        <f ca="1" t="shared" si="3"/>
        <v>6.045</v>
      </c>
      <c r="G48" s="39"/>
    </row>
    <row r="49" ht="34" customHeight="1" spans="1:7">
      <c r="A49" s="39"/>
      <c r="B49" s="30" t="s">
        <v>297</v>
      </c>
      <c r="C49" s="49" t="s">
        <v>291</v>
      </c>
      <c r="D49" s="29" t="s">
        <v>58</v>
      </c>
      <c r="E49" s="42" t="s">
        <v>353</v>
      </c>
      <c r="F49" s="32">
        <f ca="1" t="shared" si="3"/>
        <v>0.925</v>
      </c>
      <c r="G49" s="39"/>
    </row>
    <row r="50" ht="32" customHeight="1" spans="1:7">
      <c r="A50" s="39"/>
      <c r="B50" s="30" t="s">
        <v>297</v>
      </c>
      <c r="C50" s="49" t="s">
        <v>302</v>
      </c>
      <c r="D50" s="41" t="s">
        <v>58</v>
      </c>
      <c r="E50" s="42">
        <v>5.44</v>
      </c>
      <c r="F50" s="32">
        <f ca="1" t="shared" si="3"/>
        <v>5.44</v>
      </c>
      <c r="G50" s="39"/>
    </row>
    <row r="51" ht="36" customHeight="1" spans="1:7">
      <c r="A51" s="39"/>
      <c r="B51" s="30" t="s">
        <v>297</v>
      </c>
      <c r="C51" s="49" t="s">
        <v>90</v>
      </c>
      <c r="D51" s="29" t="s">
        <v>92</v>
      </c>
      <c r="E51" s="42">
        <v>1</v>
      </c>
      <c r="F51" s="32">
        <f ca="1" t="shared" si="3"/>
        <v>1</v>
      </c>
      <c r="G51" s="39"/>
    </row>
    <row r="52" ht="34" customHeight="1" spans="1:7">
      <c r="A52" s="39"/>
      <c r="B52" s="30" t="s">
        <v>297</v>
      </c>
      <c r="C52" s="49" t="s">
        <v>94</v>
      </c>
      <c r="D52" s="29" t="s">
        <v>92</v>
      </c>
      <c r="E52" s="42">
        <v>1</v>
      </c>
      <c r="F52" s="32">
        <f ca="1" t="shared" ref="F52:F73" si="4">EVALUATE(E52)</f>
        <v>1</v>
      </c>
      <c r="G52" s="39"/>
    </row>
    <row r="53" ht="34" customHeight="1" spans="1:7">
      <c r="A53" s="39"/>
      <c r="B53" s="30" t="s">
        <v>298</v>
      </c>
      <c r="C53" s="49" t="s">
        <v>291</v>
      </c>
      <c r="D53" s="29" t="s">
        <v>58</v>
      </c>
      <c r="E53" s="42">
        <v>13.94</v>
      </c>
      <c r="F53" s="32">
        <f ca="1" t="shared" si="4"/>
        <v>13.94</v>
      </c>
      <c r="G53" s="39"/>
    </row>
    <row r="54" ht="34" customHeight="1" spans="1:7">
      <c r="A54" s="39"/>
      <c r="B54" s="30" t="s">
        <v>303</v>
      </c>
      <c r="C54" s="49" t="s">
        <v>291</v>
      </c>
      <c r="D54" s="29" t="s">
        <v>58</v>
      </c>
      <c r="E54" s="42">
        <v>4.06</v>
      </c>
      <c r="F54" s="32">
        <f ca="1" t="shared" si="4"/>
        <v>4.06</v>
      </c>
      <c r="G54" s="39"/>
    </row>
    <row r="55" ht="34" customHeight="1" spans="1:7">
      <c r="A55" s="33" t="s">
        <v>127</v>
      </c>
      <c r="B55" s="30" t="s">
        <v>306</v>
      </c>
      <c r="C55" s="38"/>
      <c r="D55" s="29" t="s">
        <v>58</v>
      </c>
      <c r="E55" s="42"/>
      <c r="F55" s="32" t="e">
        <f ca="1" t="shared" si="4"/>
        <v>#VALUE!</v>
      </c>
      <c r="G55" s="39"/>
    </row>
    <row r="56" ht="34" customHeight="1" spans="1:7">
      <c r="A56" s="39"/>
      <c r="B56" s="30" t="s">
        <v>354</v>
      </c>
      <c r="C56" s="49" t="s">
        <v>355</v>
      </c>
      <c r="D56" s="41" t="s">
        <v>58</v>
      </c>
      <c r="E56" s="42">
        <v>3.34</v>
      </c>
      <c r="F56" s="32">
        <f ca="1" t="shared" si="4"/>
        <v>3.34</v>
      </c>
      <c r="G56" s="39"/>
    </row>
    <row r="57" ht="34" customHeight="1" spans="1:7">
      <c r="A57" s="39"/>
      <c r="B57" s="30" t="s">
        <v>354</v>
      </c>
      <c r="C57" s="49" t="s">
        <v>356</v>
      </c>
      <c r="D57" s="41" t="s">
        <v>58</v>
      </c>
      <c r="E57" s="42" t="s">
        <v>357</v>
      </c>
      <c r="F57" s="32">
        <f ca="1" t="shared" si="4"/>
        <v>0.47</v>
      </c>
      <c r="G57" s="39"/>
    </row>
    <row r="58" ht="34" customHeight="1" spans="1:7">
      <c r="A58" s="39"/>
      <c r="B58" s="30" t="s">
        <v>358</v>
      </c>
      <c r="C58" s="49" t="s">
        <v>355</v>
      </c>
      <c r="D58" s="41" t="s">
        <v>58</v>
      </c>
      <c r="E58" s="22" t="s">
        <v>359</v>
      </c>
      <c r="F58" s="32">
        <f ca="1" t="shared" si="4"/>
        <v>4.015</v>
      </c>
      <c r="G58" s="39"/>
    </row>
    <row r="59" ht="34" customHeight="1" spans="1:7">
      <c r="A59" s="39"/>
      <c r="B59" s="30" t="s">
        <v>313</v>
      </c>
      <c r="C59" s="49" t="s">
        <v>355</v>
      </c>
      <c r="D59" s="41" t="s">
        <v>58</v>
      </c>
      <c r="E59" s="42">
        <v>3.34</v>
      </c>
      <c r="F59" s="32">
        <f ca="1" t="shared" si="4"/>
        <v>3.34</v>
      </c>
      <c r="G59" s="39"/>
    </row>
    <row r="60" ht="34" customHeight="1" spans="1:7">
      <c r="A60" s="39"/>
      <c r="B60" s="30" t="s">
        <v>315</v>
      </c>
      <c r="C60" s="49" t="s">
        <v>355</v>
      </c>
      <c r="D60" s="41" t="s">
        <v>58</v>
      </c>
      <c r="E60" s="42" t="s">
        <v>360</v>
      </c>
      <c r="F60" s="32">
        <f ca="1" t="shared" si="4"/>
        <v>3.564</v>
      </c>
      <c r="G60" s="39"/>
    </row>
    <row r="61" ht="34" customHeight="1" spans="1:7">
      <c r="A61" s="39"/>
      <c r="B61" s="30" t="s">
        <v>315</v>
      </c>
      <c r="C61" s="49" t="s">
        <v>356</v>
      </c>
      <c r="D61" s="41" t="s">
        <v>58</v>
      </c>
      <c r="E61" s="42" t="s">
        <v>361</v>
      </c>
      <c r="F61" s="32">
        <f ca="1" t="shared" si="4"/>
        <v>2.01</v>
      </c>
      <c r="G61" s="39"/>
    </row>
    <row r="62" ht="34" customHeight="1" spans="1:7">
      <c r="A62" s="39"/>
      <c r="B62" s="30"/>
      <c r="C62" s="49" t="s">
        <v>103</v>
      </c>
      <c r="D62" s="41" t="s">
        <v>68</v>
      </c>
      <c r="E62" s="42" t="s">
        <v>362</v>
      </c>
      <c r="F62" s="32">
        <f ca="1" t="shared" si="4"/>
        <v>3.43</v>
      </c>
      <c r="G62" s="39"/>
    </row>
    <row r="63" ht="34" customHeight="1" spans="1:7">
      <c r="A63" s="39"/>
      <c r="B63" s="30"/>
      <c r="C63" s="49" t="s">
        <v>105</v>
      </c>
      <c r="D63" s="41" t="s">
        <v>68</v>
      </c>
      <c r="E63" s="42" t="s">
        <v>363</v>
      </c>
      <c r="F63" s="32">
        <f ca="1" t="shared" si="4"/>
        <v>1.55</v>
      </c>
      <c r="G63" s="39"/>
    </row>
    <row r="64" ht="34" customHeight="1" spans="1:7">
      <c r="A64" s="33" t="s">
        <v>135</v>
      </c>
      <c r="B64" s="30" t="s">
        <v>317</v>
      </c>
      <c r="C64" s="39"/>
      <c r="D64" s="41"/>
      <c r="E64" s="42"/>
      <c r="F64" s="32" t="e">
        <f ca="1" t="shared" si="4"/>
        <v>#VALUE!</v>
      </c>
      <c r="G64" s="39"/>
    </row>
    <row r="65" ht="34" customHeight="1" spans="1:7">
      <c r="A65" s="39"/>
      <c r="B65" s="30" t="s">
        <v>364</v>
      </c>
      <c r="C65" s="49" t="s">
        <v>355</v>
      </c>
      <c r="D65" s="41" t="s">
        <v>58</v>
      </c>
      <c r="E65" s="42">
        <v>5.496</v>
      </c>
      <c r="F65" s="32">
        <f ca="1" t="shared" si="4"/>
        <v>5.496</v>
      </c>
      <c r="G65" s="39"/>
    </row>
    <row r="66" ht="34" customHeight="1" spans="1:7">
      <c r="A66" s="39"/>
      <c r="B66" s="30" t="s">
        <v>365</v>
      </c>
      <c r="C66" s="49" t="s">
        <v>355</v>
      </c>
      <c r="D66" s="41" t="s">
        <v>58</v>
      </c>
      <c r="E66" s="42" t="s">
        <v>366</v>
      </c>
      <c r="F66" s="32">
        <f ca="1" t="shared" si="4"/>
        <v>1.406</v>
      </c>
      <c r="G66" s="39"/>
    </row>
    <row r="67" ht="34" customHeight="1" spans="1:7">
      <c r="A67" s="39"/>
      <c r="B67" s="30" t="s">
        <v>367</v>
      </c>
      <c r="C67" s="49" t="s">
        <v>355</v>
      </c>
      <c r="D67" s="41" t="s">
        <v>58</v>
      </c>
      <c r="E67" s="42" t="s">
        <v>368</v>
      </c>
      <c r="F67" s="32">
        <f ca="1" t="shared" si="4"/>
        <v>5.3982</v>
      </c>
      <c r="G67" s="39"/>
    </row>
    <row r="68" ht="34" customHeight="1" spans="1:7">
      <c r="A68" s="39"/>
      <c r="B68" s="30" t="s">
        <v>322</v>
      </c>
      <c r="C68" s="49" t="s">
        <v>355</v>
      </c>
      <c r="D68" s="41" t="s">
        <v>58</v>
      </c>
      <c r="E68" s="42">
        <v>3.215</v>
      </c>
      <c r="F68" s="32">
        <f ca="1" t="shared" si="4"/>
        <v>3.215</v>
      </c>
      <c r="G68" s="39"/>
    </row>
    <row r="69" ht="34" customHeight="1" spans="1:7">
      <c r="A69" s="33" t="s">
        <v>148</v>
      </c>
      <c r="B69" s="30" t="s">
        <v>324</v>
      </c>
      <c r="C69" s="39"/>
      <c r="D69" s="41"/>
      <c r="E69" s="42"/>
      <c r="F69" s="32" t="e">
        <f ca="1" t="shared" si="4"/>
        <v>#VALUE!</v>
      </c>
      <c r="G69" s="39"/>
    </row>
    <row r="70" ht="34" customHeight="1" spans="1:7">
      <c r="A70" s="39"/>
      <c r="B70" s="30" t="s">
        <v>369</v>
      </c>
      <c r="C70" s="49" t="s">
        <v>370</v>
      </c>
      <c r="D70" s="41" t="s">
        <v>58</v>
      </c>
      <c r="E70" s="42" t="s">
        <v>371</v>
      </c>
      <c r="F70" s="32">
        <f ca="1" t="shared" si="4"/>
        <v>2.7746</v>
      </c>
      <c r="G70" s="39"/>
    </row>
    <row r="71" ht="34" customHeight="1" spans="1:7">
      <c r="A71" s="39"/>
      <c r="B71" s="30" t="s">
        <v>372</v>
      </c>
      <c r="C71" s="49" t="s">
        <v>370</v>
      </c>
      <c r="D71" s="41" t="s">
        <v>58</v>
      </c>
      <c r="E71" s="42" t="s">
        <v>373</v>
      </c>
      <c r="F71" s="32">
        <f ca="1" t="shared" si="4"/>
        <v>3.07099</v>
      </c>
      <c r="G71" s="39"/>
    </row>
    <row r="72" ht="34" customHeight="1" spans="1:7">
      <c r="A72" s="39"/>
      <c r="B72" s="30" t="s">
        <v>374</v>
      </c>
      <c r="C72" s="49" t="s">
        <v>370</v>
      </c>
      <c r="D72" s="41" t="s">
        <v>58</v>
      </c>
      <c r="E72" s="42">
        <v>2.29</v>
      </c>
      <c r="F72" s="32">
        <f ca="1" t="shared" si="4"/>
        <v>2.29</v>
      </c>
      <c r="G72" s="39"/>
    </row>
    <row r="73" ht="53" customHeight="1" spans="1:7">
      <c r="A73" s="39"/>
      <c r="B73" s="30" t="s">
        <v>375</v>
      </c>
      <c r="C73" s="49" t="s">
        <v>370</v>
      </c>
      <c r="D73" s="41" t="s">
        <v>58</v>
      </c>
      <c r="E73" s="42">
        <v>1.244</v>
      </c>
      <c r="F73" s="32">
        <f ca="1" t="shared" si="4"/>
        <v>1.244</v>
      </c>
      <c r="G73" s="39"/>
    </row>
    <row r="74" ht="53" customHeight="1" spans="1:7">
      <c r="A74" s="29" t="s">
        <v>52</v>
      </c>
      <c r="B74" s="30" t="s">
        <v>376</v>
      </c>
      <c r="C74" s="39"/>
      <c r="D74" s="41"/>
      <c r="E74" s="42"/>
      <c r="F74" s="43"/>
      <c r="G74" s="39"/>
    </row>
    <row r="75" ht="29" customHeight="1" spans="1:7">
      <c r="A75" s="39"/>
      <c r="B75" s="30" t="s">
        <v>290</v>
      </c>
      <c r="C75" s="50" t="s">
        <v>291</v>
      </c>
      <c r="D75" s="29" t="s">
        <v>58</v>
      </c>
      <c r="E75" s="42">
        <v>5.45</v>
      </c>
      <c r="F75" s="32">
        <f ca="1">EVALUATE(E75)</f>
        <v>5.45</v>
      </c>
      <c r="G75" s="39"/>
    </row>
    <row r="76" ht="29" customHeight="1" spans="1:7">
      <c r="A76" s="39"/>
      <c r="B76" s="30" t="s">
        <v>290</v>
      </c>
      <c r="C76" s="50" t="s">
        <v>377</v>
      </c>
      <c r="D76" s="29" t="s">
        <v>68</v>
      </c>
      <c r="E76" s="42" t="s">
        <v>378</v>
      </c>
      <c r="F76" s="32">
        <f ca="1">EVALUATE(E76)</f>
        <v>2.2</v>
      </c>
      <c r="G76" s="39"/>
    </row>
    <row r="77" ht="29" customHeight="1" spans="1:7">
      <c r="A77" s="39"/>
      <c r="B77" s="30" t="s">
        <v>290</v>
      </c>
      <c r="C77" s="50" t="s">
        <v>94</v>
      </c>
      <c r="D77" s="29" t="s">
        <v>92</v>
      </c>
      <c r="E77" s="42">
        <v>1</v>
      </c>
      <c r="F77" s="32">
        <f ca="1">EVALUATE(E77)</f>
        <v>1</v>
      </c>
      <c r="G77" s="39"/>
    </row>
    <row r="78" ht="29" customHeight="1" spans="1:7">
      <c r="A78" s="39"/>
      <c r="B78" s="30" t="s">
        <v>379</v>
      </c>
      <c r="C78" s="50" t="s">
        <v>291</v>
      </c>
      <c r="D78" s="29" t="s">
        <v>58</v>
      </c>
      <c r="E78" s="42" t="s">
        <v>380</v>
      </c>
      <c r="F78" s="32">
        <f ca="1" t="shared" ref="F78:F94" si="5">EVALUATE(E78)</f>
        <v>7.16</v>
      </c>
      <c r="G78" s="39"/>
    </row>
    <row r="79" ht="29" customHeight="1" spans="1:7">
      <c r="A79" s="39"/>
      <c r="B79" s="30" t="s">
        <v>379</v>
      </c>
      <c r="C79" s="50" t="s">
        <v>377</v>
      </c>
      <c r="D79" s="29" t="s">
        <v>68</v>
      </c>
      <c r="E79" s="42">
        <v>4.68</v>
      </c>
      <c r="F79" s="32">
        <f ca="1" t="shared" si="5"/>
        <v>4.68</v>
      </c>
      <c r="G79" s="39"/>
    </row>
    <row r="80" ht="29" customHeight="1" spans="1:7">
      <c r="A80" s="39"/>
      <c r="B80" s="30" t="s">
        <v>379</v>
      </c>
      <c r="C80" s="51" t="s">
        <v>351</v>
      </c>
      <c r="D80" s="41" t="s">
        <v>68</v>
      </c>
      <c r="E80" s="42">
        <v>2.76</v>
      </c>
      <c r="F80" s="32">
        <f ca="1" t="shared" si="5"/>
        <v>2.76</v>
      </c>
      <c r="G80" s="39"/>
    </row>
    <row r="81" ht="29" customHeight="1" spans="1:7">
      <c r="A81" s="39"/>
      <c r="B81" s="30" t="s">
        <v>381</v>
      </c>
      <c r="C81" s="50" t="s">
        <v>291</v>
      </c>
      <c r="D81" s="29" t="s">
        <v>58</v>
      </c>
      <c r="E81" s="42">
        <v>7.26</v>
      </c>
      <c r="F81" s="32">
        <f ca="1" t="shared" si="5"/>
        <v>7.26</v>
      </c>
      <c r="G81" s="39"/>
    </row>
    <row r="82" ht="29" customHeight="1" spans="1:7">
      <c r="A82" s="39"/>
      <c r="B82" s="30" t="s">
        <v>381</v>
      </c>
      <c r="C82" s="50" t="s">
        <v>377</v>
      </c>
      <c r="D82" s="29" t="s">
        <v>68</v>
      </c>
      <c r="E82" s="42" t="s">
        <v>382</v>
      </c>
      <c r="F82" s="32">
        <f ca="1" t="shared" si="5"/>
        <v>2.89</v>
      </c>
      <c r="G82" s="39"/>
    </row>
    <row r="83" ht="29" customHeight="1" spans="1:7">
      <c r="A83" s="39"/>
      <c r="B83" s="30" t="s">
        <v>381</v>
      </c>
      <c r="C83" s="51" t="s">
        <v>140</v>
      </c>
      <c r="D83" s="41" t="s">
        <v>92</v>
      </c>
      <c r="E83" s="42">
        <v>1</v>
      </c>
      <c r="F83" s="32">
        <f ca="1" t="shared" si="5"/>
        <v>1</v>
      </c>
      <c r="G83" s="39"/>
    </row>
    <row r="84" ht="29" customHeight="1" spans="1:7">
      <c r="A84" s="39"/>
      <c r="B84" s="30" t="s">
        <v>381</v>
      </c>
      <c r="C84" s="51" t="s">
        <v>383</v>
      </c>
      <c r="D84" s="29" t="s">
        <v>58</v>
      </c>
      <c r="E84" s="42" t="s">
        <v>384</v>
      </c>
      <c r="F84" s="32">
        <f ca="1" t="shared" si="5"/>
        <v>6.3249</v>
      </c>
      <c r="G84" s="39"/>
    </row>
    <row r="85" ht="29" customHeight="1" spans="1:7">
      <c r="A85" s="39"/>
      <c r="B85" s="30" t="s">
        <v>385</v>
      </c>
      <c r="C85" s="51" t="s">
        <v>302</v>
      </c>
      <c r="D85" s="41" t="s">
        <v>58</v>
      </c>
      <c r="E85" s="42">
        <v>7.47</v>
      </c>
      <c r="F85" s="32">
        <f ca="1" t="shared" si="5"/>
        <v>7.47</v>
      </c>
      <c r="G85" s="39"/>
    </row>
    <row r="86" ht="29" customHeight="1" spans="1:7">
      <c r="A86" s="39"/>
      <c r="B86" s="30" t="s">
        <v>385</v>
      </c>
      <c r="C86" s="51" t="s">
        <v>386</v>
      </c>
      <c r="D86" s="41" t="s">
        <v>58</v>
      </c>
      <c r="E86" s="42">
        <f>0.8*2.45</f>
        <v>1.96</v>
      </c>
      <c r="F86" s="32">
        <f ca="1" t="shared" si="5"/>
        <v>1.96</v>
      </c>
      <c r="G86" s="39"/>
    </row>
    <row r="87" ht="29" customHeight="1" spans="1:7">
      <c r="A87" s="39"/>
      <c r="B87" s="30" t="s">
        <v>385</v>
      </c>
      <c r="C87" s="51" t="s">
        <v>291</v>
      </c>
      <c r="D87" s="41" t="s">
        <v>58</v>
      </c>
      <c r="E87" s="42">
        <v>0.75</v>
      </c>
      <c r="F87" s="32">
        <f ca="1" t="shared" si="5"/>
        <v>0.75</v>
      </c>
      <c r="G87" s="39"/>
    </row>
    <row r="88" ht="29" customHeight="1" spans="1:7">
      <c r="A88" s="39"/>
      <c r="B88" s="30" t="s">
        <v>385</v>
      </c>
      <c r="C88" s="51" t="s">
        <v>377</v>
      </c>
      <c r="D88" s="41" t="s">
        <v>68</v>
      </c>
      <c r="E88" s="42" t="s">
        <v>387</v>
      </c>
      <c r="F88" s="32">
        <f ca="1" t="shared" si="5"/>
        <v>0.18</v>
      </c>
      <c r="G88" s="39"/>
    </row>
    <row r="89" ht="29" customHeight="1" spans="1:7">
      <c r="A89" s="39"/>
      <c r="B89" s="30" t="s">
        <v>385</v>
      </c>
      <c r="C89" s="51" t="s">
        <v>346</v>
      </c>
      <c r="D89" s="41" t="s">
        <v>68</v>
      </c>
      <c r="E89" s="42" t="s">
        <v>388</v>
      </c>
      <c r="F89" s="32">
        <f ca="1" t="shared" si="5"/>
        <v>5.33</v>
      </c>
      <c r="G89" s="39"/>
    </row>
    <row r="90" ht="29" customHeight="1" spans="1:7">
      <c r="A90" s="39"/>
      <c r="B90" s="30" t="s">
        <v>389</v>
      </c>
      <c r="C90" s="50" t="s">
        <v>291</v>
      </c>
      <c r="D90" s="29" t="s">
        <v>58</v>
      </c>
      <c r="E90" s="42">
        <v>6.1979</v>
      </c>
      <c r="F90" s="32">
        <f ca="1" t="shared" si="5"/>
        <v>6.1979</v>
      </c>
      <c r="G90" s="39"/>
    </row>
    <row r="91" ht="29" customHeight="1" spans="1:7">
      <c r="A91" s="39"/>
      <c r="B91" s="30" t="s">
        <v>389</v>
      </c>
      <c r="C91" s="50" t="s">
        <v>377</v>
      </c>
      <c r="D91" s="29" t="s">
        <v>68</v>
      </c>
      <c r="E91" s="42" t="s">
        <v>390</v>
      </c>
      <c r="F91" s="32">
        <f ca="1" t="shared" si="5"/>
        <v>2.48</v>
      </c>
      <c r="G91" s="39"/>
    </row>
    <row r="92" ht="29" customHeight="1" spans="1:7">
      <c r="A92" s="39"/>
      <c r="B92" s="30" t="s">
        <v>391</v>
      </c>
      <c r="C92" s="50" t="s">
        <v>291</v>
      </c>
      <c r="D92" s="29" t="s">
        <v>58</v>
      </c>
      <c r="E92" s="42">
        <v>8.23</v>
      </c>
      <c r="F92" s="32">
        <f ca="1" t="shared" si="5"/>
        <v>8.23</v>
      </c>
      <c r="G92" s="39"/>
    </row>
    <row r="93" ht="29" customHeight="1" spans="1:7">
      <c r="A93" s="39"/>
      <c r="B93" s="30" t="s">
        <v>391</v>
      </c>
      <c r="C93" s="50" t="s">
        <v>377</v>
      </c>
      <c r="D93" s="29" t="s">
        <v>68</v>
      </c>
      <c r="E93" s="42">
        <v>3.38</v>
      </c>
      <c r="F93" s="32">
        <f ca="1" t="shared" si="5"/>
        <v>3.38</v>
      </c>
      <c r="G93" s="39"/>
    </row>
    <row r="94" ht="29" customHeight="1" spans="1:7">
      <c r="A94" s="39"/>
      <c r="B94" s="30" t="s">
        <v>392</v>
      </c>
      <c r="C94" s="50" t="s">
        <v>291</v>
      </c>
      <c r="D94" s="29" t="s">
        <v>58</v>
      </c>
      <c r="E94" s="42" t="s">
        <v>393</v>
      </c>
      <c r="F94" s="32">
        <f ca="1" t="shared" si="5"/>
        <v>4.915</v>
      </c>
      <c r="G94" s="39"/>
    </row>
    <row r="95" ht="29" customHeight="1" spans="1:7">
      <c r="A95" s="39"/>
      <c r="B95" s="30" t="s">
        <v>392</v>
      </c>
      <c r="C95" s="50" t="s">
        <v>377</v>
      </c>
      <c r="D95" s="29" t="s">
        <v>68</v>
      </c>
      <c r="E95" s="42" t="s">
        <v>394</v>
      </c>
      <c r="F95" s="32">
        <f ca="1" t="shared" ref="F95:F106" si="6">EVALUATE(E95)</f>
        <v>1.6</v>
      </c>
      <c r="G95" s="39"/>
    </row>
    <row r="96" ht="29" customHeight="1" spans="1:7">
      <c r="A96" s="39"/>
      <c r="B96" s="30" t="s">
        <v>395</v>
      </c>
      <c r="C96" s="50" t="s">
        <v>291</v>
      </c>
      <c r="D96" s="29" t="s">
        <v>58</v>
      </c>
      <c r="E96" s="42">
        <v>8.23</v>
      </c>
      <c r="F96" s="32">
        <f ca="1" t="shared" si="6"/>
        <v>8.23</v>
      </c>
      <c r="G96" s="39"/>
    </row>
    <row r="97" ht="29" customHeight="1" spans="1:7">
      <c r="A97" s="39"/>
      <c r="B97" s="30" t="s">
        <v>395</v>
      </c>
      <c r="C97" s="50" t="s">
        <v>377</v>
      </c>
      <c r="D97" s="29" t="s">
        <v>68</v>
      </c>
      <c r="E97" s="42">
        <v>3.38</v>
      </c>
      <c r="F97" s="32">
        <f ca="1" t="shared" si="6"/>
        <v>3.38</v>
      </c>
      <c r="G97" s="39"/>
    </row>
    <row r="98" ht="29" customHeight="1" spans="1:7">
      <c r="A98" s="39"/>
      <c r="B98" s="30" t="s">
        <v>396</v>
      </c>
      <c r="C98" s="50" t="s">
        <v>291</v>
      </c>
      <c r="D98" s="29" t="s">
        <v>58</v>
      </c>
      <c r="E98" s="42" t="s">
        <v>397</v>
      </c>
      <c r="F98" s="32">
        <f ca="1" t="shared" si="6"/>
        <v>3.212</v>
      </c>
      <c r="G98" s="39"/>
    </row>
    <row r="99" ht="29" customHeight="1" spans="1:7">
      <c r="A99" s="39"/>
      <c r="B99" s="30" t="s">
        <v>396</v>
      </c>
      <c r="C99" s="50" t="s">
        <v>377</v>
      </c>
      <c r="D99" s="29" t="s">
        <v>68</v>
      </c>
      <c r="E99" s="42" t="s">
        <v>398</v>
      </c>
      <c r="F99" s="32">
        <f ca="1" t="shared" si="6"/>
        <v>0.95</v>
      </c>
      <c r="G99" s="39"/>
    </row>
    <row r="100" ht="29" customHeight="1" spans="1:7">
      <c r="A100" s="39"/>
      <c r="B100" s="30" t="s">
        <v>399</v>
      </c>
      <c r="C100" s="50" t="s">
        <v>291</v>
      </c>
      <c r="D100" s="29" t="s">
        <v>58</v>
      </c>
      <c r="E100" s="42">
        <v>5.0399</v>
      </c>
      <c r="F100" s="32">
        <f ca="1" t="shared" si="6"/>
        <v>5.0399</v>
      </c>
      <c r="G100" s="39"/>
    </row>
    <row r="101" ht="29" customHeight="1" spans="1:7">
      <c r="A101" s="39"/>
      <c r="B101" s="30" t="s">
        <v>399</v>
      </c>
      <c r="C101" s="50" t="s">
        <v>377</v>
      </c>
      <c r="D101" s="29" t="s">
        <v>68</v>
      </c>
      <c r="E101" s="42">
        <v>1.98</v>
      </c>
      <c r="F101" s="32">
        <f ca="1" t="shared" si="6"/>
        <v>1.98</v>
      </c>
      <c r="G101" s="39"/>
    </row>
    <row r="102" ht="29" customHeight="1" spans="1:7">
      <c r="A102" s="39"/>
      <c r="B102" s="30" t="s">
        <v>399</v>
      </c>
      <c r="C102" s="50" t="s">
        <v>400</v>
      </c>
      <c r="D102" s="29" t="s">
        <v>92</v>
      </c>
      <c r="E102" s="42">
        <v>1</v>
      </c>
      <c r="F102" s="32">
        <f ca="1" t="shared" si="6"/>
        <v>1</v>
      </c>
      <c r="G102" s="39"/>
    </row>
    <row r="103" ht="29" customHeight="1" spans="1:7">
      <c r="A103" s="39"/>
      <c r="B103" s="30" t="s">
        <v>401</v>
      </c>
      <c r="C103" s="50" t="s">
        <v>291</v>
      </c>
      <c r="D103" s="29" t="s">
        <v>58</v>
      </c>
      <c r="E103" s="42">
        <v>6.6</v>
      </c>
      <c r="F103" s="32">
        <f ca="1" t="shared" si="6"/>
        <v>6.6</v>
      </c>
      <c r="G103" s="39"/>
    </row>
    <row r="104" ht="29" customHeight="1" spans="1:7">
      <c r="A104" s="39"/>
      <c r="B104" s="30" t="s">
        <v>401</v>
      </c>
      <c r="C104" s="50" t="s">
        <v>377</v>
      </c>
      <c r="D104" s="29" t="s">
        <v>68</v>
      </c>
      <c r="E104" s="42">
        <v>2.73</v>
      </c>
      <c r="F104" s="32">
        <f ca="1" t="shared" si="6"/>
        <v>2.73</v>
      </c>
      <c r="G104" s="39"/>
    </row>
    <row r="105" ht="29" customHeight="1" spans="1:7">
      <c r="A105" s="39"/>
      <c r="B105" s="30" t="s">
        <v>402</v>
      </c>
      <c r="C105" s="50" t="s">
        <v>291</v>
      </c>
      <c r="D105" s="29" t="s">
        <v>58</v>
      </c>
      <c r="E105" s="42">
        <v>7.009</v>
      </c>
      <c r="F105" s="32">
        <f ca="1" t="shared" si="6"/>
        <v>7.009</v>
      </c>
      <c r="G105" s="39"/>
    </row>
    <row r="106" ht="29" customHeight="1" spans="1:7">
      <c r="A106" s="39"/>
      <c r="B106" s="30" t="s">
        <v>402</v>
      </c>
      <c r="C106" s="50" t="s">
        <v>377</v>
      </c>
      <c r="D106" s="29" t="s">
        <v>68</v>
      </c>
      <c r="E106" s="42">
        <v>2.888</v>
      </c>
      <c r="F106" s="32">
        <f ca="1" t="shared" si="6"/>
        <v>2.888</v>
      </c>
      <c r="G106" s="39"/>
    </row>
    <row r="107" ht="32" customHeight="1" spans="1:7">
      <c r="A107" s="33" t="s">
        <v>127</v>
      </c>
      <c r="B107" s="30" t="s">
        <v>317</v>
      </c>
      <c r="C107" s="39"/>
      <c r="D107" s="41"/>
      <c r="E107" s="42"/>
      <c r="F107" s="32" t="e">
        <f ca="1" t="shared" ref="F107:F132" si="7">EVALUATE(E107)</f>
        <v>#VALUE!</v>
      </c>
      <c r="G107" s="39"/>
    </row>
    <row r="108" ht="29" customHeight="1" spans="1:7">
      <c r="A108" s="39"/>
      <c r="B108" s="30" t="s">
        <v>403</v>
      </c>
      <c r="C108" s="50" t="s">
        <v>291</v>
      </c>
      <c r="D108" s="29" t="s">
        <v>58</v>
      </c>
      <c r="E108" s="42">
        <v>0.3098</v>
      </c>
      <c r="F108" s="32">
        <f ca="1" t="shared" si="7"/>
        <v>0.3098</v>
      </c>
      <c r="G108" s="39"/>
    </row>
    <row r="109" ht="29" customHeight="1" spans="1:7">
      <c r="A109" s="39"/>
      <c r="B109" s="30" t="s">
        <v>403</v>
      </c>
      <c r="C109" s="50" t="s">
        <v>377</v>
      </c>
      <c r="D109" s="29" t="s">
        <v>68</v>
      </c>
      <c r="E109" s="42">
        <v>0.09</v>
      </c>
      <c r="F109" s="32">
        <f ca="1" t="shared" si="7"/>
        <v>0.09</v>
      </c>
      <c r="G109" s="39"/>
    </row>
    <row r="110" ht="29" customHeight="1" spans="1:7">
      <c r="A110" s="39"/>
      <c r="B110" s="30" t="s">
        <v>403</v>
      </c>
      <c r="C110" s="51" t="s">
        <v>355</v>
      </c>
      <c r="D110" s="41" t="s">
        <v>58</v>
      </c>
      <c r="E110" s="42">
        <v>1.204</v>
      </c>
      <c r="F110" s="32">
        <f ca="1" t="shared" si="7"/>
        <v>1.204</v>
      </c>
      <c r="G110" s="39"/>
    </row>
    <row r="111" ht="29" customHeight="1" spans="1:7">
      <c r="A111" s="39"/>
      <c r="B111" s="30" t="s">
        <v>403</v>
      </c>
      <c r="C111" s="51" t="s">
        <v>404</v>
      </c>
      <c r="D111" s="41" t="s">
        <v>68</v>
      </c>
      <c r="E111" s="42">
        <v>1.47</v>
      </c>
      <c r="F111" s="32">
        <f ca="1" t="shared" si="7"/>
        <v>1.47</v>
      </c>
      <c r="G111" s="39"/>
    </row>
    <row r="112" ht="29" customHeight="1" spans="1:7">
      <c r="A112" s="39"/>
      <c r="B112" s="30" t="s">
        <v>405</v>
      </c>
      <c r="C112" s="51" t="s">
        <v>355</v>
      </c>
      <c r="D112" s="41" t="s">
        <v>58</v>
      </c>
      <c r="E112" s="42">
        <v>2.1817</v>
      </c>
      <c r="F112" s="32">
        <f ca="1" t="shared" si="7"/>
        <v>2.1817</v>
      </c>
      <c r="G112" s="39"/>
    </row>
    <row r="113" ht="29" customHeight="1" spans="1:7">
      <c r="A113" s="39"/>
      <c r="B113" s="30" t="s">
        <v>405</v>
      </c>
      <c r="C113" s="51" t="s">
        <v>404</v>
      </c>
      <c r="D113" s="41" t="s">
        <v>68</v>
      </c>
      <c r="E113" s="42">
        <v>2.32</v>
      </c>
      <c r="F113" s="32">
        <f ca="1" t="shared" si="7"/>
        <v>2.32</v>
      </c>
      <c r="G113" s="39"/>
    </row>
    <row r="114" ht="29" customHeight="1" spans="1:7">
      <c r="A114" s="39"/>
      <c r="B114" s="30" t="s">
        <v>405</v>
      </c>
      <c r="C114" s="50" t="s">
        <v>291</v>
      </c>
      <c r="D114" s="29" t="s">
        <v>58</v>
      </c>
      <c r="E114" s="42">
        <v>0.4982</v>
      </c>
      <c r="F114" s="32">
        <f ca="1" t="shared" si="7"/>
        <v>0.4982</v>
      </c>
      <c r="G114" s="39"/>
    </row>
    <row r="115" ht="29" customHeight="1" spans="1:7">
      <c r="A115" s="39"/>
      <c r="B115" s="30" t="s">
        <v>405</v>
      </c>
      <c r="C115" s="50" t="s">
        <v>377</v>
      </c>
      <c r="D115" s="29" t="s">
        <v>68</v>
      </c>
      <c r="E115" s="42">
        <v>0.22</v>
      </c>
      <c r="F115" s="32">
        <f ca="1" t="shared" si="7"/>
        <v>0.22</v>
      </c>
      <c r="G115" s="39"/>
    </row>
    <row r="116" ht="29" customHeight="1" spans="1:7">
      <c r="A116" s="39"/>
      <c r="B116" s="30" t="s">
        <v>406</v>
      </c>
      <c r="C116" s="51" t="s">
        <v>355</v>
      </c>
      <c r="D116" s="41" t="s">
        <v>58</v>
      </c>
      <c r="E116" s="42">
        <v>1.299</v>
      </c>
      <c r="F116" s="32">
        <f ca="1" t="shared" si="7"/>
        <v>1.299</v>
      </c>
      <c r="G116" s="39"/>
    </row>
    <row r="117" ht="29" customHeight="1" spans="1:7">
      <c r="A117" s="39"/>
      <c r="B117" s="30" t="s">
        <v>407</v>
      </c>
      <c r="C117" s="50" t="s">
        <v>291</v>
      </c>
      <c r="D117" s="29" t="s">
        <v>58</v>
      </c>
      <c r="E117" s="42">
        <v>0.707</v>
      </c>
      <c r="F117" s="32">
        <f ca="1" t="shared" si="7"/>
        <v>0.707</v>
      </c>
      <c r="G117" s="39"/>
    </row>
    <row r="118" ht="29" customHeight="1" spans="1:7">
      <c r="A118" s="39"/>
      <c r="B118" s="30" t="s">
        <v>407</v>
      </c>
      <c r="C118" s="50" t="s">
        <v>377</v>
      </c>
      <c r="D118" s="29" t="s">
        <v>68</v>
      </c>
      <c r="E118" s="42">
        <v>0.26</v>
      </c>
      <c r="F118" s="32">
        <f ca="1" t="shared" si="7"/>
        <v>0.26</v>
      </c>
      <c r="G118" s="39"/>
    </row>
    <row r="119" ht="29" customHeight="1" spans="1:7">
      <c r="A119" s="39"/>
      <c r="B119" s="30" t="s">
        <v>407</v>
      </c>
      <c r="C119" s="51" t="s">
        <v>90</v>
      </c>
      <c r="D119" s="41" t="s">
        <v>92</v>
      </c>
      <c r="E119" s="42">
        <v>1</v>
      </c>
      <c r="F119" s="32">
        <f ca="1" t="shared" si="7"/>
        <v>1</v>
      </c>
      <c r="G119" s="39"/>
    </row>
    <row r="120" ht="29" customHeight="1" spans="1:7">
      <c r="A120" s="39"/>
      <c r="B120" s="30" t="s">
        <v>408</v>
      </c>
      <c r="C120" s="51" t="s">
        <v>355</v>
      </c>
      <c r="D120" s="41" t="s">
        <v>58</v>
      </c>
      <c r="E120" s="42" t="s">
        <v>409</v>
      </c>
      <c r="F120" s="32">
        <f ca="1" t="shared" si="7"/>
        <v>2.7604</v>
      </c>
      <c r="G120" s="39"/>
    </row>
    <row r="121" ht="29" customHeight="1" spans="1:7">
      <c r="A121" s="39"/>
      <c r="B121" s="30" t="s">
        <v>410</v>
      </c>
      <c r="C121" s="51" t="s">
        <v>355</v>
      </c>
      <c r="D121" s="41" t="s">
        <v>58</v>
      </c>
      <c r="E121" s="42">
        <v>4.176</v>
      </c>
      <c r="F121" s="32">
        <f ca="1" t="shared" si="7"/>
        <v>4.176</v>
      </c>
      <c r="G121" s="39"/>
    </row>
    <row r="122" ht="27" customHeight="1" spans="1:7">
      <c r="A122" s="39"/>
      <c r="B122" s="30" t="s">
        <v>411</v>
      </c>
      <c r="C122" s="51" t="s">
        <v>355</v>
      </c>
      <c r="D122" s="41" t="s">
        <v>58</v>
      </c>
      <c r="E122" s="42" t="s">
        <v>412</v>
      </c>
      <c r="F122" s="32">
        <f ca="1" t="shared" si="7"/>
        <v>1.612</v>
      </c>
      <c r="G122" s="39"/>
    </row>
    <row r="123" ht="27" customHeight="1" spans="1:7">
      <c r="A123" s="39"/>
      <c r="B123" s="30" t="s">
        <v>413</v>
      </c>
      <c r="C123" s="51" t="s">
        <v>355</v>
      </c>
      <c r="D123" s="41" t="s">
        <v>58</v>
      </c>
      <c r="E123" s="42">
        <v>4.176</v>
      </c>
      <c r="F123" s="32">
        <f ca="1" t="shared" si="7"/>
        <v>4.176</v>
      </c>
      <c r="G123" s="39"/>
    </row>
    <row r="124" ht="27" customHeight="1" spans="1:7">
      <c r="A124" s="39"/>
      <c r="B124" s="30" t="s">
        <v>413</v>
      </c>
      <c r="C124" s="51" t="s">
        <v>414</v>
      </c>
      <c r="D124" s="41" t="s">
        <v>58</v>
      </c>
      <c r="E124" s="42" t="s">
        <v>415</v>
      </c>
      <c r="F124" s="32">
        <f ca="1" t="shared" si="7"/>
        <v>2.9952</v>
      </c>
      <c r="G124" s="39"/>
    </row>
    <row r="125" ht="27" customHeight="1" spans="1:7">
      <c r="A125" s="39" t="s">
        <v>135</v>
      </c>
      <c r="B125" s="41" t="s">
        <v>416</v>
      </c>
      <c r="C125" s="39"/>
      <c r="D125" s="41"/>
      <c r="E125" s="42"/>
      <c r="F125" s="32" t="e">
        <f ca="1" t="shared" si="7"/>
        <v>#VALUE!</v>
      </c>
      <c r="G125" s="39"/>
    </row>
    <row r="126" ht="27" customHeight="1" spans="1:7">
      <c r="A126" s="39"/>
      <c r="B126" s="30" t="s">
        <v>417</v>
      </c>
      <c r="C126" s="51" t="s">
        <v>355</v>
      </c>
      <c r="D126" s="41" t="s">
        <v>58</v>
      </c>
      <c r="E126" s="42" t="s">
        <v>418</v>
      </c>
      <c r="F126" s="32">
        <f ca="1" t="shared" si="7"/>
        <v>3.0044</v>
      </c>
      <c r="G126" s="39"/>
    </row>
    <row r="127" ht="27" customHeight="1" spans="1:7">
      <c r="A127" s="39"/>
      <c r="B127" s="30" t="s">
        <v>417</v>
      </c>
      <c r="C127" s="51" t="s">
        <v>356</v>
      </c>
      <c r="D127" s="41" t="s">
        <v>58</v>
      </c>
      <c r="E127" s="42" t="s">
        <v>419</v>
      </c>
      <c r="F127" s="32">
        <f ca="1" t="shared" si="7"/>
        <v>0.46993</v>
      </c>
      <c r="G127" s="39"/>
    </row>
    <row r="128" ht="27" customHeight="1" spans="1:7">
      <c r="A128" s="39"/>
      <c r="B128" s="30" t="s">
        <v>420</v>
      </c>
      <c r="C128" s="51" t="s">
        <v>355</v>
      </c>
      <c r="D128" s="41" t="s">
        <v>58</v>
      </c>
      <c r="E128" s="42" t="s">
        <v>421</v>
      </c>
      <c r="F128" s="32">
        <f ca="1" t="shared" si="7"/>
        <v>4.7941</v>
      </c>
      <c r="G128" s="39"/>
    </row>
    <row r="129" ht="27" customHeight="1" spans="1:7">
      <c r="A129" s="39"/>
      <c r="B129" s="30" t="s">
        <v>420</v>
      </c>
      <c r="C129" s="51" t="s">
        <v>356</v>
      </c>
      <c r="D129" s="41" t="s">
        <v>58</v>
      </c>
      <c r="E129" s="42" t="s">
        <v>422</v>
      </c>
      <c r="F129" s="32">
        <f ca="1" t="shared" si="7"/>
        <v>2.2619</v>
      </c>
      <c r="G129" s="39"/>
    </row>
    <row r="130" ht="27" customHeight="1" spans="1:7">
      <c r="A130" s="39"/>
      <c r="B130" s="30" t="s">
        <v>423</v>
      </c>
      <c r="C130" s="51" t="s">
        <v>355</v>
      </c>
      <c r="D130" s="41" t="s">
        <v>58</v>
      </c>
      <c r="E130" s="42" t="s">
        <v>424</v>
      </c>
      <c r="F130" s="32">
        <f ca="1" t="shared" si="7"/>
        <v>2.0923</v>
      </c>
      <c r="G130" s="39"/>
    </row>
    <row r="131" ht="27" customHeight="1" spans="1:7">
      <c r="A131" s="39"/>
      <c r="B131" s="30" t="s">
        <v>425</v>
      </c>
      <c r="C131" s="51" t="s">
        <v>355</v>
      </c>
      <c r="D131" s="41" t="s">
        <v>58</v>
      </c>
      <c r="E131" s="42">
        <v>7.056</v>
      </c>
      <c r="F131" s="32">
        <f ca="1" t="shared" si="7"/>
        <v>7.056</v>
      </c>
      <c r="G131" s="39"/>
    </row>
    <row r="132" ht="27" customHeight="1" spans="1:7">
      <c r="A132" s="39" t="s">
        <v>148</v>
      </c>
      <c r="B132" s="30" t="s">
        <v>426</v>
      </c>
      <c r="C132" s="43"/>
      <c r="D132" s="41"/>
      <c r="E132" s="42"/>
      <c r="F132" s="32" t="e">
        <f ca="1" t="shared" ref="F132:F147" si="8">EVALUATE(E132)</f>
        <v>#VALUE!</v>
      </c>
      <c r="G132" s="39"/>
    </row>
    <row r="133" ht="27" customHeight="1" spans="1:7">
      <c r="A133" s="39"/>
      <c r="B133" s="30" t="s">
        <v>427</v>
      </c>
      <c r="C133" s="51" t="s">
        <v>370</v>
      </c>
      <c r="D133" s="41" t="s">
        <v>58</v>
      </c>
      <c r="E133" s="42" t="s">
        <v>428</v>
      </c>
      <c r="F133" s="32">
        <f ca="1" t="shared" si="8"/>
        <v>3.6</v>
      </c>
      <c r="G133" s="39"/>
    </row>
    <row r="134" ht="27" customHeight="1" spans="1:7">
      <c r="A134" s="39"/>
      <c r="B134" s="30" t="s">
        <v>429</v>
      </c>
      <c r="C134" s="51" t="s">
        <v>370</v>
      </c>
      <c r="D134" s="41" t="s">
        <v>58</v>
      </c>
      <c r="E134" s="42" t="s">
        <v>430</v>
      </c>
      <c r="F134" s="32">
        <f ca="1" t="shared" si="8"/>
        <v>3.158</v>
      </c>
      <c r="G134" s="39"/>
    </row>
    <row r="135" ht="27" customHeight="1" spans="1:7">
      <c r="A135" s="39"/>
      <c r="B135" s="30" t="s">
        <v>431</v>
      </c>
      <c r="C135" s="51" t="s">
        <v>370</v>
      </c>
      <c r="D135" s="41" t="s">
        <v>58</v>
      </c>
      <c r="E135" s="42">
        <v>2.3346</v>
      </c>
      <c r="F135" s="32">
        <f ca="1" t="shared" si="8"/>
        <v>2.3346</v>
      </c>
      <c r="G135" s="39"/>
    </row>
    <row r="136" ht="27" customHeight="1" spans="1:7">
      <c r="A136" s="39"/>
      <c r="B136" s="30" t="s">
        <v>432</v>
      </c>
      <c r="C136" s="51" t="s">
        <v>370</v>
      </c>
      <c r="D136" s="41" t="s">
        <v>58</v>
      </c>
      <c r="E136" s="42">
        <v>2.48</v>
      </c>
      <c r="F136" s="32">
        <f ca="1" t="shared" si="8"/>
        <v>2.48</v>
      </c>
      <c r="G136" s="39"/>
    </row>
    <row r="137" ht="27" customHeight="1" spans="1:7">
      <c r="A137" s="29" t="s">
        <v>52</v>
      </c>
      <c r="B137" s="30" t="s">
        <v>433</v>
      </c>
      <c r="C137" s="39"/>
      <c r="D137" s="41"/>
      <c r="E137" s="42"/>
      <c r="F137" s="32" t="e">
        <f ca="1" t="shared" si="8"/>
        <v>#VALUE!</v>
      </c>
      <c r="G137" s="39"/>
    </row>
    <row r="138" ht="27" customHeight="1" spans="1:7">
      <c r="A138" s="39"/>
      <c r="B138" s="30" t="s">
        <v>290</v>
      </c>
      <c r="C138" s="52" t="s">
        <v>291</v>
      </c>
      <c r="D138" s="29" t="s">
        <v>58</v>
      </c>
      <c r="E138" s="42" t="s">
        <v>434</v>
      </c>
      <c r="F138" s="32">
        <f ca="1" t="shared" si="8"/>
        <v>5.01</v>
      </c>
      <c r="G138" s="39"/>
    </row>
    <row r="139" ht="27" customHeight="1" spans="1:7">
      <c r="A139" s="39"/>
      <c r="B139" s="30" t="s">
        <v>290</v>
      </c>
      <c r="C139" s="52" t="s">
        <v>377</v>
      </c>
      <c r="D139" s="29" t="s">
        <v>68</v>
      </c>
      <c r="E139" s="42" t="s">
        <v>435</v>
      </c>
      <c r="F139" s="32">
        <f ca="1" t="shared" si="8"/>
        <v>1.9595</v>
      </c>
      <c r="G139" s="39"/>
    </row>
    <row r="140" ht="27" customHeight="1" spans="1:7">
      <c r="A140" s="39"/>
      <c r="B140" s="30" t="s">
        <v>290</v>
      </c>
      <c r="C140" s="53" t="s">
        <v>436</v>
      </c>
      <c r="D140" s="41" t="s">
        <v>58</v>
      </c>
      <c r="E140" s="42" t="s">
        <v>437</v>
      </c>
      <c r="F140" s="32">
        <f ca="1" t="shared" si="8"/>
        <v>2.2295</v>
      </c>
      <c r="G140" s="39"/>
    </row>
    <row r="141" ht="27" customHeight="1" spans="1:7">
      <c r="A141" s="39"/>
      <c r="B141" s="30" t="s">
        <v>290</v>
      </c>
      <c r="C141" s="53" t="s">
        <v>140</v>
      </c>
      <c r="D141" s="41" t="s">
        <v>92</v>
      </c>
      <c r="E141" s="42">
        <v>1</v>
      </c>
      <c r="F141" s="32">
        <f ca="1" t="shared" si="8"/>
        <v>1</v>
      </c>
      <c r="G141" s="39"/>
    </row>
    <row r="142" ht="27" customHeight="1" spans="1:7">
      <c r="A142" s="39"/>
      <c r="B142" s="30" t="s">
        <v>438</v>
      </c>
      <c r="C142" s="53" t="s">
        <v>302</v>
      </c>
      <c r="D142" s="41" t="s">
        <v>58</v>
      </c>
      <c r="E142" s="42">
        <v>6.7988</v>
      </c>
      <c r="F142" s="32">
        <f ca="1" t="shared" si="8"/>
        <v>6.7988</v>
      </c>
      <c r="G142" s="39"/>
    </row>
    <row r="143" ht="27" customHeight="1" spans="1:7">
      <c r="A143" s="39"/>
      <c r="B143" s="30" t="s">
        <v>438</v>
      </c>
      <c r="C143" s="52" t="s">
        <v>291</v>
      </c>
      <c r="D143" s="29" t="s">
        <v>58</v>
      </c>
      <c r="E143" s="42">
        <v>0.573</v>
      </c>
      <c r="F143" s="32">
        <f ca="1" t="shared" si="8"/>
        <v>0.573</v>
      </c>
      <c r="G143" s="39"/>
    </row>
    <row r="144" ht="27" customHeight="1" spans="1:7">
      <c r="A144" s="39"/>
      <c r="B144" s="30" t="s">
        <v>438</v>
      </c>
      <c r="C144" s="52" t="s">
        <v>377</v>
      </c>
      <c r="D144" s="29" t="s">
        <v>68</v>
      </c>
      <c r="E144" s="42">
        <v>0.09</v>
      </c>
      <c r="F144" s="32">
        <f ca="1" t="shared" si="8"/>
        <v>0.09</v>
      </c>
      <c r="G144" s="39"/>
    </row>
    <row r="145" ht="27" customHeight="1" spans="1:7">
      <c r="A145" s="39"/>
      <c r="B145" s="30" t="s">
        <v>438</v>
      </c>
      <c r="C145" s="53" t="s">
        <v>439</v>
      </c>
      <c r="D145" s="41" t="s">
        <v>68</v>
      </c>
      <c r="E145" s="42">
        <v>5.33</v>
      </c>
      <c r="F145" s="32">
        <f ca="1" t="shared" si="8"/>
        <v>5.33</v>
      </c>
      <c r="G145" s="39"/>
    </row>
    <row r="146" ht="27" customHeight="1" spans="1:7">
      <c r="A146" s="39"/>
      <c r="B146" s="30" t="s">
        <v>440</v>
      </c>
      <c r="C146" s="52" t="s">
        <v>291</v>
      </c>
      <c r="D146" s="29" t="s">
        <v>58</v>
      </c>
      <c r="E146" s="42" t="s">
        <v>441</v>
      </c>
      <c r="F146" s="32">
        <f ca="1" t="shared" si="8"/>
        <v>6.715</v>
      </c>
      <c r="G146" s="39"/>
    </row>
    <row r="147" ht="27" customHeight="1" spans="1:7">
      <c r="A147" s="39"/>
      <c r="B147" s="30" t="s">
        <v>440</v>
      </c>
      <c r="C147" s="52" t="s">
        <v>377</v>
      </c>
      <c r="D147" s="29" t="s">
        <v>68</v>
      </c>
      <c r="E147" s="42" t="s">
        <v>442</v>
      </c>
      <c r="F147" s="32">
        <f ca="1" t="shared" si="8"/>
        <v>3.78</v>
      </c>
      <c r="G147" s="39"/>
    </row>
    <row r="148" ht="27" customHeight="1" spans="1:7">
      <c r="A148" s="39"/>
      <c r="B148" s="30" t="s">
        <v>440</v>
      </c>
      <c r="C148" s="53" t="s">
        <v>140</v>
      </c>
      <c r="D148" s="41" t="s">
        <v>92</v>
      </c>
      <c r="E148" s="42">
        <v>1</v>
      </c>
      <c r="F148" s="32">
        <f ca="1" t="shared" ref="F148:F163" si="9">EVALUATE(E148)</f>
        <v>1</v>
      </c>
      <c r="G148" s="39"/>
    </row>
    <row r="149" ht="24" customHeight="1" spans="1:7">
      <c r="A149" s="39"/>
      <c r="B149" s="30" t="s">
        <v>443</v>
      </c>
      <c r="C149" s="52" t="s">
        <v>291</v>
      </c>
      <c r="D149" s="29" t="s">
        <v>58</v>
      </c>
      <c r="E149" s="42">
        <v>9.482</v>
      </c>
      <c r="F149" s="32">
        <f ca="1" t="shared" si="9"/>
        <v>9.482</v>
      </c>
      <c r="G149" s="39"/>
    </row>
    <row r="150" ht="24" customHeight="1" spans="1:7">
      <c r="A150" s="39"/>
      <c r="B150" s="30" t="s">
        <v>443</v>
      </c>
      <c r="C150" s="53" t="s">
        <v>444</v>
      </c>
      <c r="D150" s="29" t="s">
        <v>58</v>
      </c>
      <c r="E150" s="42" t="s">
        <v>445</v>
      </c>
      <c r="F150" s="32">
        <f ca="1" t="shared" si="9"/>
        <v>2.912</v>
      </c>
      <c r="G150" s="39"/>
    </row>
    <row r="151" ht="24" customHeight="1" spans="1:7">
      <c r="A151" s="39"/>
      <c r="B151" s="30" t="s">
        <v>443</v>
      </c>
      <c r="C151" s="53" t="s">
        <v>446</v>
      </c>
      <c r="D151" s="29" t="s">
        <v>68</v>
      </c>
      <c r="E151" s="42">
        <v>1.43</v>
      </c>
      <c r="F151" s="32">
        <f ca="1" t="shared" si="9"/>
        <v>1.43</v>
      </c>
      <c r="G151" s="39"/>
    </row>
    <row r="152" ht="24" customHeight="1" spans="1:7">
      <c r="A152" s="39"/>
      <c r="B152" s="30" t="s">
        <v>443</v>
      </c>
      <c r="C152" s="52" t="s">
        <v>377</v>
      </c>
      <c r="D152" s="29" t="s">
        <v>68</v>
      </c>
      <c r="E152" s="42">
        <v>3.98</v>
      </c>
      <c r="F152" s="32">
        <f ca="1" t="shared" si="9"/>
        <v>3.98</v>
      </c>
      <c r="G152" s="39"/>
    </row>
    <row r="153" ht="24" customHeight="1" spans="1:7">
      <c r="A153" s="39"/>
      <c r="B153" s="30" t="s">
        <v>389</v>
      </c>
      <c r="C153" s="52" t="s">
        <v>291</v>
      </c>
      <c r="D153" s="29" t="s">
        <v>58</v>
      </c>
      <c r="E153" s="42" t="s">
        <v>447</v>
      </c>
      <c r="F153" s="32">
        <f ca="1" t="shared" si="9"/>
        <v>4.7451</v>
      </c>
      <c r="G153" s="39"/>
    </row>
    <row r="154" ht="24" customHeight="1" spans="1:7">
      <c r="A154" s="39"/>
      <c r="B154" s="30" t="s">
        <v>389</v>
      </c>
      <c r="C154" s="52" t="s">
        <v>377</v>
      </c>
      <c r="D154" s="29" t="s">
        <v>68</v>
      </c>
      <c r="E154" s="42" t="s">
        <v>448</v>
      </c>
      <c r="F154" s="32">
        <f ca="1" t="shared" si="9"/>
        <v>1.88</v>
      </c>
      <c r="G154" s="39"/>
    </row>
    <row r="155" ht="24" customHeight="1" spans="1:7">
      <c r="A155" s="39"/>
      <c r="B155" s="30" t="s">
        <v>391</v>
      </c>
      <c r="C155" s="52" t="s">
        <v>291</v>
      </c>
      <c r="D155" s="29" t="s">
        <v>58</v>
      </c>
      <c r="E155" s="42">
        <v>9.1878</v>
      </c>
      <c r="F155" s="32">
        <f ca="1" t="shared" si="9"/>
        <v>9.1878</v>
      </c>
      <c r="G155" s="39"/>
    </row>
    <row r="156" ht="24" customHeight="1" spans="1:7">
      <c r="A156" s="39"/>
      <c r="B156" s="30" t="s">
        <v>391</v>
      </c>
      <c r="C156" s="52" t="s">
        <v>377</v>
      </c>
      <c r="D156" s="29" t="s">
        <v>68</v>
      </c>
      <c r="E156" s="42">
        <v>3.78</v>
      </c>
      <c r="F156" s="32">
        <f ca="1" t="shared" si="9"/>
        <v>3.78</v>
      </c>
      <c r="G156" s="39"/>
    </row>
    <row r="157" ht="24" customHeight="1" spans="1:7">
      <c r="A157" s="39"/>
      <c r="B157" s="30" t="s">
        <v>392</v>
      </c>
      <c r="C157" s="52" t="s">
        <v>291</v>
      </c>
      <c r="D157" s="29" t="s">
        <v>58</v>
      </c>
      <c r="E157" s="42" t="s">
        <v>449</v>
      </c>
      <c r="F157" s="32">
        <f ca="1" t="shared" si="9"/>
        <v>3.97</v>
      </c>
      <c r="G157" s="39"/>
    </row>
    <row r="158" ht="24" customHeight="1" spans="1:7">
      <c r="A158" s="39"/>
      <c r="B158" s="30" t="s">
        <v>392</v>
      </c>
      <c r="C158" s="52" t="s">
        <v>377</v>
      </c>
      <c r="D158" s="29" t="s">
        <v>68</v>
      </c>
      <c r="E158" s="42" t="s">
        <v>450</v>
      </c>
      <c r="F158" s="32">
        <f ca="1" t="shared" si="9"/>
        <v>1</v>
      </c>
      <c r="G158" s="39"/>
    </row>
    <row r="159" ht="24" customHeight="1" spans="1:7">
      <c r="A159" s="39"/>
      <c r="B159" s="30" t="s">
        <v>395</v>
      </c>
      <c r="C159" s="52" t="s">
        <v>291</v>
      </c>
      <c r="D159" s="29" t="s">
        <v>58</v>
      </c>
      <c r="E159" s="42">
        <v>9.1878</v>
      </c>
      <c r="F159" s="32">
        <f ca="1" t="shared" si="9"/>
        <v>9.1878</v>
      </c>
      <c r="G159" s="39"/>
    </row>
    <row r="160" ht="24" customHeight="1" spans="1:7">
      <c r="A160" s="39"/>
      <c r="B160" s="30" t="s">
        <v>395</v>
      </c>
      <c r="C160" s="52" t="s">
        <v>377</v>
      </c>
      <c r="D160" s="29" t="s">
        <v>68</v>
      </c>
      <c r="E160" s="42">
        <v>3.78</v>
      </c>
      <c r="F160" s="32">
        <f ca="1" t="shared" si="9"/>
        <v>3.78</v>
      </c>
      <c r="G160" s="39"/>
    </row>
    <row r="161" ht="24" customHeight="1" spans="1:7">
      <c r="A161" s="39"/>
      <c r="B161" s="30" t="s">
        <v>451</v>
      </c>
      <c r="C161" s="52" t="s">
        <v>291</v>
      </c>
      <c r="D161" s="29" t="s">
        <v>58</v>
      </c>
      <c r="E161" s="42" t="s">
        <v>452</v>
      </c>
      <c r="F161" s="32">
        <f ca="1" t="shared" si="9"/>
        <v>3.087</v>
      </c>
      <c r="G161" s="39"/>
    </row>
    <row r="162" ht="24" customHeight="1" spans="1:7">
      <c r="A162" s="39"/>
      <c r="B162" s="30" t="s">
        <v>451</v>
      </c>
      <c r="C162" s="52" t="s">
        <v>377</v>
      </c>
      <c r="D162" s="29" t="s">
        <v>68</v>
      </c>
      <c r="E162" s="42" t="s">
        <v>453</v>
      </c>
      <c r="F162" s="32">
        <f ca="1" t="shared" si="9"/>
        <v>0.9</v>
      </c>
      <c r="G162" s="39"/>
    </row>
    <row r="163" ht="24" customHeight="1" spans="1:7">
      <c r="A163" s="39"/>
      <c r="B163" s="30" t="s">
        <v>399</v>
      </c>
      <c r="C163" s="52" t="s">
        <v>291</v>
      </c>
      <c r="D163" s="29" t="s">
        <v>58</v>
      </c>
      <c r="E163" s="42">
        <v>7</v>
      </c>
      <c r="F163" s="32">
        <f ca="1" t="shared" si="9"/>
        <v>7</v>
      </c>
      <c r="G163" s="39"/>
    </row>
    <row r="164" ht="24" customHeight="1" spans="1:7">
      <c r="A164" s="39"/>
      <c r="B164" s="30" t="s">
        <v>399</v>
      </c>
      <c r="C164" s="52" t="s">
        <v>377</v>
      </c>
      <c r="D164" s="29" t="s">
        <v>68</v>
      </c>
      <c r="E164" s="42">
        <v>2.88</v>
      </c>
      <c r="F164" s="32">
        <f ca="1" t="shared" ref="F164:F187" si="10">EVALUATE(E164)</f>
        <v>2.88</v>
      </c>
      <c r="G164" s="39"/>
    </row>
    <row r="165" ht="26" customHeight="1" spans="1:7">
      <c r="A165" s="39"/>
      <c r="B165" s="30" t="s">
        <v>401</v>
      </c>
      <c r="C165" s="52" t="s">
        <v>291</v>
      </c>
      <c r="D165" s="29" t="s">
        <v>58</v>
      </c>
      <c r="E165" s="42">
        <v>4.5</v>
      </c>
      <c r="F165" s="32">
        <f ca="1" t="shared" si="10"/>
        <v>4.5</v>
      </c>
      <c r="G165" s="39"/>
    </row>
    <row r="166" ht="26" customHeight="1" spans="1:7">
      <c r="A166" s="39"/>
      <c r="B166" s="30" t="s">
        <v>401</v>
      </c>
      <c r="C166" s="52" t="s">
        <v>377</v>
      </c>
      <c r="D166" s="29" t="s">
        <v>68</v>
      </c>
      <c r="E166" s="42" t="s">
        <v>454</v>
      </c>
      <c r="F166" s="32">
        <f ca="1" t="shared" si="10"/>
        <v>1.78</v>
      </c>
      <c r="G166" s="39"/>
    </row>
    <row r="167" ht="26" customHeight="1" spans="1:7">
      <c r="A167" s="39"/>
      <c r="B167" s="30" t="s">
        <v>402</v>
      </c>
      <c r="C167" s="52" t="s">
        <v>291</v>
      </c>
      <c r="D167" s="29" t="s">
        <v>58</v>
      </c>
      <c r="E167" s="42">
        <v>7</v>
      </c>
      <c r="F167" s="32">
        <f ca="1" t="shared" si="10"/>
        <v>7</v>
      </c>
      <c r="G167" s="39"/>
    </row>
    <row r="168" ht="26" customHeight="1" spans="1:7">
      <c r="A168" s="39"/>
      <c r="B168" s="30" t="s">
        <v>402</v>
      </c>
      <c r="C168" s="52" t="s">
        <v>377</v>
      </c>
      <c r="D168" s="29" t="s">
        <v>68</v>
      </c>
      <c r="E168" s="42">
        <v>2.88</v>
      </c>
      <c r="F168" s="32">
        <f ca="1" t="shared" si="10"/>
        <v>2.88</v>
      </c>
      <c r="G168" s="39"/>
    </row>
    <row r="169" ht="26" customHeight="1" spans="1:7">
      <c r="A169" s="39" t="s">
        <v>127</v>
      </c>
      <c r="B169" s="41" t="s">
        <v>455</v>
      </c>
      <c r="C169" s="39"/>
      <c r="D169" s="41"/>
      <c r="E169" s="42"/>
      <c r="F169" s="32" t="e">
        <f ca="1" t="shared" si="10"/>
        <v>#VALUE!</v>
      </c>
      <c r="G169" s="39"/>
    </row>
    <row r="170" ht="26" customHeight="1" spans="1:7">
      <c r="A170" s="39"/>
      <c r="B170" s="30" t="s">
        <v>456</v>
      </c>
      <c r="C170" s="52" t="s">
        <v>291</v>
      </c>
      <c r="D170" s="27" t="s">
        <v>58</v>
      </c>
      <c r="E170" s="42">
        <v>0.33</v>
      </c>
      <c r="F170" s="32">
        <f ca="1" t="shared" si="10"/>
        <v>0.33</v>
      </c>
      <c r="G170" s="39"/>
    </row>
    <row r="171" ht="26" customHeight="1" spans="1:7">
      <c r="A171" s="39"/>
      <c r="B171" s="30" t="s">
        <v>456</v>
      </c>
      <c r="C171" s="52" t="s">
        <v>377</v>
      </c>
      <c r="D171" s="27" t="s">
        <v>68</v>
      </c>
      <c r="E171" s="42">
        <v>0.09</v>
      </c>
      <c r="F171" s="32">
        <f ca="1" t="shared" si="10"/>
        <v>0.09</v>
      </c>
      <c r="G171" s="39"/>
    </row>
    <row r="172" ht="26" customHeight="1" spans="1:7">
      <c r="A172" s="39"/>
      <c r="B172" s="30" t="s">
        <v>456</v>
      </c>
      <c r="C172" s="53" t="s">
        <v>355</v>
      </c>
      <c r="D172" s="54" t="s">
        <v>58</v>
      </c>
      <c r="E172" s="42">
        <v>1.275</v>
      </c>
      <c r="F172" s="32">
        <f ca="1" t="shared" si="10"/>
        <v>1.275</v>
      </c>
      <c r="G172" s="39"/>
    </row>
    <row r="173" ht="38" customHeight="1" spans="1:7">
      <c r="A173" s="39"/>
      <c r="B173" s="30" t="s">
        <v>456</v>
      </c>
      <c r="C173" s="53" t="s">
        <v>404</v>
      </c>
      <c r="D173" s="54" t="s">
        <v>68</v>
      </c>
      <c r="E173" s="42">
        <v>2.32</v>
      </c>
      <c r="F173" s="32">
        <f ca="1" t="shared" si="10"/>
        <v>2.32</v>
      </c>
      <c r="G173" s="39"/>
    </row>
    <row r="174" ht="26" customHeight="1" spans="1:7">
      <c r="A174" s="39"/>
      <c r="B174" s="30" t="s">
        <v>456</v>
      </c>
      <c r="C174" s="53" t="s">
        <v>90</v>
      </c>
      <c r="D174" s="41" t="s">
        <v>92</v>
      </c>
      <c r="E174" s="42">
        <v>1</v>
      </c>
      <c r="F174" s="32">
        <f ca="1" t="shared" si="10"/>
        <v>1</v>
      </c>
      <c r="G174" s="39"/>
    </row>
    <row r="175" ht="26" customHeight="1" spans="1:7">
      <c r="A175" s="39"/>
      <c r="B175" s="30" t="s">
        <v>457</v>
      </c>
      <c r="C175" s="52" t="s">
        <v>291</v>
      </c>
      <c r="D175" s="27" t="s">
        <v>58</v>
      </c>
      <c r="E175" s="42">
        <v>0.918</v>
      </c>
      <c r="F175" s="32">
        <f ca="1" t="shared" si="10"/>
        <v>0.918</v>
      </c>
      <c r="G175" s="39"/>
    </row>
    <row r="176" ht="26" customHeight="1" spans="1:7">
      <c r="A176" s="39"/>
      <c r="B176" s="30" t="s">
        <v>457</v>
      </c>
      <c r="C176" s="52" t="s">
        <v>377</v>
      </c>
      <c r="D176" s="27" t="s">
        <v>68</v>
      </c>
      <c r="E176" s="42" t="s">
        <v>458</v>
      </c>
      <c r="F176" s="32">
        <f ca="1" t="shared" si="10"/>
        <v>0.3</v>
      </c>
      <c r="G176" s="39"/>
    </row>
    <row r="177" ht="26" customHeight="1" spans="1:7">
      <c r="A177" s="39"/>
      <c r="B177" s="30" t="s">
        <v>457</v>
      </c>
      <c r="C177" s="53" t="s">
        <v>94</v>
      </c>
      <c r="D177" s="41" t="s">
        <v>92</v>
      </c>
      <c r="E177" s="42">
        <v>1</v>
      </c>
      <c r="F177" s="32">
        <f ca="1" t="shared" si="10"/>
        <v>1</v>
      </c>
      <c r="G177" s="39"/>
    </row>
    <row r="178" ht="26" customHeight="1" spans="1:7">
      <c r="A178" s="39"/>
      <c r="B178" s="30" t="s">
        <v>459</v>
      </c>
      <c r="C178" s="53" t="s">
        <v>355</v>
      </c>
      <c r="D178" s="54" t="s">
        <v>58</v>
      </c>
      <c r="E178" s="42">
        <v>1.299</v>
      </c>
      <c r="F178" s="32">
        <f ca="1" t="shared" si="10"/>
        <v>1.299</v>
      </c>
      <c r="G178" s="39"/>
    </row>
    <row r="179" ht="26" customHeight="1" spans="1:7">
      <c r="A179" s="39"/>
      <c r="B179" s="30" t="s">
        <v>459</v>
      </c>
      <c r="C179" s="53" t="s">
        <v>404</v>
      </c>
      <c r="D179" s="54" t="s">
        <v>68</v>
      </c>
      <c r="E179" s="42">
        <v>2.32</v>
      </c>
      <c r="F179" s="32">
        <f ca="1" t="shared" si="10"/>
        <v>2.32</v>
      </c>
      <c r="G179" s="39"/>
    </row>
    <row r="180" ht="26" customHeight="1" spans="1:7">
      <c r="A180" s="39"/>
      <c r="B180" s="30" t="s">
        <v>460</v>
      </c>
      <c r="C180" s="52" t="s">
        <v>291</v>
      </c>
      <c r="D180" s="27" t="s">
        <v>58</v>
      </c>
      <c r="E180" s="42">
        <v>0.491</v>
      </c>
      <c r="F180" s="32">
        <f ca="1" t="shared" si="10"/>
        <v>0.491</v>
      </c>
      <c r="G180" s="39"/>
    </row>
    <row r="181" ht="26" customHeight="1" spans="1:7">
      <c r="A181" s="39"/>
      <c r="B181" s="30" t="s">
        <v>460</v>
      </c>
      <c r="C181" s="52" t="s">
        <v>377</v>
      </c>
      <c r="D181" s="27" t="s">
        <v>68</v>
      </c>
      <c r="E181" s="42">
        <v>0.22</v>
      </c>
      <c r="F181" s="32">
        <f ca="1" t="shared" si="10"/>
        <v>0.22</v>
      </c>
      <c r="G181" s="39"/>
    </row>
    <row r="182" ht="26" customHeight="1" spans="1:7">
      <c r="A182" s="39"/>
      <c r="B182" s="30" t="s">
        <v>460</v>
      </c>
      <c r="C182" s="53" t="s">
        <v>355</v>
      </c>
      <c r="D182" s="54" t="s">
        <v>58</v>
      </c>
      <c r="E182" s="42">
        <v>2.187</v>
      </c>
      <c r="F182" s="32">
        <f ca="1" t="shared" si="10"/>
        <v>2.187</v>
      </c>
      <c r="G182" s="39"/>
    </row>
    <row r="183" ht="26" customHeight="1" spans="1:7">
      <c r="A183" s="39"/>
      <c r="B183" s="30" t="s">
        <v>461</v>
      </c>
      <c r="C183" s="53" t="s">
        <v>355</v>
      </c>
      <c r="D183" s="54" t="s">
        <v>58</v>
      </c>
      <c r="E183" s="42" t="s">
        <v>462</v>
      </c>
      <c r="F183" s="32">
        <f ca="1" t="shared" si="10"/>
        <v>2.885</v>
      </c>
      <c r="G183" s="39"/>
    </row>
    <row r="184" ht="26" customHeight="1" spans="1:7">
      <c r="A184" s="39"/>
      <c r="B184" s="30" t="s">
        <v>463</v>
      </c>
      <c r="C184" s="53" t="s">
        <v>355</v>
      </c>
      <c r="D184" s="54" t="s">
        <v>58</v>
      </c>
      <c r="E184" s="42">
        <v>4.175</v>
      </c>
      <c r="F184" s="32">
        <f ca="1" t="shared" si="10"/>
        <v>4.175</v>
      </c>
      <c r="G184" s="39"/>
    </row>
    <row r="185" ht="26" customHeight="1" spans="1:7">
      <c r="A185" s="39"/>
      <c r="B185" s="30" t="s">
        <v>464</v>
      </c>
      <c r="C185" s="53" t="s">
        <v>355</v>
      </c>
      <c r="D185" s="54" t="s">
        <v>58</v>
      </c>
      <c r="E185" s="42" t="s">
        <v>465</v>
      </c>
      <c r="F185" s="32">
        <f ca="1" t="shared" si="10"/>
        <v>1.77</v>
      </c>
      <c r="G185" s="39"/>
    </row>
    <row r="186" ht="26" customHeight="1" spans="1:7">
      <c r="A186" s="39"/>
      <c r="B186" s="30" t="s">
        <v>466</v>
      </c>
      <c r="C186" s="53" t="s">
        <v>355</v>
      </c>
      <c r="D186" s="54" t="s">
        <v>58</v>
      </c>
      <c r="E186" s="42">
        <v>4.175</v>
      </c>
      <c r="F186" s="32">
        <f ca="1" t="shared" si="10"/>
        <v>4.175</v>
      </c>
      <c r="G186" s="39"/>
    </row>
    <row r="187" ht="23" customHeight="1" spans="1:7">
      <c r="A187" s="39"/>
      <c r="B187" s="30" t="s">
        <v>466</v>
      </c>
      <c r="C187" s="53" t="s">
        <v>414</v>
      </c>
      <c r="D187" s="41" t="s">
        <v>58</v>
      </c>
      <c r="E187" s="42" t="s">
        <v>467</v>
      </c>
      <c r="F187" s="32">
        <f ca="1" t="shared" si="10"/>
        <v>3.0992</v>
      </c>
      <c r="G187" s="39"/>
    </row>
    <row r="188" ht="23" customHeight="1" spans="1:7">
      <c r="A188" s="39" t="s">
        <v>135</v>
      </c>
      <c r="B188" s="30" t="s">
        <v>416</v>
      </c>
      <c r="C188" s="39"/>
      <c r="D188" s="41"/>
      <c r="E188" s="42"/>
      <c r="F188" s="32"/>
      <c r="G188" s="39"/>
    </row>
    <row r="189" ht="17" customHeight="1" spans="1:7">
      <c r="A189" s="39"/>
      <c r="B189" s="30" t="s">
        <v>468</v>
      </c>
      <c r="C189" s="53" t="s">
        <v>355</v>
      </c>
      <c r="D189" s="54" t="s">
        <v>58</v>
      </c>
      <c r="E189" s="42" t="s">
        <v>469</v>
      </c>
      <c r="F189" s="32">
        <f ca="1" t="shared" ref="F189:F198" si="11">EVALUATE(E189)</f>
        <v>2.7644</v>
      </c>
      <c r="G189" s="39"/>
    </row>
    <row r="190" ht="17" customHeight="1" spans="1:7">
      <c r="A190" s="39"/>
      <c r="B190" s="30" t="s">
        <v>468</v>
      </c>
      <c r="C190" s="53" t="s">
        <v>470</v>
      </c>
      <c r="D190" s="54" t="s">
        <v>58</v>
      </c>
      <c r="E190" s="42" t="s">
        <v>471</v>
      </c>
      <c r="F190" s="32">
        <f ca="1" t="shared" si="11"/>
        <v>0.4699</v>
      </c>
      <c r="G190" s="39"/>
    </row>
    <row r="191" ht="17" customHeight="1" spans="1:7">
      <c r="A191" s="39"/>
      <c r="B191" s="30" t="s">
        <v>472</v>
      </c>
      <c r="C191" s="53" t="s">
        <v>355</v>
      </c>
      <c r="D191" s="54" t="s">
        <v>58</v>
      </c>
      <c r="E191" s="42">
        <v>4.587</v>
      </c>
      <c r="F191" s="32">
        <f ca="1" t="shared" si="11"/>
        <v>4.587</v>
      </c>
      <c r="G191" s="39"/>
    </row>
    <row r="192" ht="17" customHeight="1" spans="1:7">
      <c r="A192" s="39"/>
      <c r="B192" s="30" t="s">
        <v>472</v>
      </c>
      <c r="C192" s="53" t="s">
        <v>470</v>
      </c>
      <c r="D192" s="54" t="s">
        <v>58</v>
      </c>
      <c r="E192" s="42" t="s">
        <v>473</v>
      </c>
      <c r="F192" s="32">
        <f ca="1" t="shared" si="11"/>
        <v>2.194</v>
      </c>
      <c r="G192" s="39"/>
    </row>
    <row r="193" ht="17" customHeight="1" spans="1:7">
      <c r="A193" s="39"/>
      <c r="B193" s="30" t="s">
        <v>474</v>
      </c>
      <c r="C193" s="53" t="s">
        <v>355</v>
      </c>
      <c r="D193" s="54" t="s">
        <v>58</v>
      </c>
      <c r="E193" s="42">
        <v>3.696</v>
      </c>
      <c r="F193" s="32">
        <f ca="1" t="shared" si="11"/>
        <v>3.696</v>
      </c>
      <c r="G193" s="39"/>
    </row>
    <row r="194" ht="17" customHeight="1" spans="1:7">
      <c r="A194" s="39"/>
      <c r="B194" s="30" t="s">
        <v>475</v>
      </c>
      <c r="C194" s="53" t="s">
        <v>355</v>
      </c>
      <c r="D194" s="54" t="s">
        <v>58</v>
      </c>
      <c r="E194" s="42">
        <v>4.97</v>
      </c>
      <c r="F194" s="32">
        <f ca="1" t="shared" si="11"/>
        <v>4.97</v>
      </c>
      <c r="G194" s="39"/>
    </row>
    <row r="195" ht="17" customHeight="1" spans="1:7">
      <c r="A195" s="39"/>
      <c r="B195" s="30" t="s">
        <v>475</v>
      </c>
      <c r="C195" s="30" t="s">
        <v>103</v>
      </c>
      <c r="D195" s="54" t="s">
        <v>68</v>
      </c>
      <c r="E195" s="42" t="s">
        <v>476</v>
      </c>
      <c r="F195" s="32">
        <f ca="1" t="shared" si="11"/>
        <v>5.66</v>
      </c>
      <c r="G195" s="39"/>
    </row>
    <row r="196" ht="17" customHeight="1" spans="1:7">
      <c r="A196" s="39"/>
      <c r="B196" s="30" t="s">
        <v>475</v>
      </c>
      <c r="C196" s="30" t="s">
        <v>105</v>
      </c>
      <c r="D196" s="54" t="s">
        <v>68</v>
      </c>
      <c r="E196" s="42">
        <v>1.84</v>
      </c>
      <c r="F196" s="32">
        <f ca="1" t="shared" si="11"/>
        <v>1.84</v>
      </c>
      <c r="G196" s="39"/>
    </row>
    <row r="197" ht="17" customHeight="1" spans="1:7">
      <c r="A197" s="39" t="s">
        <v>148</v>
      </c>
      <c r="B197" s="41" t="s">
        <v>426</v>
      </c>
      <c r="C197" s="39"/>
      <c r="D197" s="41"/>
      <c r="E197" s="42"/>
      <c r="F197" s="32" t="e">
        <f ca="1" t="shared" si="11"/>
        <v>#VALUE!</v>
      </c>
      <c r="G197" s="39"/>
    </row>
    <row r="198" ht="17" customHeight="1" spans="1:7">
      <c r="A198" s="39"/>
      <c r="B198" s="30" t="s">
        <v>477</v>
      </c>
      <c r="C198" s="53" t="s">
        <v>370</v>
      </c>
      <c r="D198" s="54" t="s">
        <v>58</v>
      </c>
      <c r="E198" s="42" t="s">
        <v>478</v>
      </c>
      <c r="F198" s="32">
        <f ca="1" t="shared" si="11"/>
        <v>2.4</v>
      </c>
      <c r="G198" s="39"/>
    </row>
    <row r="199" ht="17" customHeight="1" spans="1:7">
      <c r="A199" s="39"/>
      <c r="B199" s="30" t="s">
        <v>479</v>
      </c>
      <c r="C199" s="53" t="s">
        <v>370</v>
      </c>
      <c r="D199" s="54" t="s">
        <v>58</v>
      </c>
      <c r="E199" s="42">
        <v>2.48</v>
      </c>
      <c r="F199" s="32">
        <f ca="1" t="shared" ref="F199:F206" si="12">EVALUATE(E199)</f>
        <v>2.48</v>
      </c>
      <c r="G199" s="39"/>
    </row>
    <row r="200" ht="17" customHeight="1" spans="1:7">
      <c r="A200" s="39"/>
      <c r="B200" s="30" t="s">
        <v>480</v>
      </c>
      <c r="C200" s="53" t="s">
        <v>370</v>
      </c>
      <c r="D200" s="54" t="s">
        <v>58</v>
      </c>
      <c r="E200" s="42" t="s">
        <v>481</v>
      </c>
      <c r="F200" s="32">
        <f ca="1" t="shared" si="12"/>
        <v>2.326</v>
      </c>
      <c r="G200" s="39"/>
    </row>
    <row r="201" ht="17" customHeight="1" spans="1:7">
      <c r="A201" s="39"/>
      <c r="B201" s="30" t="s">
        <v>482</v>
      </c>
      <c r="C201" s="53" t="s">
        <v>370</v>
      </c>
      <c r="D201" s="54" t="s">
        <v>58</v>
      </c>
      <c r="E201" s="42">
        <v>2.48</v>
      </c>
      <c r="F201" s="32">
        <f ca="1" t="shared" si="12"/>
        <v>2.48</v>
      </c>
      <c r="G201" s="39"/>
    </row>
    <row r="202" ht="17" customHeight="1" spans="1:7">
      <c r="A202" s="39"/>
      <c r="B202" s="41"/>
      <c r="C202" s="39"/>
      <c r="D202" s="41"/>
      <c r="E202" s="42"/>
      <c r="F202" s="32" t="e">
        <f ca="1" t="shared" si="12"/>
        <v>#VALUE!</v>
      </c>
      <c r="G202" s="39"/>
    </row>
    <row r="203" ht="17" customHeight="1" spans="1:7">
      <c r="A203" s="39"/>
      <c r="B203" s="41"/>
      <c r="C203" s="39"/>
      <c r="D203" s="41"/>
      <c r="E203" s="42"/>
      <c r="F203" s="32" t="e">
        <f ca="1" t="shared" si="12"/>
        <v>#VALUE!</v>
      </c>
      <c r="G203" s="39"/>
    </row>
    <row r="204" ht="17" customHeight="1" spans="1:7">
      <c r="A204" s="39"/>
      <c r="B204" s="41"/>
      <c r="C204" s="39"/>
      <c r="D204" s="41"/>
      <c r="E204" s="42"/>
      <c r="F204" s="32" t="e">
        <f ca="1" t="shared" si="12"/>
        <v>#VALUE!</v>
      </c>
      <c r="G204" s="39"/>
    </row>
    <row r="205" ht="17" customHeight="1" spans="1:7">
      <c r="A205" s="39"/>
      <c r="B205" s="41"/>
      <c r="C205" s="39"/>
      <c r="D205" s="41"/>
      <c r="E205" s="42"/>
      <c r="F205" s="32" t="e">
        <f ca="1" t="shared" si="12"/>
        <v>#VALUE!</v>
      </c>
      <c r="G205" s="39"/>
    </row>
    <row r="206" ht="17" customHeight="1" spans="1:7">
      <c r="A206" s="39"/>
      <c r="B206" s="41"/>
      <c r="C206" s="39"/>
      <c r="D206" s="41"/>
      <c r="E206" s="42"/>
      <c r="F206" s="32" t="e">
        <f ca="1" t="shared" si="12"/>
        <v>#VALUE!</v>
      </c>
      <c r="G206" s="39"/>
    </row>
  </sheetData>
  <autoFilter xmlns:etc="http://www.wps.cn/officeDocument/2017/etCustomData" ref="A137:H206" etc:filterBottomFollowUsedRange="0">
    <extLst/>
  </autoFilter>
  <mergeCells count="1">
    <mergeCell ref="A1:E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opLeftCell="A5" workbookViewId="0">
      <selection activeCell="F26" sqref="F26"/>
    </sheetView>
  </sheetViews>
  <sheetFormatPr defaultColWidth="9" defaultRowHeight="13.5" outlineLevelCol="5"/>
  <cols>
    <col min="2" max="2" width="10.5" customWidth="1"/>
    <col min="3" max="3" width="13.75" customWidth="1"/>
    <col min="4" max="4" width="10.75" customWidth="1"/>
    <col min="5" max="5" width="16" customWidth="1"/>
  </cols>
  <sheetData>
    <row r="1" ht="21" spans="1:5">
      <c r="A1" s="1" t="s">
        <v>483</v>
      </c>
      <c r="B1" s="2"/>
      <c r="C1" s="2"/>
      <c r="D1" s="2"/>
      <c r="E1" s="2"/>
    </row>
    <row r="2" ht="16.5" spans="1:5">
      <c r="A2" s="3" t="s">
        <v>24</v>
      </c>
      <c r="B2" s="3" t="s">
        <v>484</v>
      </c>
      <c r="C2" s="3" t="s">
        <v>485</v>
      </c>
      <c r="D2" s="3" t="s">
        <v>486</v>
      </c>
      <c r="E2" s="3" t="s">
        <v>487</v>
      </c>
    </row>
    <row r="3" ht="16.5" spans="1:5">
      <c r="A3" s="4">
        <v>1</v>
      </c>
      <c r="B3" s="4" t="s">
        <v>488</v>
      </c>
      <c r="C3" s="5" t="s">
        <v>489</v>
      </c>
      <c r="D3" s="6" t="s">
        <v>490</v>
      </c>
      <c r="E3" s="7">
        <v>50.5</v>
      </c>
    </row>
    <row r="4" ht="16.5" spans="1:5">
      <c r="A4" s="4">
        <v>2</v>
      </c>
      <c r="B4" s="4" t="s">
        <v>488</v>
      </c>
      <c r="C4" s="5" t="s">
        <v>491</v>
      </c>
      <c r="D4" s="6" t="s">
        <v>490</v>
      </c>
      <c r="E4" s="7">
        <v>50.5</v>
      </c>
    </row>
    <row r="5" ht="16.5" spans="1:5">
      <c r="A5" s="4">
        <v>3</v>
      </c>
      <c r="B5" s="4" t="s">
        <v>488</v>
      </c>
      <c r="C5" s="5" t="s">
        <v>492</v>
      </c>
      <c r="D5" s="6" t="s">
        <v>490</v>
      </c>
      <c r="E5" s="7">
        <v>50.5</v>
      </c>
    </row>
    <row r="6" ht="16.5" spans="1:5">
      <c r="A6" s="4">
        <v>4</v>
      </c>
      <c r="B6" s="4" t="s">
        <v>488</v>
      </c>
      <c r="C6" s="5" t="s">
        <v>493</v>
      </c>
      <c r="D6" s="6" t="s">
        <v>490</v>
      </c>
      <c r="E6" s="7">
        <v>39.83</v>
      </c>
    </row>
    <row r="7" ht="16.5" spans="1:5">
      <c r="A7" s="4">
        <v>5</v>
      </c>
      <c r="B7" s="4" t="s">
        <v>488</v>
      </c>
      <c r="C7" s="5" t="s">
        <v>494</v>
      </c>
      <c r="D7" s="6" t="s">
        <v>490</v>
      </c>
      <c r="E7" s="7">
        <v>80.26</v>
      </c>
    </row>
    <row r="8" ht="16.5" spans="1:5">
      <c r="A8" s="4">
        <v>6</v>
      </c>
      <c r="B8" s="4" t="s">
        <v>488</v>
      </c>
      <c r="C8" s="5" t="s">
        <v>495</v>
      </c>
      <c r="D8" s="6" t="s">
        <v>490</v>
      </c>
      <c r="E8" s="7">
        <v>50.5</v>
      </c>
    </row>
    <row r="9" ht="16.5" spans="1:5">
      <c r="A9" s="4">
        <v>7</v>
      </c>
      <c r="B9" s="4" t="s">
        <v>488</v>
      </c>
      <c r="C9" s="5" t="s">
        <v>496</v>
      </c>
      <c r="D9" s="6" t="s">
        <v>490</v>
      </c>
      <c r="E9" s="7">
        <v>81.23</v>
      </c>
    </row>
    <row r="10" ht="16.5" spans="1:5">
      <c r="A10" s="4">
        <v>8</v>
      </c>
      <c r="B10" s="4" t="s">
        <v>488</v>
      </c>
      <c r="C10" s="5" t="s">
        <v>497</v>
      </c>
      <c r="D10" s="6" t="s">
        <v>490</v>
      </c>
      <c r="E10" s="7">
        <v>50.5</v>
      </c>
    </row>
    <row r="11" ht="16.5" spans="1:5">
      <c r="A11" s="4">
        <v>9</v>
      </c>
      <c r="B11" s="4" t="s">
        <v>488</v>
      </c>
      <c r="C11" s="5" t="s">
        <v>498</v>
      </c>
      <c r="D11" s="6" t="s">
        <v>490</v>
      </c>
      <c r="E11" s="7">
        <v>39.83</v>
      </c>
    </row>
    <row r="12" ht="16.5" spans="1:5">
      <c r="A12" s="4">
        <v>10</v>
      </c>
      <c r="B12" s="4" t="s">
        <v>488</v>
      </c>
      <c r="C12" s="5" t="s">
        <v>499</v>
      </c>
      <c r="D12" s="6" t="s">
        <v>490</v>
      </c>
      <c r="E12" s="7">
        <v>50.5</v>
      </c>
    </row>
    <row r="13" ht="16.5" spans="1:5">
      <c r="A13" s="4">
        <v>11</v>
      </c>
      <c r="B13" s="4" t="s">
        <v>488</v>
      </c>
      <c r="C13" s="5" t="s">
        <v>500</v>
      </c>
      <c r="D13" s="6" t="s">
        <v>490</v>
      </c>
      <c r="E13" s="7">
        <v>50.5</v>
      </c>
    </row>
    <row r="14" ht="16.5" spans="1:5">
      <c r="A14" s="4">
        <v>12</v>
      </c>
      <c r="B14" s="4" t="s">
        <v>488</v>
      </c>
      <c r="C14" s="5" t="s">
        <v>501</v>
      </c>
      <c r="D14" s="6" t="s">
        <v>490</v>
      </c>
      <c r="E14" s="7">
        <v>39.83</v>
      </c>
    </row>
    <row r="15" ht="16.5" spans="1:5">
      <c r="A15" s="4">
        <v>13</v>
      </c>
      <c r="B15" s="4" t="s">
        <v>488</v>
      </c>
      <c r="C15" s="5" t="s">
        <v>502</v>
      </c>
      <c r="D15" s="6" t="s">
        <v>490</v>
      </c>
      <c r="E15" s="7">
        <v>39.83</v>
      </c>
    </row>
    <row r="16" ht="16.5" spans="1:5">
      <c r="A16" s="4">
        <v>14</v>
      </c>
      <c r="B16" s="4" t="s">
        <v>488</v>
      </c>
      <c r="C16" s="5" t="s">
        <v>503</v>
      </c>
      <c r="D16" s="6" t="s">
        <v>490</v>
      </c>
      <c r="E16" s="7">
        <v>50.5</v>
      </c>
    </row>
    <row r="17" ht="16.5" spans="1:5">
      <c r="A17" s="4">
        <v>15</v>
      </c>
      <c r="B17" s="4" t="s">
        <v>488</v>
      </c>
      <c r="C17" s="5" t="s">
        <v>504</v>
      </c>
      <c r="D17" s="6" t="s">
        <v>490</v>
      </c>
      <c r="E17" s="7">
        <v>50.5</v>
      </c>
    </row>
    <row r="18" ht="16.5" spans="1:5">
      <c r="A18" s="4">
        <v>16</v>
      </c>
      <c r="B18" s="4" t="s">
        <v>488</v>
      </c>
      <c r="C18" s="5" t="s">
        <v>505</v>
      </c>
      <c r="D18" s="6" t="s">
        <v>490</v>
      </c>
      <c r="E18" s="7">
        <v>50.5</v>
      </c>
    </row>
    <row r="19" ht="16.5" spans="1:5">
      <c r="A19" s="4"/>
      <c r="B19" s="8"/>
      <c r="C19" s="8"/>
      <c r="D19" s="8"/>
      <c r="E19" s="9">
        <f>SUM(E3:E18)</f>
        <v>825.81</v>
      </c>
    </row>
    <row r="20" spans="1:5">
      <c r="A20" s="10" t="s">
        <v>52</v>
      </c>
      <c r="B20" s="10" t="s">
        <v>506</v>
      </c>
      <c r="C20" s="11"/>
      <c r="D20" s="11"/>
      <c r="E20" s="11"/>
    </row>
    <row r="21" spans="1:6">
      <c r="A21" s="11">
        <v>1</v>
      </c>
      <c r="B21" s="12" t="s">
        <v>507</v>
      </c>
      <c r="C21" s="13" t="s">
        <v>508</v>
      </c>
      <c r="D21" s="10" t="s">
        <v>35</v>
      </c>
      <c r="E21" s="11">
        <v>1</v>
      </c>
      <c r="F21" s="14" t="s">
        <v>509</v>
      </c>
    </row>
    <row r="22" spans="1:6">
      <c r="A22" s="11">
        <v>2</v>
      </c>
      <c r="B22" s="15"/>
      <c r="C22" s="13" t="s">
        <v>510</v>
      </c>
      <c r="D22" s="10" t="s">
        <v>35</v>
      </c>
      <c r="E22" s="13">
        <v>6</v>
      </c>
      <c r="F22" s="14" t="s">
        <v>511</v>
      </c>
    </row>
    <row r="23" spans="1:6">
      <c r="A23" s="11">
        <v>3</v>
      </c>
      <c r="B23" s="15"/>
      <c r="C23" s="13" t="s">
        <v>512</v>
      </c>
      <c r="D23" s="10" t="s">
        <v>35</v>
      </c>
      <c r="E23" s="11">
        <v>3</v>
      </c>
      <c r="F23" s="14" t="s">
        <v>511</v>
      </c>
    </row>
    <row r="24" spans="1:6">
      <c r="A24" s="11">
        <v>4</v>
      </c>
      <c r="B24" s="15"/>
      <c r="C24" s="13" t="s">
        <v>513</v>
      </c>
      <c r="D24" s="10" t="s">
        <v>35</v>
      </c>
      <c r="E24" s="11">
        <v>1</v>
      </c>
      <c r="F24" s="14" t="s">
        <v>511</v>
      </c>
    </row>
    <row r="25" spans="1:6">
      <c r="A25" s="11">
        <v>5</v>
      </c>
      <c r="B25" s="15"/>
      <c r="C25" s="13" t="s">
        <v>514</v>
      </c>
      <c r="D25" s="10" t="s">
        <v>35</v>
      </c>
      <c r="E25" s="11">
        <v>4</v>
      </c>
      <c r="F25" s="14" t="s">
        <v>515</v>
      </c>
    </row>
    <row r="26" spans="1:6">
      <c r="A26" s="11">
        <v>6</v>
      </c>
      <c r="B26" s="16"/>
      <c r="C26" s="13" t="s">
        <v>516</v>
      </c>
      <c r="D26" s="10" t="s">
        <v>35</v>
      </c>
      <c r="E26" s="11">
        <v>1</v>
      </c>
      <c r="F26" s="14" t="s">
        <v>517</v>
      </c>
    </row>
  </sheetData>
  <mergeCells count="2">
    <mergeCell ref="A1:E1"/>
    <mergeCell ref="B21:B26"/>
  </mergeCells>
  <pageMargins left="0.739583333333333" right="0.739583333333333" top="0.739583333333333" bottom="0.739583333333333"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view="pageBreakPreview" zoomScaleNormal="100" workbookViewId="0">
      <selection activeCell="M53" sqref="M53"/>
    </sheetView>
  </sheetViews>
  <sheetFormatPr defaultColWidth="9" defaultRowHeight="13.5"/>
  <cols>
    <col min="3" max="3" width="12.125" customWidth="1"/>
    <col min="5" max="5" width="11.375" customWidth="1"/>
    <col min="7" max="7" width="14.75" customWidth="1"/>
    <col min="8" max="8" width="13" customWidth="1"/>
    <col min="9" max="9" width="16" customWidth="1"/>
  </cols>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清单报价说明</vt:lpstr>
      <vt:lpstr>汇总表</vt:lpstr>
      <vt:lpstr>户内精装修（硬装部分）</vt:lpstr>
      <vt:lpstr>安装</vt:lpstr>
      <vt:lpstr>计算式</vt:lpstr>
      <vt:lpstr>户型统计</vt:lpstr>
      <vt:lpstr>门及其他安装主材初步选型照片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333</dc:creator>
  <cp:lastModifiedBy>开元壹号-冰飞神话15037954375</cp:lastModifiedBy>
  <dcterms:created xsi:type="dcterms:W3CDTF">2022-09-22T08:35:00Z</dcterms:created>
  <dcterms:modified xsi:type="dcterms:W3CDTF">2025-05-23T06:46:20Z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8591C4D5331C4AABB6102EF442D65067_13</vt:lpwstr>
  </property>
  <property fmtid="{D5CDD505-2E9C-101B-9397-08002B2CF9AE}" pid="3" name="KSOProductBuildVer">
    <vt:lpwstr>2052-12.1.0.21171</vt:lpwstr>
  </property>
  <property fmtid="{D5CDD505-2E9C-101B-9397-08002B2CF9AE}" pid="4" name="KSOReadingLayout">
    <vt:bool>true</vt:bool>
  </property>
</Properties>
</file>