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9"/>
  </bookViews>
  <sheets>
    <sheet name="目录" sheetId="7" r:id="rId1"/>
    <sheet name="结算汇总表" sheetId="8" r:id="rId2"/>
    <sheet name="结算明细表" sheetId="1" r:id="rId3"/>
    <sheet name="04、工程量计算书" sheetId="5" r:id="rId4"/>
    <sheet name="02、百叶综合单价分析表" sheetId="4" r:id="rId5"/>
    <sheet name="03、栏杆综合单价分析表" sheetId="6" r:id="rId6"/>
  </sheets>
  <definedNames>
    <definedName name="_xlnm._FilterDatabase" localSheetId="3" hidden="1">'04、工程量计算书'!$A$3:$P$321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<sst xmlns="http://schemas.openxmlformats.org/spreadsheetml/2006/main" count="3078" uniqueCount="461">
  <si>
    <t>栾川山水文苑项目S1地块栏杆百叶制作及安装合同结算资料存档目录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</si>
  <si>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</si>
  <si>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</si>
  <si>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</si>
  <si>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</si>
  <si>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</si>
  <si>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</si>
  <si>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栾川山水文苑项目S1地块栏杆百叶制作及安装合同结算审批表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</si>
  <si>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</si>
  <si>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</si>
  <si>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</si>
  <si>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</si>
  <si>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</si>
  <si>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</si>
  <si>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</si>
  <si>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</si>
  <si>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</si>
  <si>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</si>
  <si>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</si>
  <si>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</si>
  <si>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</si>
  <si>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</si>
  <si>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</si>
  <si>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</si>
  <si>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</si>
  <si>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工程资料核对确认单</t>
  </si>
  <si>
    <t>第9页</t>
  </si>
  <si>
    <t>工程往来账目明细</t>
  </si>
  <si>
    <t>1份2页</t>
  </si>
  <si>
    <t>第10-11页</t>
  </si>
  <si>
    <t>验收单</t>
  </si>
  <si>
    <t>第12页</t>
  </si>
  <si>
    <t>工程结算工作交接单</t>
  </si>
  <si>
    <t>第13-14页</t>
  </si>
  <si>
    <t>水电费证明</t>
  </si>
  <si>
    <t>第15页</t>
  </si>
  <si>
    <t>工作派发单及确认单</t>
  </si>
  <si>
    <t>1份10页</t>
  </si>
  <si>
    <t>第16-25页</t>
  </si>
  <si>
    <t>栾川山水文苑项目S1地块栏杆百叶制作及安装合同及审批表</t>
  </si>
  <si>
    <t>1份19页</t>
  </si>
  <si>
    <t>第26-44页</t>
  </si>
  <si>
    <t>竣工图</t>
  </si>
  <si>
    <t>若干</t>
  </si>
  <si>
    <t>造价师：</t>
  </si>
  <si>
    <t>日期：</t>
  </si>
  <si>
    <t>栾川山水文苑项目S1地块栏杆百叶制作及安装合同结算汇总表</t>
  </si>
  <si>
    <t xml:space="preserve">合同编号：LCS1-JA-051                          合同金额：1945276.84元 </t>
  </si>
  <si>
    <t>合同名称：栾川山水文苑项目S1地块栏杆百叶制作及安装合同</t>
  </si>
  <si>
    <t>甲    方：栾川县浩德颐康文旅有限公司</t>
  </si>
  <si>
    <t>乙    方：河南邦丰装饰工程有限公司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</si>
  <si>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</si>
  <si>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</si>
  <si>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</si>
  <si>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</si>
  <si>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</si>
  <si>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</si>
  <si>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</si>
  <si>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</si>
  <si>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</si>
  <si>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</si>
  <si>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</si>
  <si>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</si>
  <si>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</si>
  <si>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</si>
  <si>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</si>
  <si>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</si>
  <si>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</si>
  <si>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</si>
  <si>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</si>
  <si>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</si>
  <si>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</si>
  <si>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</si>
  <si>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</si>
  <si>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</si>
  <si>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</si>
  <si>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</si>
  <si>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</si>
  <si>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</si>
  <si>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</si>
  <si>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</si>
  <si>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</si>
  <si>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</si>
  <si>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</si>
  <si>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</si>
  <si>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栾川山水文苑项目S1地块栏杆百叶制作及安装工程结算明细表</t>
  </si>
  <si>
    <t>栏杆类行</t>
  </si>
  <si>
    <t>单位</t>
  </si>
  <si>
    <t>工程量</t>
  </si>
  <si>
    <t>不含税
综合单价(元)</t>
  </si>
  <si>
    <t>增值税
税率</t>
  </si>
  <si>
    <t>含税13%
综合单价(元)</t>
  </si>
  <si>
    <t>含税金额(元)</t>
  </si>
  <si>
    <t>合同内</t>
  </si>
  <si>
    <t>㎡</t>
  </si>
  <si>
    <t xml:space="preserve">阳台预留洞栏杆 1020mm  </t>
  </si>
  <si>
    <t>m</t>
  </si>
  <si>
    <t>阳台预留洞栏杆 920mm</t>
  </si>
  <si>
    <t>阳台栏杆 高1100mm L&gt;4M</t>
  </si>
  <si>
    <t>阳台栏杆 高1100mm L≤4M</t>
  </si>
  <si>
    <t>阳台栏杆 1100高 L&gt;4m 80*80*1.5大立柱，大立柱焊接于底部钢板上底部钢板用4个膨胀螺丝与主体结构固定牢固</t>
  </si>
  <si>
    <t>阳台栏杆 高800mm L&gt;4M</t>
  </si>
  <si>
    <t>阳台栏杆 高800mm L≤4M</t>
  </si>
  <si>
    <t>阳台栏杆 高900mm L≤4M</t>
  </si>
  <si>
    <t>阳台栏杆 高900mm L&gt;4M</t>
  </si>
  <si>
    <t>飘窗栏杆 高900mm</t>
  </si>
  <si>
    <t>楼梯栏杆 塑木扶手栏杆</t>
  </si>
  <si>
    <t>空调板栏杆 600高</t>
  </si>
  <si>
    <t>调整了</t>
  </si>
  <si>
    <t>不锈钢无障碍坡道栏杆 950mm高</t>
  </si>
  <si>
    <t>车库栏杆 1100mm高 L&gt;4M</t>
  </si>
  <si>
    <t>车库栏杆 1100mm高 L&gt;4M（80*80*1.5大立柱，大立柱焊接于底部钢板上底部钢板用4个膨胀螺丝与主体结构固定牢固）</t>
  </si>
  <si>
    <t>车库栏杆 1100mm高 L≤4M</t>
  </si>
  <si>
    <t>人防出入口楼梯栏杆  钢扶手代替塑木扶手</t>
  </si>
  <si>
    <t xml:space="preserve">参照楼梯栏杆，调减9元/m </t>
  </si>
  <si>
    <t>小计</t>
  </si>
  <si>
    <t>合同外增加</t>
  </si>
  <si>
    <t>S1地块1-20#号楼风井百叶</t>
  </si>
  <si>
    <t>m2</t>
  </si>
  <si>
    <t>S1地块 20#号楼周边风井防火玻璃及周边百叶窗</t>
  </si>
  <si>
    <t>协商价格</t>
  </si>
  <si>
    <t>S1地块地下车库消防栓封堵铁栏杆5个</t>
  </si>
  <si>
    <t>现场协商价格，后期车库增加</t>
  </si>
  <si>
    <t>S7地块22#楼东单元一层、二层样板间阳台栏杆 高1100mm L&gt;4M</t>
  </si>
  <si>
    <t>参照合同价</t>
  </si>
  <si>
    <t>S7地块22#楼东单元一层、二层样板间百叶</t>
  </si>
  <si>
    <t>S7地块22#楼东单元一层、二层样板间百叶拆除扇</t>
  </si>
  <si>
    <t>着急展示，洞口没有粉刷就安装了，后期粉刷拆除重做。5折处理</t>
  </si>
  <si>
    <t>S7地块22#楼东、西单元楼梯栏杆</t>
  </si>
  <si>
    <t>应扣费用</t>
  </si>
  <si>
    <t>第三方垃圾分摊等</t>
  </si>
  <si>
    <t>水电费（2023年4月-2023年9月）</t>
  </si>
  <si>
    <t>合计</t>
  </si>
  <si>
    <t>最终结算金额</t>
  </si>
  <si>
    <t>甲方</t>
  </si>
  <si>
    <t>乙方</t>
  </si>
  <si>
    <t>工程量计算式</t>
  </si>
  <si>
    <t>部位</t>
  </si>
  <si>
    <t>规格</t>
  </si>
  <si>
    <t>单个尺寸</t>
  </si>
  <si>
    <t>数量</t>
  </si>
  <si>
    <t>总量</t>
  </si>
  <si>
    <t>地下</t>
  </si>
  <si>
    <t>1F</t>
  </si>
  <si>
    <t>2F</t>
  </si>
  <si>
    <t>3F</t>
  </si>
  <si>
    <t>4~12F</t>
  </si>
  <si>
    <t>13F</t>
  </si>
  <si>
    <t>数量总计</t>
  </si>
  <si>
    <t>单元数量</t>
  </si>
  <si>
    <t>1#楼</t>
  </si>
  <si>
    <t>飘窗栏杆</t>
  </si>
  <si>
    <t>A1-TCLG01</t>
  </si>
  <si>
    <t>900mm</t>
  </si>
  <si>
    <t>阳台栏杆</t>
  </si>
  <si>
    <t>A1-YTLG01</t>
  </si>
  <si>
    <t>800mm L&gt;4m</t>
  </si>
  <si>
    <t>百叶窗</t>
  </si>
  <si>
    <t>A1-BY03/A1-BY05</t>
  </si>
  <si>
    <t>1*2.3</t>
  </si>
  <si>
    <t>A1-BY04</t>
  </si>
  <si>
    <t>1*2</t>
  </si>
  <si>
    <t>空调板栏杆</t>
  </si>
  <si>
    <t>A1-ACLG01</t>
  </si>
  <si>
    <t>600高</t>
  </si>
  <si>
    <t>A1-YTLG02</t>
  </si>
  <si>
    <t>800mm L≤4M</t>
  </si>
  <si>
    <t>A1-YTLG03</t>
  </si>
  <si>
    <t>楼梯栏杆</t>
  </si>
  <si>
    <t>塑木扶手栏杆</t>
  </si>
  <si>
    <t>靠墙楼梯扶手</t>
  </si>
  <si>
    <t>直径50塑木</t>
  </si>
  <si>
    <t>2#楼</t>
  </si>
  <si>
    <t>-1F</t>
  </si>
  <si>
    <t>3~8F</t>
  </si>
  <si>
    <t>PC</t>
  </si>
  <si>
    <t>ytlg01</t>
  </si>
  <si>
    <t>ytlg02</t>
  </si>
  <si>
    <t xml:space="preserve">阳台预留洞栏杆 </t>
  </si>
  <si>
    <t>ytlg03</t>
  </si>
  <si>
    <t>920mm</t>
  </si>
  <si>
    <t>aclg01</t>
  </si>
  <si>
    <t>600mm</t>
  </si>
  <si>
    <t>楼梯</t>
  </si>
  <si>
    <t>A1-BY01</t>
  </si>
  <si>
    <t>1*2.35</t>
  </si>
  <si>
    <t>A1-BY02</t>
  </si>
  <si>
    <t>1*2.05</t>
  </si>
  <si>
    <t>3#楼</t>
  </si>
  <si>
    <t>2~3F</t>
  </si>
  <si>
    <t>4~8F</t>
  </si>
  <si>
    <t>5#楼</t>
  </si>
  <si>
    <t>负1层</t>
  </si>
  <si>
    <t>1层</t>
  </si>
  <si>
    <t>2层</t>
  </si>
  <si>
    <t>3层</t>
  </si>
  <si>
    <t>4-7层</t>
  </si>
  <si>
    <t>8层</t>
  </si>
  <si>
    <t>6#楼</t>
  </si>
  <si>
    <t>4-8层</t>
  </si>
  <si>
    <t>9层</t>
  </si>
  <si>
    <t>7#楼</t>
  </si>
  <si>
    <t>1100mm L&gt;4M</t>
  </si>
  <si>
    <t>1100mm L≤4M</t>
  </si>
  <si>
    <t>两部楼梯</t>
  </si>
  <si>
    <t>BY01</t>
  </si>
  <si>
    <t>BY02</t>
  </si>
  <si>
    <t>1*2.1</t>
  </si>
  <si>
    <t>BY03</t>
  </si>
  <si>
    <t>1*2.4</t>
  </si>
  <si>
    <t>8#楼</t>
  </si>
  <si>
    <t>负一层</t>
  </si>
  <si>
    <t>D1-BY01/D1-BY03</t>
  </si>
  <si>
    <t>D1-BY02</t>
  </si>
  <si>
    <t>D1-TCLG01</t>
  </si>
  <si>
    <t>D1-TCLG02</t>
  </si>
  <si>
    <t>D1-YTLG01</t>
  </si>
  <si>
    <t>D1-ACLG01</t>
  </si>
  <si>
    <t>9#楼</t>
  </si>
  <si>
    <t>10#楼</t>
  </si>
  <si>
    <t>D1-BY01</t>
  </si>
  <si>
    <t>11#楼</t>
  </si>
  <si>
    <t>12#楼</t>
  </si>
  <si>
    <t>F1-TCLG01</t>
  </si>
  <si>
    <t>F2-TCLG01</t>
  </si>
  <si>
    <t>F1-ACLG01</t>
  </si>
  <si>
    <t>F2-ACLG01</t>
  </si>
  <si>
    <t>F1-YTLG01</t>
  </si>
  <si>
    <t>F2-YTLG01</t>
  </si>
  <si>
    <t>F1-YTLG02</t>
  </si>
  <si>
    <t>F2-YTLG02</t>
  </si>
  <si>
    <t>F1-YTLG04</t>
  </si>
  <si>
    <t>1020高</t>
  </si>
  <si>
    <t>F2-YTLG04</t>
  </si>
  <si>
    <t>F1-BY01/F2-BY01</t>
  </si>
  <si>
    <t>F1-BY02/F2-BY02</t>
  </si>
  <si>
    <t>1*2.2</t>
  </si>
  <si>
    <t>3~12F</t>
  </si>
  <si>
    <t>机房层</t>
  </si>
  <si>
    <t>数量合计</t>
  </si>
  <si>
    <t>两个楼梯</t>
  </si>
  <si>
    <t>平台栏杆</t>
  </si>
  <si>
    <t>13#楼</t>
  </si>
  <si>
    <t>15#楼</t>
  </si>
  <si>
    <t>E-BY01</t>
  </si>
  <si>
    <t>0.74*2.3</t>
  </si>
  <si>
    <t>E-BY02</t>
  </si>
  <si>
    <t>E-BY03</t>
  </si>
  <si>
    <t>0.74*2.2</t>
  </si>
  <si>
    <t>E-BY04</t>
  </si>
  <si>
    <t>E-BY05</t>
  </si>
  <si>
    <t>0.74*2.4</t>
  </si>
  <si>
    <t>E-BY06</t>
  </si>
  <si>
    <t>E-TCLG01</t>
  </si>
  <si>
    <t>E-YTLG01</t>
  </si>
  <si>
    <t>1100高 L&gt;4m 80*80*1.5大立柱，大立柱焊接于底部钢板上底部钢板用4个膨胀螺丝与主体结构固定牢固</t>
  </si>
  <si>
    <t>E-ACLG01</t>
  </si>
  <si>
    <t>16#楼</t>
  </si>
  <si>
    <t>4-12层</t>
  </si>
  <si>
    <t>13层</t>
  </si>
  <si>
    <t>H1-BY01</t>
  </si>
  <si>
    <t>0.75*2.3</t>
  </si>
  <si>
    <t>H1-BY02</t>
  </si>
  <si>
    <t>0.75*2</t>
  </si>
  <si>
    <t>F1-TCLG01/F2-TCLG01</t>
  </si>
  <si>
    <t>H1-TCLG01</t>
  </si>
  <si>
    <t>H2-TCLG01/H3-TCLG01/H4-TCLG01</t>
  </si>
  <si>
    <t>H5-TCLG02</t>
  </si>
  <si>
    <t>F1-YTLG01/F2-YTLG01</t>
  </si>
  <si>
    <t>H1-YTLG01/H3-YTLG01/H4-YTLG01</t>
  </si>
  <si>
    <t>H2-YTLG01</t>
  </si>
  <si>
    <t>F1-YTLG02/F2-YTLG02</t>
  </si>
  <si>
    <t>F1-YTLG03/F2-YTLG03</t>
  </si>
  <si>
    <t>H1-ACLG02</t>
  </si>
  <si>
    <t>H3-ACLG01</t>
  </si>
  <si>
    <t>H4-ACLG02</t>
  </si>
  <si>
    <t>H5-ACLG02</t>
  </si>
  <si>
    <t>H5-ACLG01</t>
  </si>
  <si>
    <t>H1-ACLG01</t>
  </si>
  <si>
    <t>H1-ACLG03</t>
  </si>
  <si>
    <t>F2-ACLG01/F1-ACLG01</t>
  </si>
  <si>
    <t>1#楼梯</t>
  </si>
  <si>
    <t>2#楼梯</t>
  </si>
  <si>
    <t>17#楼</t>
  </si>
  <si>
    <t>F1-TCLG01/F3-TCLG01</t>
  </si>
  <si>
    <t>F2-TCLG01/F4-TCLG01</t>
  </si>
  <si>
    <t>G1-TCLG01/G2-TCLG01</t>
  </si>
  <si>
    <t>F1-ACLG01/F2-ACLG01</t>
  </si>
  <si>
    <t>F3-ACLG01/F4-ACLG01</t>
  </si>
  <si>
    <t>G1-ACLG01/G2-ACLG01</t>
  </si>
  <si>
    <t>一层</t>
  </si>
  <si>
    <t>F3-YTLG01</t>
  </si>
  <si>
    <t>F4-YTLG01</t>
  </si>
  <si>
    <t>G1-YTLG01/G2-YTLG01</t>
  </si>
  <si>
    <t>G2-YTLG03</t>
  </si>
  <si>
    <t>F3-YTLG02</t>
  </si>
  <si>
    <t>F4-YTLG02</t>
  </si>
  <si>
    <t>F1-BY01</t>
  </si>
  <si>
    <t>F1-BY02</t>
  </si>
  <si>
    <t>F3-BY01</t>
  </si>
  <si>
    <t>F2-BY01/F4-BY01</t>
  </si>
  <si>
    <t>0.8*2.3</t>
  </si>
  <si>
    <t>F2-BY02</t>
  </si>
  <si>
    <t>0.8*2</t>
  </si>
  <si>
    <t>G1-BY01/G2-BY01</t>
  </si>
  <si>
    <t>G1-BY02/G2-BY02</t>
  </si>
  <si>
    <t>18#楼</t>
  </si>
  <si>
    <t>F1-YTLG01/F1-YTLG03</t>
  </si>
  <si>
    <t>F2-YTLG01/F2-YTLG03</t>
  </si>
  <si>
    <t>F1-YTLG04/F2-YTLG04//F4-YTLG03</t>
  </si>
  <si>
    <t>F3-YTLG03</t>
  </si>
  <si>
    <t>F3-BY01/F4-BY01</t>
  </si>
  <si>
    <t>F1-BY03</t>
  </si>
  <si>
    <t>19#楼</t>
  </si>
  <si>
    <t>F1/F3-TCLG01</t>
  </si>
  <si>
    <t>F2/F4-TCLG01</t>
  </si>
  <si>
    <t>F1-ACLLG01</t>
  </si>
  <si>
    <t>F3-ACLG01</t>
  </si>
  <si>
    <t>F4-ACLG01</t>
  </si>
  <si>
    <t>F5-ACLG01</t>
  </si>
  <si>
    <t>F1-YTLG03</t>
  </si>
  <si>
    <t>F2-YTLG03</t>
  </si>
  <si>
    <t>F1-YTLG04/F2-YTLG04</t>
  </si>
  <si>
    <t>变更后无</t>
  </si>
  <si>
    <t>F3-YTLG01/F4-YTLG01</t>
  </si>
  <si>
    <t>WY-YTLG01</t>
  </si>
  <si>
    <t>F3-YTLG03/F4-YTLG03</t>
  </si>
  <si>
    <t>F1-BY01/2、F1-BY03</t>
  </si>
  <si>
    <t>F1-BY01/2</t>
  </si>
  <si>
    <t>20#楼</t>
  </si>
  <si>
    <t>F3-TCLG01/F4-TCLG01</t>
  </si>
  <si>
    <t>现场未见到 一层</t>
  </si>
  <si>
    <t>一楼处</t>
  </si>
  <si>
    <t>未发现</t>
  </si>
  <si>
    <t>900mm L&gt;4M</t>
  </si>
  <si>
    <t>G1-YTLG02/G2-YTLG02</t>
  </si>
  <si>
    <t>900mm L≤4M</t>
  </si>
  <si>
    <t>201样板间未施工</t>
  </si>
  <si>
    <t>现场测量</t>
  </si>
  <si>
    <t>地下车库</t>
  </si>
  <si>
    <t>5#、3#楼下扶手</t>
  </si>
  <si>
    <t>不锈钢楼梯栏杆</t>
  </si>
  <si>
    <t>现场未见到</t>
  </si>
  <si>
    <t>不锈钢无障碍坡道栏杆</t>
  </si>
  <si>
    <t>950mm高</t>
  </si>
  <si>
    <t>车库栏杆</t>
  </si>
  <si>
    <t>1100mm高 L&gt;4M</t>
  </si>
  <si>
    <t>车库栏杆80*80*1.5大立柱，大立柱焊接于底部钢板上底部钢板用4个膨胀螺丝与主体结构固定牢固</t>
  </si>
  <si>
    <t>1100mm高L&gt;4M</t>
  </si>
  <si>
    <t>1100mm高 L≤4M</t>
  </si>
  <si>
    <t>车库楼梯栏杆</t>
  </si>
  <si>
    <t>放入楼梯栏杆中</t>
  </si>
  <si>
    <t>人防出入口栏杆</t>
  </si>
  <si>
    <t>1#人防楼梯</t>
  </si>
  <si>
    <t xml:space="preserve">楼梯栏杆  </t>
  </si>
  <si>
    <t>2#人防楼梯</t>
  </si>
  <si>
    <t>3#人防楼梯</t>
  </si>
  <si>
    <t>铝合金百叶综合单价分析表</t>
  </si>
  <si>
    <t>百叶窗编号</t>
  </si>
  <si>
    <t>洞口尺寸（宽度*高度）</t>
  </si>
  <si>
    <t>百叶窗净尺寸mm</t>
  </si>
  <si>
    <t>单樘(净尺寸)面积（㎡）</t>
  </si>
  <si>
    <t>包含项目</t>
  </si>
  <si>
    <t>材料名称</t>
  </si>
  <si>
    <t>每平方米消耗量</t>
  </si>
  <si>
    <t>单价（元）</t>
  </si>
  <si>
    <t>加工制作费</t>
  </si>
  <si>
    <t>元</t>
  </si>
  <si>
    <t>外框面积</t>
  </si>
  <si>
    <t>现场安装费</t>
  </si>
  <si>
    <t>型材</t>
  </si>
  <si>
    <t>38X25X1.0铝合金固定框铝型材（粉末喷涂）</t>
  </si>
  <si>
    <t>kg</t>
  </si>
  <si>
    <t>38x25x1.0开启扇框铝型材（粉末喷涂）</t>
  </si>
  <si>
    <t>30x15x1.0H型铝型材链接铝型材（粉末喷涂）</t>
  </si>
  <si>
    <t>70*0.8厚铝合金百叶（粉末喷涂）</t>
  </si>
  <si>
    <t>五金</t>
  </si>
  <si>
    <t>不锈钢合页插销</t>
  </si>
  <si>
    <t>套</t>
  </si>
  <si>
    <t>辅助材料</t>
  </si>
  <si>
    <t>密封胶</t>
  </si>
  <si>
    <t>支</t>
  </si>
  <si>
    <t>发泡剂</t>
  </si>
  <si>
    <t>安装辅材</t>
  </si>
  <si>
    <t>包装、保护</t>
  </si>
  <si>
    <t>运输费</t>
  </si>
  <si>
    <t>直接费小计</t>
  </si>
  <si>
    <r>
      <rPr>
        <sz val="10"/>
        <rFont val="宋体"/>
        <charset val="134"/>
      </rPr>
      <t>（</t>
    </r>
    <r>
      <rPr>
        <sz val="10"/>
        <rFont val="Calibri"/>
        <charset val="134"/>
      </rPr>
      <t>1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+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2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+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3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+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4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+(5)</t>
    </r>
  </si>
  <si>
    <t>综合费</t>
  </si>
  <si>
    <t>（6）*</t>
  </si>
  <si>
    <t>包含措施费、管理费、利润、规费等其他全部费用</t>
  </si>
  <si>
    <t>不含增值税综合单价</t>
  </si>
  <si>
    <t>（6）+（7）</t>
  </si>
  <si>
    <r>
      <rPr>
        <sz val="10.5"/>
        <rFont val="宋体"/>
        <charset val="134"/>
      </rPr>
      <t>洞口尺寸</t>
    </r>
    <r>
      <rPr>
        <sz val="10.5"/>
        <rFont val="Calibri"/>
        <charset val="134"/>
      </rPr>
      <t>0.74*2.3</t>
    </r>
  </si>
  <si>
    <r>
      <rPr>
        <sz val="10.5"/>
        <rFont val="宋体"/>
        <charset val="134"/>
      </rPr>
      <t>洞口尺寸</t>
    </r>
    <r>
      <rPr>
        <sz val="10.5"/>
        <rFont val="Calibri"/>
        <charset val="134"/>
      </rPr>
      <t>0.74*2.4</t>
    </r>
  </si>
  <si>
    <r>
      <rPr>
        <sz val="10.5"/>
        <rFont val="宋体"/>
        <charset val="134"/>
      </rPr>
      <t>洞口尺寸</t>
    </r>
    <r>
      <rPr>
        <sz val="10.5"/>
        <rFont val="Calibri"/>
        <charset val="134"/>
      </rPr>
      <t>0.75*2</t>
    </r>
  </si>
  <si>
    <r>
      <rPr>
        <sz val="10.5"/>
        <rFont val="宋体"/>
        <charset val="134"/>
      </rPr>
      <t>洞口尺寸</t>
    </r>
    <r>
      <rPr>
        <sz val="10.5"/>
        <rFont val="Calibri"/>
        <charset val="134"/>
      </rPr>
      <t>0.75*2.3</t>
    </r>
  </si>
  <si>
    <t>洞口尺寸1*2</t>
  </si>
  <si>
    <t>洞口尺寸1*2.05</t>
  </si>
  <si>
    <t>洞口尺寸1*2.3</t>
  </si>
  <si>
    <t>洞口尺寸1*2.35</t>
  </si>
  <si>
    <t>洞口尺寸1*2.4</t>
  </si>
  <si>
    <t>栏杆综合单价分析表</t>
  </si>
  <si>
    <t>栏杆类型</t>
  </si>
  <si>
    <t>税前综合单价组成</t>
  </si>
  <si>
    <t>组成名称</t>
  </si>
  <si>
    <t xml:space="preserve"> 每米消耗量</t>
  </si>
  <si>
    <t xml:space="preserve">  不含税单价</t>
  </si>
  <si>
    <t xml:space="preserve"> 每米合价</t>
  </si>
  <si>
    <t>劳务费（一）</t>
  </si>
  <si>
    <t>劳务费（二）</t>
  </si>
  <si>
    <t>运输、保护费（三）</t>
  </si>
  <si>
    <t>运输、成品保护费</t>
  </si>
  <si>
    <t>主材费（四）</t>
  </si>
  <si>
    <t>热镀锌横管25*1.0</t>
  </si>
  <si>
    <t>型号根据设计完善</t>
  </si>
  <si>
    <t>热镀锌竖杆16*0.8</t>
  </si>
  <si>
    <t>静电喷涂（颜色以选样为准）</t>
  </si>
  <si>
    <t>辅材费（五）</t>
  </si>
  <si>
    <t>膨胀螺栓M8*80</t>
  </si>
  <si>
    <t>3厚热镀锌钢板膨胀螺栓固定</t>
  </si>
  <si>
    <t>个</t>
  </si>
  <si>
    <t>连接件</t>
  </si>
  <si>
    <t xml:space="preserve">装饰盖 </t>
  </si>
  <si>
    <t>其他辅材</t>
  </si>
  <si>
    <t xml:space="preserve"> 综合费（六）</t>
  </si>
  <si>
    <t>六=（一+二+三+四+五）*w%</t>
  </si>
  <si>
    <t>税前综合单价</t>
  </si>
  <si>
    <t>七=一+二+三+四+五+六</t>
  </si>
  <si>
    <t>其中</t>
  </si>
  <si>
    <t>材料单价=四+五</t>
  </si>
  <si>
    <t>安装单价=一+二+三+六</t>
  </si>
  <si>
    <t>热镀锌面管40*40*1.5方管</t>
  </si>
  <si>
    <t>热镀锌立柱40*40*1.5方管</t>
  </si>
  <si>
    <t>热镀锌竖杆19*0.8</t>
  </si>
  <si>
    <t>热镀锌横管32*1.0</t>
  </si>
  <si>
    <t>热镀锌面管40*40*1.2方管</t>
  </si>
  <si>
    <t>热镀锌立柱40*40*1.2方管</t>
  </si>
  <si>
    <t>80*80*1.5大立柱热镀锌，大立柱焊接于底部钢板上
底部钢板用4个膨胀螺丝与主体结构固定牢固</t>
  </si>
  <si>
    <t>平均6米一支</t>
  </si>
  <si>
    <t>80底板、封口、饰盖</t>
  </si>
  <si>
    <t>成品塑木扶手</t>
  </si>
  <si>
    <t>热镀锌横杆30*30*1.0 镀锌方钢管</t>
  </si>
  <si>
    <t>热镀锌立柱40*40*1.5 镀锌方钢管</t>
  </si>
  <si>
    <t>热镀锌竖杆19*19*0.8 镀锌方钢管</t>
  </si>
  <si>
    <t>扁铁L4*4*2.75</t>
  </si>
  <si>
    <t>M</t>
  </si>
  <si>
    <t>成品法兰盘装饰盖板</t>
  </si>
  <si>
    <t>热镀锌面管25*1.0方管</t>
  </si>
  <si>
    <t>热镀锌立柱25*1.0</t>
  </si>
  <si>
    <t>直径50塑木圆管</t>
  </si>
  <si>
    <t>成品</t>
  </si>
  <si>
    <t>直径25X1.0不锈钢圆管（201不锈钢）</t>
  </si>
  <si>
    <t>膨胀螺丝</t>
  </si>
  <si>
    <t>固定扣件</t>
  </si>
  <si>
    <t>直径50*1.2不锈钢扶手（201不锈钢）</t>
  </si>
  <si>
    <t>横杆直径32*0.8 不锈钢管（201不锈钢）</t>
  </si>
  <si>
    <t>立柱直径50*1.2不锈钢管（201不锈钢）</t>
  </si>
  <si>
    <t>25*0.8小竖管</t>
  </si>
  <si>
    <t>3厚镀锌钢板膨胀螺栓固定</t>
  </si>
  <si>
    <t>立柱40*40*1.5方管热镀锌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</si>
</sst>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0"/>
    <numFmt numFmtId="179" formatCode="0;[Red]0"/>
    <numFmt numFmtId="180" formatCode="0.000_ "/>
    <numFmt numFmtId="181" formatCode="[DBNum2][$RMB]General;[Red][DBNum2][$RMB]General"/>
    <numFmt numFmtId="182" formatCode="#,##0.00&quot;元&quot;"/>
    <numFmt numFmtId="183" formatCode="0_ "/>
  </numFmts>
  <fonts count="4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.5"/>
      <name val="宋体"/>
      <charset val="134"/>
      <scheme val="minor"/>
    </font>
    <font>
      <sz val="10.5"/>
      <name val="宋体"/>
      <charset val="134"/>
    </font>
    <font>
      <sz val="10.5"/>
      <name val="Calibri"/>
      <charset val="134"/>
    </font>
    <font>
      <sz val="10"/>
      <name val="Calibri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7" borderId="19" applyNumberFormat="0" applyAlignment="0" applyProtection="0">
      <alignment vertical="center"/>
    </xf>
    <xf numFmtId="0" fontId="38" fillId="7" borderId="18" applyNumberFormat="0" applyAlignment="0" applyProtection="0">
      <alignment vertical="center"/>
    </xf>
    <xf numFmtId="0" fontId="39" fillId="8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3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6" fillId="0" borderId="0" xfId="0" applyNumberFormat="1" applyFont="1" applyFill="1">
      <alignment vertical="center"/>
    </xf>
    <xf numFmtId="177" fontId="7" fillId="0" borderId="0" xfId="50" applyNumberFormat="1" applyFont="1" applyFill="1" applyAlignment="1">
      <alignment horizontal="center" vertical="center"/>
    </xf>
    <xf numFmtId="177" fontId="8" fillId="0" borderId="0" xfId="50" applyNumberFormat="1" applyFont="1" applyFill="1" applyAlignment="1">
      <alignment horizontal="center" vertical="center"/>
    </xf>
    <xf numFmtId="177" fontId="9" fillId="0" borderId="7" xfId="50" applyNumberFormat="1" applyFont="1" applyFill="1" applyBorder="1" applyAlignment="1">
      <alignment horizontal="center" vertical="center" wrapText="1"/>
    </xf>
    <xf numFmtId="177" fontId="9" fillId="0" borderId="6" xfId="50" applyNumberFormat="1" applyFont="1" applyFill="1" applyBorder="1" applyAlignment="1">
      <alignment horizontal="center" vertical="center" wrapText="1"/>
    </xf>
    <xf numFmtId="177" fontId="9" fillId="0" borderId="8" xfId="50" applyNumberFormat="1" applyFont="1" applyFill="1" applyBorder="1" applyAlignment="1">
      <alignment horizontal="center" vertical="center" wrapText="1"/>
    </xf>
    <xf numFmtId="177" fontId="10" fillId="0" borderId="7" xfId="50" applyNumberFormat="1" applyFont="1" applyFill="1" applyBorder="1" applyAlignment="1">
      <alignment horizontal="center" vertical="center" wrapText="1"/>
    </xf>
    <xf numFmtId="177" fontId="11" fillId="0" borderId="8" xfId="50" applyNumberFormat="1" applyFont="1" applyFill="1" applyBorder="1" applyAlignment="1">
      <alignment horizontal="center" vertical="center" wrapText="1"/>
    </xf>
    <xf numFmtId="177" fontId="10" fillId="0" borderId="2" xfId="50" applyNumberFormat="1" applyFont="1" applyFill="1" applyBorder="1" applyAlignment="1">
      <alignment horizontal="center" vertical="center" wrapText="1"/>
    </xf>
    <xf numFmtId="177" fontId="11" fillId="0" borderId="2" xfId="50" applyNumberFormat="1" applyFont="1" applyFill="1" applyBorder="1" applyAlignment="1">
      <alignment horizontal="center" vertical="center" wrapText="1"/>
    </xf>
    <xf numFmtId="177" fontId="11" fillId="0" borderId="2" xfId="50" applyNumberFormat="1" applyFont="1" applyFill="1" applyBorder="1" applyAlignment="1">
      <alignment vertical="center" wrapText="1"/>
    </xf>
    <xf numFmtId="177" fontId="9" fillId="0" borderId="2" xfId="50" applyNumberFormat="1" applyFont="1" applyFill="1" applyBorder="1" applyAlignment="1">
      <alignment vertical="center" wrapText="1"/>
    </xf>
    <xf numFmtId="177" fontId="9" fillId="0" borderId="2" xfId="50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horizontal="center" vertical="center" wrapText="1"/>
    </xf>
    <xf numFmtId="177" fontId="13" fillId="0" borderId="2" xfId="50" applyNumberFormat="1" applyFont="1" applyFill="1" applyBorder="1" applyAlignment="1">
      <alignment horizontal="center" vertical="center" wrapText="1"/>
    </xf>
    <xf numFmtId="177" fontId="13" fillId="0" borderId="2" xfId="50" applyNumberFormat="1" applyFont="1" applyFill="1" applyBorder="1" applyAlignment="1">
      <alignment horizontal="right" vertical="center" wrapText="1"/>
    </xf>
    <xf numFmtId="177" fontId="13" fillId="0" borderId="9" xfId="50" applyNumberFormat="1" applyFont="1" applyFill="1" applyBorder="1" applyAlignment="1">
      <alignment horizontal="center" vertical="center" wrapText="1"/>
    </xf>
    <xf numFmtId="177" fontId="13" fillId="0" borderId="10" xfId="50" applyNumberFormat="1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horizontal="center" vertical="center" wrapText="1"/>
    </xf>
    <xf numFmtId="177" fontId="13" fillId="0" borderId="11" xfId="50" applyNumberFormat="1" applyFont="1" applyFill="1" applyBorder="1" applyAlignment="1">
      <alignment horizontal="center" vertical="center" wrapText="1"/>
    </xf>
    <xf numFmtId="177" fontId="13" fillId="0" borderId="12" xfId="50" applyNumberFormat="1" applyFont="1" applyFill="1" applyBorder="1" applyAlignment="1">
      <alignment horizontal="center" vertical="center" wrapText="1"/>
    </xf>
    <xf numFmtId="177" fontId="13" fillId="0" borderId="13" xfId="50" applyNumberFormat="1" applyFont="1" applyFill="1" applyBorder="1" applyAlignment="1">
      <alignment horizontal="center" vertical="center" wrapText="1"/>
    </xf>
    <xf numFmtId="177" fontId="13" fillId="0" borderId="14" xfId="50" applyNumberFormat="1" applyFont="1" applyFill="1" applyBorder="1" applyAlignment="1">
      <alignment horizontal="center" vertical="center" wrapText="1"/>
    </xf>
    <xf numFmtId="177" fontId="1" fillId="0" borderId="7" xfId="50" applyNumberFormat="1" applyFont="1" applyFill="1" applyBorder="1" applyAlignment="1">
      <alignment horizontal="center" vertical="center" wrapText="1"/>
    </xf>
    <xf numFmtId="177" fontId="1" fillId="0" borderId="8" xfId="5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center" vertical="center" wrapText="1"/>
    </xf>
    <xf numFmtId="177" fontId="14" fillId="0" borderId="2" xfId="50" applyNumberFormat="1" applyFont="1" applyFill="1" applyBorder="1" applyAlignment="1">
      <alignment horizontal="center" vertical="center" wrapText="1"/>
    </xf>
    <xf numFmtId="177" fontId="13" fillId="0" borderId="7" xfId="50" applyNumberFormat="1" applyFont="1" applyFill="1" applyBorder="1" applyAlignment="1">
      <alignment horizontal="center" vertical="center" wrapText="1"/>
    </xf>
    <xf numFmtId="177" fontId="13" fillId="0" borderId="6" xfId="50" applyNumberFormat="1" applyFont="1" applyFill="1" applyBorder="1" applyAlignment="1">
      <alignment horizontal="center" vertical="center" wrapText="1"/>
    </xf>
    <xf numFmtId="177" fontId="14" fillId="0" borderId="2" xfId="50" applyNumberFormat="1" applyFont="1" applyFill="1" applyBorder="1" applyAlignment="1">
      <alignment horizontal="right" vertical="center" wrapText="1"/>
    </xf>
    <xf numFmtId="177" fontId="13" fillId="0" borderId="2" xfId="50" applyNumberFormat="1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11" fillId="0" borderId="7" xfId="50" applyNumberFormat="1" applyFont="1" applyFill="1" applyBorder="1" applyAlignment="1">
      <alignment horizontal="center" vertical="center" wrapText="1"/>
    </xf>
    <xf numFmtId="177" fontId="13" fillId="0" borderId="8" xfId="50" applyNumberFormat="1" applyFont="1" applyFill="1" applyBorder="1" applyAlignment="1">
      <alignment vertical="center" wrapText="1"/>
    </xf>
    <xf numFmtId="177" fontId="13" fillId="0" borderId="2" xfId="50" applyNumberFormat="1" applyFont="1" applyFill="1" applyBorder="1" applyAlignment="1">
      <alignment vertical="center" wrapText="1"/>
    </xf>
    <xf numFmtId="177" fontId="6" fillId="0" borderId="2" xfId="0" applyNumberFormat="1" applyFont="1" applyFill="1" applyBorder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58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176" fontId="16" fillId="3" borderId="8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9" fontId="0" fillId="0" borderId="0" xfId="0" applyNumberFormat="1" applyAlignment="1">
      <alignment horizontal="center" vertical="center"/>
    </xf>
    <xf numFmtId="179" fontId="17" fillId="0" borderId="0" xfId="0" applyNumberFormat="1" applyFont="1" applyFill="1" applyAlignment="1">
      <alignment horizontal="center" vertical="top"/>
    </xf>
    <xf numFmtId="179" fontId="16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 wrapText="1"/>
    </xf>
    <xf numFmtId="9" fontId="16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left" vertical="center"/>
    </xf>
    <xf numFmtId="179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left" vertical="center"/>
    </xf>
    <xf numFmtId="9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79" fontId="0" fillId="0" borderId="2" xfId="0" applyNumberForma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76" fontId="0" fillId="0" borderId="2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81" fontId="15" fillId="0" borderId="0" xfId="0" applyNumberFormat="1" applyFont="1" applyFill="1" applyAlignment="1">
      <alignment vertical="center"/>
    </xf>
    <xf numFmtId="181" fontId="15" fillId="0" borderId="0" xfId="0" applyNumberFormat="1" applyFont="1" applyFill="1" applyAlignment="1">
      <alignment horizontal="center" vertical="center"/>
    </xf>
    <xf numFmtId="181" fontId="18" fillId="0" borderId="0" xfId="0" applyNumberFormat="1" applyFont="1" applyFill="1" applyAlignment="1">
      <alignment horizontal="center" vertical="center" wrapText="1"/>
    </xf>
    <xf numFmtId="181" fontId="19" fillId="0" borderId="0" xfId="0" applyNumberFormat="1" applyFont="1" applyFill="1" applyAlignment="1">
      <alignment horizontal="left" vertical="center" wrapText="1"/>
    </xf>
    <xf numFmtId="181" fontId="19" fillId="0" borderId="0" xfId="0" applyNumberFormat="1" applyFont="1" applyFill="1" applyBorder="1" applyAlignment="1">
      <alignment horizontal="left" vertical="center" wrapText="1"/>
    </xf>
    <xf numFmtId="181" fontId="20" fillId="0" borderId="2" xfId="0" applyNumberFormat="1" applyFont="1" applyFill="1" applyBorder="1" applyAlignment="1">
      <alignment horizontal="center" vertical="center" wrapText="1"/>
    </xf>
    <xf numFmtId="181" fontId="21" fillId="0" borderId="2" xfId="0" applyNumberFormat="1" applyFont="1" applyFill="1" applyBorder="1" applyAlignment="1">
      <alignment horizontal="center" vertical="center" wrapText="1"/>
    </xf>
    <xf numFmtId="181" fontId="21" fillId="0" borderId="2" xfId="0" applyNumberFormat="1" applyFont="1" applyFill="1" applyBorder="1" applyAlignment="1">
      <alignment horizontal="justify" vertical="top" wrapText="1"/>
    </xf>
    <xf numFmtId="176" fontId="22" fillId="0" borderId="2" xfId="0" applyNumberFormat="1" applyFont="1" applyFill="1" applyBorder="1" applyAlignment="1">
      <alignment horizontal="justify" vertical="top" wrapText="1"/>
    </xf>
    <xf numFmtId="176" fontId="22" fillId="0" borderId="2" xfId="0" applyNumberFormat="1" applyFont="1" applyFill="1" applyBorder="1" applyAlignment="1">
      <alignment horizontal="center" vertical="top" wrapText="1"/>
    </xf>
    <xf numFmtId="181" fontId="22" fillId="0" borderId="2" xfId="0" applyNumberFormat="1" applyFont="1" applyFill="1" applyBorder="1" applyAlignment="1">
      <alignment horizontal="justify" vertical="top" wrapText="1"/>
    </xf>
    <xf numFmtId="182" fontId="22" fillId="0" borderId="2" xfId="0" applyNumberFormat="1" applyFont="1" applyFill="1" applyBorder="1" applyAlignment="1">
      <alignment horizontal="justify" vertical="top" wrapText="1"/>
    </xf>
    <xf numFmtId="181" fontId="19" fillId="0" borderId="2" xfId="0" applyNumberFormat="1" applyFont="1" applyFill="1" applyBorder="1" applyAlignment="1">
      <alignment horizontal="left" vertical="top" wrapText="1"/>
    </xf>
    <xf numFmtId="181" fontId="23" fillId="0" borderId="0" xfId="0" applyNumberFormat="1" applyFont="1" applyFill="1" applyAlignment="1">
      <alignment vertical="center" wrapText="1"/>
    </xf>
    <xf numFmtId="181" fontId="24" fillId="0" borderId="0" xfId="0" applyNumberFormat="1" applyFont="1" applyFill="1" applyAlignment="1">
      <alignment horizontal="left" vertical="center"/>
    </xf>
    <xf numFmtId="181" fontId="21" fillId="0" borderId="0" xfId="0" applyNumberFormat="1" applyFont="1" applyFill="1" applyAlignment="1">
      <alignment horizontal="justify" vertical="center"/>
    </xf>
    <xf numFmtId="181" fontId="21" fillId="0" borderId="0" xfId="0" applyNumberFormat="1" applyFont="1" applyFill="1" applyAlignment="1">
      <alignment horizontal="left" vertical="center" wrapText="1"/>
    </xf>
    <xf numFmtId="181" fontId="14" fillId="0" borderId="0" xfId="0" applyNumberFormat="1" applyFont="1" applyFill="1" applyAlignment="1">
      <alignment vertical="center"/>
    </xf>
    <xf numFmtId="181" fontId="25" fillId="0" borderId="0" xfId="0" applyNumberFormat="1" applyFont="1" applyFill="1" applyBorder="1" applyAlignment="1">
      <alignment vertical="center"/>
    </xf>
    <xf numFmtId="181" fontId="25" fillId="0" borderId="0" xfId="0" applyNumberFormat="1" applyFont="1" applyFill="1" applyAlignment="1">
      <alignment vertical="center"/>
    </xf>
    <xf numFmtId="181" fontId="26" fillId="0" borderId="0" xfId="0" applyNumberFormat="1" applyFont="1" applyFill="1" applyAlignment="1">
      <alignment vertical="center"/>
    </xf>
    <xf numFmtId="181" fontId="15" fillId="0" borderId="0" xfId="0" applyNumberFormat="1" applyFont="1" applyFill="1" applyAlignment="1">
      <alignment horizontal="center" vertical="center" wrapText="1"/>
    </xf>
    <xf numFmtId="181" fontId="15" fillId="0" borderId="0" xfId="0" applyNumberFormat="1" applyFont="1" applyFill="1" applyAlignment="1">
      <alignment vertical="center" wrapText="1"/>
    </xf>
    <xf numFmtId="181" fontId="15" fillId="0" borderId="0" xfId="0" applyNumberFormat="1" applyFont="1" applyFill="1" applyAlignment="1">
      <alignment horizontal="left" vertical="center" wrapText="1"/>
    </xf>
    <xf numFmtId="181" fontId="7" fillId="0" borderId="0" xfId="0" applyNumberFormat="1" applyFont="1" applyFill="1" applyAlignment="1">
      <alignment horizontal="center" vertical="center" wrapText="1"/>
    </xf>
    <xf numFmtId="181" fontId="7" fillId="0" borderId="0" xfId="0" applyNumberFormat="1" applyFont="1" applyFill="1" applyAlignment="1">
      <alignment vertical="center" wrapText="1"/>
    </xf>
    <xf numFmtId="181" fontId="7" fillId="0" borderId="2" xfId="0" applyNumberFormat="1" applyFont="1" applyFill="1" applyBorder="1" applyAlignment="1">
      <alignment horizontal="center" vertical="center" wrapText="1"/>
    </xf>
    <xf numFmtId="183" fontId="22" fillId="0" borderId="2" xfId="0" applyNumberFormat="1" applyFont="1" applyFill="1" applyBorder="1" applyAlignment="1">
      <alignment horizontal="center" vertical="center" wrapText="1"/>
    </xf>
    <xf numFmtId="181" fontId="0" fillId="0" borderId="2" xfId="22" applyNumberFormat="1" applyFont="1" applyFill="1" applyBorder="1" applyAlignment="1">
      <alignment vertical="center" wrapText="1"/>
    </xf>
    <xf numFmtId="181" fontId="0" fillId="0" borderId="2" xfId="22" applyNumberFormat="1" applyFont="1" applyFill="1" applyBorder="1" applyAlignment="1">
      <alignment horizontal="center" vertical="center" wrapText="1"/>
    </xf>
    <xf numFmtId="181" fontId="14" fillId="0" borderId="0" xfId="0" applyNumberFormat="1" applyFont="1" applyFill="1" applyAlignment="1">
      <alignment vertical="center" wrapText="1"/>
    </xf>
    <xf numFmtId="181" fontId="27" fillId="0" borderId="0" xfId="0" applyNumberFormat="1" applyFont="1" applyFill="1" applyAlignment="1">
      <alignment vertical="center" wrapText="1"/>
    </xf>
    <xf numFmtId="181" fontId="27" fillId="0" borderId="0" xfId="0" applyNumberFormat="1" applyFont="1" applyFill="1" applyBorder="1" applyAlignment="1">
      <alignment vertical="center" wrapText="1"/>
    </xf>
    <xf numFmtId="181" fontId="15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合肥万达文旅新城一期塔楼门窗测算2014.6.4（修改版）" xfId="49"/>
    <cellStyle name="常规 11" xfId="50"/>
  </cellStyles>
  <dxfs count="1"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O11" sqref="O11"/>
    </sheetView>
  </sheetViews>
  <sheetFormatPr defaultColWidth="9" defaultRowHeight="14.25" outlineLevelCol="6"/>
  <cols>
    <col min="1" max="1" width="4.875" style="175" customWidth="1"/>
    <col min="2" max="2" width="41.875" style="176" customWidth="1"/>
    <col min="3" max="3" width="8.875" style="175" customWidth="1"/>
    <col min="4" max="4" width="11.375" style="175" customWidth="1"/>
    <col min="5" max="5" width="12.375" style="176" customWidth="1"/>
    <col min="6" max="6" width="8" style="177" customWidth="1"/>
    <col min="7" max="7" width="8.5" style="176" customWidth="1"/>
    <col min="8" max="8" width="11.75" style="154"/>
    <col min="9" max="9" width="9.5" style="154"/>
    <col min="10" max="16384" width="9" style="154"/>
  </cols>
  <sheetData>
    <row r="1" s="154" customFormat="1" ht="45" customHeight="1" spans="1:7">
      <c r="A1" s="178" t="s">
        <v>0</v>
      </c>
      <c r="B1" s="178"/>
      <c r="C1" s="178"/>
      <c r="D1" s="178"/>
      <c r="E1" s="178"/>
      <c r="F1" s="178"/>
      <c r="G1" s="179"/>
    </row>
    <row r="2" s="154" customFormat="1" ht="39" customHeight="1" spans="1:7">
      <c r="A2" s="180" t="s">
        <v>1</v>
      </c>
      <c r="B2" s="180" t="s">
        <v>2</v>
      </c>
      <c r="C2" s="180" t="s">
        <v>3</v>
      </c>
      <c r="D2" s="180" t="s">
        <v>4</v>
      </c>
      <c r="E2" s="180" t="s">
        <v>5</v>
      </c>
      <c r="F2" s="180" t="s">
        <v>6</v>
      </c>
      <c r="G2" s="176"/>
    </row>
    <row r="3" s="171" customFormat="1" ht="32" customHeight="1" spans="1:7">
      <c r="A3" s="181">
        <v>1</v>
      </c>
      <c r="B3" s="182" t="s">
        <v>7</v>
      </c>
      <c r="C3" s="183" t="s">
        <v>8</v>
      </c>
      <c r="D3" s="183" t="s">
        <v>9</v>
      </c>
      <c r="E3" s="182" t="s">
        <v>10</v>
      </c>
      <c r="F3" s="182"/>
      <c r="G3" s="184"/>
    </row>
    <row r="4" s="171" customFormat="1" ht="27" customHeight="1" spans="1:7">
      <c r="A4" s="181">
        <v>2</v>
      </c>
      <c r="B4" s="182" t="s">
        <v>11</v>
      </c>
      <c r="C4" s="183" t="s">
        <v>8</v>
      </c>
      <c r="D4" s="183" t="s">
        <v>12</v>
      </c>
      <c r="E4" s="182" t="s">
        <v>10</v>
      </c>
      <c r="F4" s="182"/>
      <c r="G4" s="184"/>
    </row>
    <row r="5" s="171" customFormat="1" ht="27" customHeight="1" spans="1:7">
      <c r="A5" s="181">
        <v>3</v>
      </c>
      <c r="B5" s="182" t="s">
        <v>13</v>
      </c>
      <c r="C5" s="183" t="s">
        <v>8</v>
      </c>
      <c r="D5" s="183" t="s">
        <v>14</v>
      </c>
      <c r="E5" s="182" t="s">
        <v>10</v>
      </c>
      <c r="F5" s="182"/>
      <c r="G5" s="184"/>
    </row>
    <row r="6" s="171" customFormat="1" ht="27" customHeight="1" spans="1:7">
      <c r="A6" s="181">
        <v>4</v>
      </c>
      <c r="B6" s="182" t="s">
        <v>15</v>
      </c>
      <c r="C6" s="183" t="s">
        <v>8</v>
      </c>
      <c r="D6" s="183" t="s">
        <v>16</v>
      </c>
      <c r="E6" s="182" t="s">
        <v>10</v>
      </c>
      <c r="F6" s="182"/>
      <c r="G6" s="184"/>
    </row>
    <row r="7" s="171" customFormat="1" ht="27" customHeight="1" spans="1:7">
      <c r="A7" s="181">
        <v>5</v>
      </c>
      <c r="B7" s="182" t="s">
        <v>17</v>
      </c>
      <c r="C7" s="183" t="s">
        <v>8</v>
      </c>
      <c r="D7" s="183" t="s">
        <v>18</v>
      </c>
      <c r="E7" s="182" t="s">
        <v>10</v>
      </c>
      <c r="F7" s="182"/>
      <c r="G7" s="184"/>
    </row>
    <row r="8" s="171" customFormat="1" ht="32.1" customHeight="1" spans="1:7">
      <c r="A8" s="181">
        <v>6</v>
      </c>
      <c r="B8" s="182" t="s">
        <v>19</v>
      </c>
      <c r="C8" s="183" t="s">
        <v>8</v>
      </c>
      <c r="D8" s="183" t="s">
        <v>20</v>
      </c>
      <c r="E8" s="182" t="s">
        <v>10</v>
      </c>
      <c r="F8" s="182"/>
      <c r="G8" s="185"/>
    </row>
    <row r="9" s="171" customFormat="1" ht="32.1" customHeight="1" spans="1:7">
      <c r="A9" s="181">
        <v>7</v>
      </c>
      <c r="B9" s="182" t="s">
        <v>21</v>
      </c>
      <c r="C9" s="183" t="s">
        <v>8</v>
      </c>
      <c r="D9" s="183" t="s">
        <v>22</v>
      </c>
      <c r="E9" s="182" t="s">
        <v>10</v>
      </c>
      <c r="F9" s="182"/>
      <c r="G9" s="185"/>
    </row>
    <row r="10" s="172" customFormat="1" ht="32.1" customHeight="1" spans="1:7">
      <c r="A10" s="181">
        <v>8</v>
      </c>
      <c r="B10" s="182" t="s">
        <v>23</v>
      </c>
      <c r="C10" s="183" t="s">
        <v>8</v>
      </c>
      <c r="D10" s="183" t="s">
        <v>24</v>
      </c>
      <c r="E10" s="182" t="s">
        <v>10</v>
      </c>
      <c r="F10" s="182"/>
      <c r="G10" s="186"/>
    </row>
    <row r="11" s="173" customFormat="1" ht="32.1" customHeight="1" spans="1:7">
      <c r="A11" s="181">
        <v>9</v>
      </c>
      <c r="B11" s="182" t="s">
        <v>25</v>
      </c>
      <c r="C11" s="183" t="s">
        <v>8</v>
      </c>
      <c r="D11" s="183" t="s">
        <v>26</v>
      </c>
      <c r="E11" s="182" t="s">
        <v>10</v>
      </c>
      <c r="F11" s="182"/>
      <c r="G11" s="185"/>
    </row>
    <row r="12" s="173" customFormat="1" ht="32.1" customHeight="1" spans="1:7">
      <c r="A12" s="181">
        <v>10</v>
      </c>
      <c r="B12" s="182" t="s">
        <v>27</v>
      </c>
      <c r="C12" s="183" t="s">
        <v>28</v>
      </c>
      <c r="D12" s="183" t="s">
        <v>29</v>
      </c>
      <c r="E12" s="182" t="s">
        <v>10</v>
      </c>
      <c r="F12" s="182"/>
      <c r="G12" s="185"/>
    </row>
    <row r="13" s="173" customFormat="1" ht="32.1" customHeight="1" spans="1:7">
      <c r="A13" s="181">
        <v>11</v>
      </c>
      <c r="B13" s="182" t="s">
        <v>30</v>
      </c>
      <c r="C13" s="183" t="s">
        <v>8</v>
      </c>
      <c r="D13" s="183" t="s">
        <v>31</v>
      </c>
      <c r="E13" s="182" t="s">
        <v>10</v>
      </c>
      <c r="F13" s="182"/>
      <c r="G13" s="185"/>
    </row>
    <row r="14" s="173" customFormat="1" ht="32.1" customHeight="1" spans="1:7">
      <c r="A14" s="181">
        <v>12</v>
      </c>
      <c r="B14" s="182" t="s">
        <v>32</v>
      </c>
      <c r="C14" s="183" t="s">
        <v>28</v>
      </c>
      <c r="D14" s="183" t="s">
        <v>33</v>
      </c>
      <c r="E14" s="182" t="s">
        <v>10</v>
      </c>
      <c r="F14" s="182"/>
      <c r="G14" s="185"/>
    </row>
    <row r="15" s="173" customFormat="1" ht="32.1" customHeight="1" spans="1:7">
      <c r="A15" s="181">
        <v>13</v>
      </c>
      <c r="B15" s="182" t="s">
        <v>34</v>
      </c>
      <c r="C15" s="183" t="s">
        <v>8</v>
      </c>
      <c r="D15" s="183" t="s">
        <v>35</v>
      </c>
      <c r="E15" s="182" t="s">
        <v>10</v>
      </c>
      <c r="F15" s="182"/>
      <c r="G15" s="185"/>
    </row>
    <row r="16" s="173" customFormat="1" ht="32.1" customHeight="1" spans="1:7">
      <c r="A16" s="181">
        <v>14</v>
      </c>
      <c r="B16" s="182" t="s">
        <v>36</v>
      </c>
      <c r="C16" s="183" t="s">
        <v>37</v>
      </c>
      <c r="D16" s="183" t="s">
        <v>38</v>
      </c>
      <c r="E16" s="182" t="s">
        <v>10</v>
      </c>
      <c r="F16" s="182"/>
      <c r="G16" s="185"/>
    </row>
    <row r="17" s="174" customFormat="1" ht="27" spans="1:7">
      <c r="A17" s="181">
        <v>15</v>
      </c>
      <c r="B17" s="182" t="s">
        <v>39</v>
      </c>
      <c r="C17" s="183" t="s">
        <v>40</v>
      </c>
      <c r="D17" s="183" t="s">
        <v>41</v>
      </c>
      <c r="E17" s="182" t="s">
        <v>10</v>
      </c>
      <c r="F17" s="182"/>
      <c r="G17" s="185"/>
    </row>
    <row r="18" s="174" customFormat="1" ht="21" customHeight="1" spans="1:7">
      <c r="A18" s="181">
        <v>16</v>
      </c>
      <c r="B18" s="182" t="s">
        <v>42</v>
      </c>
      <c r="C18" s="183" t="s">
        <v>43</v>
      </c>
      <c r="D18" s="183"/>
      <c r="E18" s="182"/>
      <c r="F18" s="182"/>
      <c r="G18" s="185"/>
    </row>
    <row r="19" s="154" customFormat="1" ht="33.95" customHeight="1" spans="1:7">
      <c r="A19" s="187" t="s">
        <v>44</v>
      </c>
      <c r="B19" s="187"/>
      <c r="C19" s="187" t="s">
        <v>45</v>
      </c>
      <c r="D19" s="187"/>
      <c r="E19" s="187"/>
      <c r="F19" s="187"/>
      <c r="G19" s="176"/>
    </row>
    <row r="20" s="154" customFormat="1" ht="26.1" customHeight="1" spans="1:7">
      <c r="A20" s="187"/>
      <c r="B20" s="187"/>
      <c r="C20" s="187"/>
      <c r="D20" s="187"/>
      <c r="E20" s="187"/>
      <c r="F20" s="187"/>
      <c r="G20" s="176"/>
    </row>
    <row r="21" s="154" customFormat="1" spans="1:7">
      <c r="A21" s="175"/>
      <c r="B21" s="176"/>
      <c r="C21" s="175"/>
      <c r="D21" s="175"/>
      <c r="E21" s="176"/>
      <c r="F21" s="177"/>
      <c r="G21" s="176"/>
    </row>
    <row r="22" s="154" customFormat="1" spans="1:7">
      <c r="A22" s="175"/>
      <c r="B22" s="176"/>
      <c r="C22" s="175"/>
      <c r="D22" s="175"/>
      <c r="E22" s="176"/>
      <c r="F22" s="177"/>
      <c r="G22" s="176"/>
    </row>
    <row r="23" s="154" customFormat="1" spans="1:7">
      <c r="A23" s="175"/>
      <c r="B23" s="176"/>
      <c r="C23" s="175"/>
      <c r="D23" s="175"/>
      <c r="E23" s="176"/>
      <c r="F23" s="177"/>
      <c r="G23" s="176"/>
    </row>
    <row r="24" s="154" customFormat="1" spans="1:7">
      <c r="A24" s="175"/>
      <c r="B24" s="176"/>
      <c r="C24" s="175"/>
      <c r="D24" s="175"/>
      <c r="E24" s="176"/>
      <c r="F24" s="177"/>
      <c r="G24" s="176"/>
    </row>
    <row r="25" s="154" customFormat="1" spans="1:7">
      <c r="A25" s="175"/>
      <c r="B25" s="176"/>
      <c r="C25" s="175"/>
      <c r="D25" s="175"/>
      <c r="E25" s="176"/>
      <c r="F25" s="177"/>
      <c r="G25" s="176"/>
    </row>
    <row r="26" s="154" customFormat="1" spans="1:7">
      <c r="A26" s="175"/>
      <c r="B26" s="176"/>
      <c r="C26" s="175"/>
      <c r="D26" s="175"/>
      <c r="E26" s="176"/>
      <c r="F26" s="177"/>
      <c r="G26" s="176"/>
    </row>
    <row r="27" s="154" customFormat="1" spans="1:7">
      <c r="A27" s="175"/>
      <c r="B27" s="176"/>
      <c r="C27" s="175"/>
      <c r="D27" s="175"/>
      <c r="E27" s="176"/>
      <c r="F27" s="177"/>
      <c r="G27" s="176"/>
    </row>
    <row r="28" s="154" customFormat="1" spans="1:7">
      <c r="A28" s="175"/>
      <c r="B28" s="176"/>
      <c r="C28" s="175"/>
      <c r="D28" s="175"/>
      <c r="E28" s="176"/>
      <c r="F28" s="177"/>
      <c r="G28" s="176"/>
    </row>
    <row r="29" s="154" customFormat="1" spans="1:7">
      <c r="A29" s="175"/>
      <c r="B29" s="176"/>
      <c r="C29" s="175"/>
      <c r="D29" s="175"/>
      <c r="E29" s="176"/>
      <c r="F29" s="177"/>
      <c r="G29" s="176"/>
    </row>
    <row r="30" s="154" customFormat="1" spans="1:7">
      <c r="A30" s="175"/>
      <c r="B30" s="176"/>
      <c r="C30" s="175"/>
      <c r="D30" s="175"/>
      <c r="E30" s="176"/>
      <c r="F30" s="177"/>
      <c r="G30" s="176"/>
    </row>
    <row r="31" s="154" customFormat="1" spans="1:7">
      <c r="A31" s="175"/>
      <c r="B31" s="176"/>
      <c r="C31" s="175"/>
      <c r="D31" s="175"/>
      <c r="E31" s="176"/>
      <c r="F31" s="177"/>
      <c r="G31" s="176"/>
    </row>
    <row r="32" s="154" customFormat="1" spans="1:7">
      <c r="A32" s="175"/>
      <c r="B32" s="176"/>
      <c r="C32" s="175"/>
      <c r="D32" s="175"/>
      <c r="E32" s="176"/>
      <c r="F32" s="177"/>
      <c r="G32" s="176"/>
    </row>
    <row r="33" s="154" customFormat="1" spans="1:7">
      <c r="A33" s="175"/>
      <c r="B33" s="176"/>
      <c r="C33" s="175"/>
      <c r="D33" s="175"/>
      <c r="E33" s="176"/>
      <c r="F33" s="177"/>
      <c r="G33" s="176"/>
    </row>
    <row r="34" s="154" customFormat="1" spans="1:7">
      <c r="A34" s="175"/>
      <c r="B34" s="176"/>
      <c r="C34" s="175"/>
      <c r="D34" s="175"/>
      <c r="E34" s="176"/>
      <c r="F34" s="177"/>
      <c r="G34" s="176"/>
    </row>
    <row r="35" s="154" customFormat="1" ht="43.5" customHeight="1" spans="1:7">
      <c r="A35" s="175"/>
      <c r="B35" s="176"/>
      <c r="C35" s="175"/>
      <c r="D35" s="175"/>
      <c r="E35" s="176"/>
      <c r="F35" s="177"/>
      <c r="G35" s="176"/>
    </row>
  </sheetData>
  <mergeCells count="3">
    <mergeCell ref="A1:F1"/>
    <mergeCell ref="A19:B20"/>
    <mergeCell ref="C19:F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E23" sqref="E23:H23"/>
    </sheetView>
  </sheetViews>
  <sheetFormatPr defaultColWidth="9" defaultRowHeight="14.25" outlineLevelCol="7"/>
  <cols>
    <col min="1" max="1" width="10.125" style="154" customWidth="1"/>
    <col min="2" max="2" width="10.5" style="154" customWidth="1"/>
    <col min="3" max="3" width="4.5" style="154" customWidth="1"/>
    <col min="4" max="4" width="9.25" style="154" customWidth="1"/>
    <col min="5" max="5" width="10.625" style="154" customWidth="1"/>
    <col min="6" max="6" width="12" style="154" customWidth="1"/>
    <col min="7" max="7" width="12.75" style="154" customWidth="1"/>
    <col min="8" max="8" width="12.25" style="154" customWidth="1"/>
    <col min="9" max="16384" width="9" style="154"/>
  </cols>
  <sheetData>
    <row r="1" s="154" customFormat="1" ht="35" customHeight="1" spans="1:8">
      <c r="A1" s="156" t="s">
        <v>46</v>
      </c>
      <c r="B1" s="156"/>
      <c r="C1" s="156"/>
      <c r="D1" s="156"/>
      <c r="E1" s="156"/>
      <c r="F1" s="156"/>
      <c r="G1" s="156"/>
      <c r="H1" s="156"/>
    </row>
    <row r="2" s="154" customFormat="1" ht="22" customHeight="1" spans="1:8">
      <c r="A2" s="157" t="s">
        <v>47</v>
      </c>
      <c r="B2" s="157"/>
      <c r="C2" s="157"/>
      <c r="D2" s="157"/>
      <c r="E2" s="157"/>
      <c r="F2" s="157"/>
      <c r="G2" s="157"/>
      <c r="H2" s="157"/>
    </row>
    <row r="3" s="154" customFormat="1" ht="22" customHeight="1" spans="1:8">
      <c r="A3" s="157" t="s">
        <v>48</v>
      </c>
      <c r="B3" s="157"/>
      <c r="C3" s="157"/>
      <c r="D3" s="157"/>
      <c r="E3" s="157"/>
      <c r="F3" s="157"/>
      <c r="G3" s="157"/>
      <c r="H3" s="157"/>
    </row>
    <row r="4" s="154" customFormat="1" ht="22" customHeight="1" spans="1:8">
      <c r="A4" s="157" t="s">
        <v>49</v>
      </c>
      <c r="B4" s="157"/>
      <c r="C4" s="157"/>
      <c r="D4" s="157"/>
      <c r="E4" s="157"/>
      <c r="F4" s="157"/>
      <c r="G4" s="157"/>
      <c r="H4" s="157"/>
    </row>
    <row r="5" s="154" customFormat="1" ht="22" customHeight="1" spans="1:8">
      <c r="A5" s="158" t="s">
        <v>50</v>
      </c>
      <c r="B5" s="158"/>
      <c r="C5" s="158"/>
      <c r="D5" s="158"/>
      <c r="E5" s="158"/>
      <c r="F5" s="158"/>
      <c r="G5" s="158"/>
      <c r="H5" s="158"/>
    </row>
    <row r="6" s="155" customFormat="1" ht="24" customHeight="1" spans="1:8">
      <c r="A6" s="159" t="s">
        <v>1</v>
      </c>
      <c r="B6" s="159" t="s">
        <v>51</v>
      </c>
      <c r="C6" s="159"/>
      <c r="D6" s="159"/>
      <c r="E6" s="159" t="s">
        <v>52</v>
      </c>
      <c r="F6" s="159" t="s">
        <v>53</v>
      </c>
      <c r="G6" s="159" t="s">
        <v>54</v>
      </c>
      <c r="H6" s="159" t="s">
        <v>55</v>
      </c>
    </row>
    <row r="7" s="154" customFormat="1" ht="20.25" customHeight="1" spans="1:8">
      <c r="A7" s="160" t="s">
        <v>56</v>
      </c>
      <c r="B7" s="161" t="s">
        <v>57</v>
      </c>
      <c r="C7" s="161"/>
      <c r="D7" s="161"/>
      <c r="E7" s="162">
        <f>E8+E9+E10+E11</f>
        <v>0</v>
      </c>
      <c r="F7" s="162">
        <v>0</v>
      </c>
      <c r="G7" s="162">
        <f>G8+G9+G10+G11</f>
        <v>0</v>
      </c>
      <c r="H7" s="162">
        <f>H8+H9+H11+H12</f>
        <v>1963000</v>
      </c>
    </row>
    <row r="8" s="154" customFormat="1" ht="20.25" customHeight="1" spans="1:8">
      <c r="A8" s="163">
        <v>1.1</v>
      </c>
      <c r="B8" s="164" t="s">
        <v>58</v>
      </c>
      <c r="C8" s="164"/>
      <c r="D8" s="164"/>
      <c r="E8" s="162">
        <v>0</v>
      </c>
      <c r="F8" s="162">
        <v>0</v>
      </c>
      <c r="G8" s="162">
        <v>0</v>
      </c>
      <c r="H8" s="162">
        <f>结算明细表!H24</f>
        <v>1891190.00487736</v>
      </c>
    </row>
    <row r="9" s="154" customFormat="1" ht="20.25" customHeight="1" spans="1:8">
      <c r="A9" s="163">
        <v>1.2</v>
      </c>
      <c r="B9" s="164" t="s">
        <v>59</v>
      </c>
      <c r="C9" s="164"/>
      <c r="D9" s="164"/>
      <c r="E9" s="162">
        <v>0</v>
      </c>
      <c r="F9" s="162">
        <v>0</v>
      </c>
      <c r="G9" s="162">
        <v>0</v>
      </c>
      <c r="H9" s="162">
        <f>结算明细表!H33</f>
        <v>90071.2282038846</v>
      </c>
    </row>
    <row r="10" s="154" customFormat="1" ht="20.25" customHeight="1" spans="1:8">
      <c r="A10" s="163">
        <v>1.3</v>
      </c>
      <c r="B10" s="164" t="s">
        <v>60</v>
      </c>
      <c r="C10" s="164"/>
      <c r="D10" s="164"/>
      <c r="E10" s="162">
        <v>0</v>
      </c>
      <c r="F10" s="162">
        <v>0</v>
      </c>
      <c r="G10" s="162">
        <v>0</v>
      </c>
      <c r="H10" s="162"/>
    </row>
    <row r="11" s="154" customFormat="1" ht="20.25" customHeight="1" spans="1:8">
      <c r="A11" s="163">
        <v>1.4</v>
      </c>
      <c r="B11" s="164" t="s">
        <v>61</v>
      </c>
      <c r="C11" s="164"/>
      <c r="D11" s="164"/>
      <c r="E11" s="162">
        <v>0</v>
      </c>
      <c r="F11" s="162">
        <v>0</v>
      </c>
      <c r="G11" s="162">
        <v>0</v>
      </c>
      <c r="H11" s="162">
        <f>结算明细表!H37</f>
        <v>-17966.268</v>
      </c>
    </row>
    <row r="12" s="154" customFormat="1" ht="20.25" customHeight="1" spans="1:8">
      <c r="A12" s="163">
        <v>1.5</v>
      </c>
      <c r="B12" s="164" t="s">
        <v>62</v>
      </c>
      <c r="C12" s="164"/>
      <c r="D12" s="164"/>
      <c r="E12" s="164"/>
      <c r="F12" s="164"/>
      <c r="G12" s="164"/>
      <c r="H12" s="162">
        <f>结算明细表!H39-结算明细表!H38</f>
        <v>-294.965081242146</v>
      </c>
    </row>
    <row r="13" s="154" customFormat="1" ht="20.25" customHeight="1" spans="1:8">
      <c r="A13" s="160" t="s">
        <v>63</v>
      </c>
      <c r="B13" s="161" t="s">
        <v>64</v>
      </c>
      <c r="C13" s="161"/>
      <c r="D13" s="161"/>
      <c r="E13" s="162">
        <v>0</v>
      </c>
      <c r="F13" s="162"/>
      <c r="G13" s="162">
        <v>0</v>
      </c>
      <c r="H13" s="162">
        <v>0</v>
      </c>
    </row>
    <row r="14" s="154" customFormat="1" ht="20.25" customHeight="1" spans="1:8">
      <c r="A14" s="163">
        <v>2.1</v>
      </c>
      <c r="B14" s="164" t="s">
        <v>65</v>
      </c>
      <c r="C14" s="164"/>
      <c r="D14" s="164"/>
      <c r="E14" s="162">
        <v>0</v>
      </c>
      <c r="F14" s="162"/>
      <c r="G14" s="162">
        <v>0</v>
      </c>
      <c r="H14" s="162">
        <v>0</v>
      </c>
    </row>
    <row r="15" s="154" customFormat="1" ht="20.25" customHeight="1" spans="1:8">
      <c r="A15" s="163">
        <v>2.2</v>
      </c>
      <c r="B15" s="164" t="s">
        <v>65</v>
      </c>
      <c r="C15" s="164"/>
      <c r="D15" s="164"/>
      <c r="E15" s="162">
        <v>0</v>
      </c>
      <c r="F15" s="162"/>
      <c r="G15" s="162">
        <v>0</v>
      </c>
      <c r="H15" s="162">
        <v>0</v>
      </c>
    </row>
    <row r="16" s="154" customFormat="1" ht="20.25" customHeight="1" spans="1:8">
      <c r="A16" s="160" t="s">
        <v>66</v>
      </c>
      <c r="B16" s="161" t="s">
        <v>67</v>
      </c>
      <c r="C16" s="161"/>
      <c r="D16" s="164" t="s">
        <v>68</v>
      </c>
      <c r="E16" s="165">
        <f>H7</f>
        <v>1963000</v>
      </c>
      <c r="F16" s="165"/>
      <c r="G16" s="165"/>
      <c r="H16" s="165"/>
    </row>
    <row r="17" s="154" customFormat="1" ht="20.25" customHeight="1" spans="1:8">
      <c r="A17" s="160"/>
      <c r="B17" s="161"/>
      <c r="C17" s="161"/>
      <c r="D17" s="164" t="s">
        <v>69</v>
      </c>
      <c r="E17" s="166">
        <f>E16</f>
        <v>1963000</v>
      </c>
      <c r="F17" s="166"/>
      <c r="G17" s="166"/>
      <c r="H17" s="166"/>
    </row>
    <row r="18" s="154" customFormat="1" ht="20.25" customHeight="1" spans="1:8">
      <c r="A18" s="160" t="s">
        <v>70</v>
      </c>
      <c r="B18" s="161" t="s">
        <v>71</v>
      </c>
      <c r="C18" s="161"/>
      <c r="D18" s="161"/>
      <c r="E18" s="162">
        <v>0</v>
      </c>
      <c r="F18" s="162"/>
      <c r="G18" s="162"/>
      <c r="H18" s="162"/>
    </row>
    <row r="19" s="154" customFormat="1" ht="20.25" customHeight="1" spans="1:8">
      <c r="A19" s="163">
        <v>4.1</v>
      </c>
      <c r="B19" s="164" t="s">
        <v>72</v>
      </c>
      <c r="C19" s="164"/>
      <c r="D19" s="164"/>
      <c r="E19" s="162">
        <v>0</v>
      </c>
      <c r="F19" s="162"/>
      <c r="G19" s="162"/>
      <c r="H19" s="162"/>
    </row>
    <row r="20" s="154" customFormat="1" ht="20.25" customHeight="1" spans="1:8">
      <c r="A20" s="163">
        <v>4.2</v>
      </c>
      <c r="B20" s="164" t="s">
        <v>73</v>
      </c>
      <c r="C20" s="164"/>
      <c r="D20" s="164"/>
      <c r="E20" s="162">
        <v>0</v>
      </c>
      <c r="F20" s="162"/>
      <c r="G20" s="162"/>
      <c r="H20" s="162"/>
    </row>
    <row r="21" s="154" customFormat="1" ht="20.25" customHeight="1" spans="1:8">
      <c r="A21" s="160" t="s">
        <v>74</v>
      </c>
      <c r="B21" s="161" t="s">
        <v>75</v>
      </c>
      <c r="C21" s="161"/>
      <c r="D21" s="161"/>
      <c r="E21" s="162">
        <v>0</v>
      </c>
      <c r="F21" s="162"/>
      <c r="G21" s="162"/>
      <c r="H21" s="162"/>
    </row>
    <row r="22" s="154" customFormat="1" ht="20.25" customHeight="1" spans="1:8">
      <c r="A22" s="163">
        <v>5.1</v>
      </c>
      <c r="B22" s="164" t="s">
        <v>76</v>
      </c>
      <c r="C22" s="164"/>
      <c r="D22" s="164"/>
      <c r="E22" s="164" t="s">
        <v>77</v>
      </c>
      <c r="F22" s="164"/>
      <c r="G22" s="164"/>
      <c r="H22" s="164"/>
    </row>
    <row r="23" s="154" customFormat="1" ht="20.25" customHeight="1" spans="1:8">
      <c r="A23" s="163">
        <v>5.2</v>
      </c>
      <c r="B23" s="164" t="s">
        <v>78</v>
      </c>
      <c r="C23" s="164"/>
      <c r="D23" s="164"/>
      <c r="E23" s="164" t="s">
        <v>77</v>
      </c>
      <c r="F23" s="164"/>
      <c r="G23" s="164"/>
      <c r="H23" s="164"/>
    </row>
    <row r="24" s="154" customFormat="1" ht="20.25" customHeight="1" spans="1:8">
      <c r="A24" s="160" t="s">
        <v>79</v>
      </c>
      <c r="B24" s="161" t="s">
        <v>80</v>
      </c>
      <c r="C24" s="164" t="s">
        <v>68</v>
      </c>
      <c r="D24" s="164"/>
      <c r="E24" s="165">
        <f>E16</f>
        <v>1963000</v>
      </c>
      <c r="F24" s="165"/>
      <c r="G24" s="165"/>
      <c r="H24" s="165"/>
    </row>
    <row r="25" s="154" customFormat="1" ht="20.25" customHeight="1" spans="1:8">
      <c r="A25" s="160"/>
      <c r="B25" s="161"/>
      <c r="C25" s="164" t="s">
        <v>69</v>
      </c>
      <c r="D25" s="164"/>
      <c r="E25" s="166">
        <f>E17</f>
        <v>1963000</v>
      </c>
      <c r="F25" s="166"/>
      <c r="G25" s="166"/>
      <c r="H25" s="166"/>
    </row>
    <row r="26" s="154" customFormat="1" ht="20.25" customHeight="1" spans="1:8">
      <c r="A26" s="160" t="s">
        <v>81</v>
      </c>
      <c r="B26" s="161" t="s">
        <v>82</v>
      </c>
      <c r="C26" s="164" t="s">
        <v>68</v>
      </c>
      <c r="D26" s="164"/>
      <c r="E26" s="165">
        <f>E24</f>
        <v>1963000</v>
      </c>
      <c r="F26" s="165"/>
      <c r="G26" s="165"/>
      <c r="H26" s="165"/>
    </row>
    <row r="27" s="154" customFormat="1" ht="20.25" customHeight="1" spans="1:8">
      <c r="A27" s="160"/>
      <c r="B27" s="161"/>
      <c r="C27" s="164" t="s">
        <v>69</v>
      </c>
      <c r="D27" s="164"/>
      <c r="E27" s="166">
        <f>E17</f>
        <v>1963000</v>
      </c>
      <c r="F27" s="166"/>
      <c r="G27" s="166"/>
      <c r="H27" s="166"/>
    </row>
    <row r="28" s="154" customFormat="1" spans="1:8">
      <c r="A28" s="167"/>
      <c r="B28" s="167"/>
      <c r="C28" s="167"/>
      <c r="D28" s="167"/>
      <c r="E28" s="167"/>
      <c r="F28" s="167"/>
      <c r="G28" s="167"/>
      <c r="H28" s="167"/>
    </row>
    <row r="29" s="154" customFormat="1" spans="1:8">
      <c r="A29" s="168" t="s">
        <v>83</v>
      </c>
      <c r="B29" s="168"/>
      <c r="C29" s="168"/>
      <c r="D29" s="168"/>
      <c r="E29" s="168"/>
      <c r="F29" s="168"/>
      <c r="G29" s="168"/>
      <c r="H29" s="168"/>
    </row>
    <row r="30" s="154" customFormat="1" spans="1:1">
      <c r="A30" s="169"/>
    </row>
    <row r="31" s="154" customFormat="1" spans="1:1">
      <c r="A31" s="169"/>
    </row>
    <row r="32" s="154" customFormat="1" spans="1:8">
      <c r="A32" s="168" t="s">
        <v>84</v>
      </c>
      <c r="B32" s="168"/>
      <c r="C32" s="168"/>
      <c r="D32" s="168"/>
      <c r="E32" s="168"/>
      <c r="F32" s="168"/>
      <c r="G32" s="168"/>
      <c r="H32" s="168"/>
    </row>
    <row r="33" s="154" customFormat="1" spans="1:1">
      <c r="A33" s="169"/>
    </row>
    <row r="34" s="154" customFormat="1" ht="27" customHeight="1" spans="1:8">
      <c r="A34" s="170"/>
      <c r="B34" s="170"/>
      <c r="C34" s="170"/>
      <c r="D34" s="170"/>
      <c r="E34" s="170"/>
      <c r="F34" s="170"/>
      <c r="G34" s="170"/>
      <c r="H34" s="170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zoomScale="80" zoomScaleNormal="80" topLeftCell="A9" workbookViewId="0">
      <selection activeCell="K40" sqref="K40"/>
    </sheetView>
  </sheetViews>
  <sheetFormatPr defaultColWidth="9" defaultRowHeight="13.5"/>
  <cols>
    <col min="1" max="1" width="5.375" style="131" customWidth="1"/>
    <col min="2" max="2" width="29.0666666666667" customWidth="1"/>
    <col min="3" max="3" width="5.375" customWidth="1"/>
    <col min="4" max="4" width="10.625" customWidth="1"/>
    <col min="5" max="5" width="10.75" style="130" customWidth="1"/>
    <col min="6" max="6" width="8.125" style="132" customWidth="1"/>
    <col min="7" max="7" width="11.8666666666667" style="130" customWidth="1"/>
    <col min="8" max="8" width="14" style="130" customWidth="1"/>
    <col min="9" max="9" width="19.375" customWidth="1"/>
    <col min="10" max="10" width="16.375" customWidth="1"/>
    <col min="11" max="11" width="11.5"/>
  </cols>
  <sheetData>
    <row r="1" ht="21" customHeight="1" spans="1:9">
      <c r="A1" s="133" t="s">
        <v>85</v>
      </c>
      <c r="B1" s="133"/>
      <c r="C1" s="133"/>
      <c r="D1" s="133"/>
      <c r="E1" s="133"/>
      <c r="F1" s="133"/>
      <c r="G1" s="133"/>
      <c r="H1" s="133"/>
      <c r="I1" s="133"/>
    </row>
    <row r="2" s="130" customFormat="1" ht="40.5" spans="1:9">
      <c r="A2" s="134" t="s">
        <v>1</v>
      </c>
      <c r="B2" s="135" t="s">
        <v>86</v>
      </c>
      <c r="C2" s="135" t="s">
        <v>87</v>
      </c>
      <c r="D2" s="135" t="s">
        <v>88</v>
      </c>
      <c r="E2" s="136" t="s">
        <v>89</v>
      </c>
      <c r="F2" s="137" t="s">
        <v>90</v>
      </c>
      <c r="G2" s="136" t="s">
        <v>91</v>
      </c>
      <c r="H2" s="135" t="s">
        <v>92</v>
      </c>
      <c r="I2" s="152" t="s">
        <v>6</v>
      </c>
    </row>
    <row r="3" s="130" customFormat="1" spans="1:9">
      <c r="A3" s="134" t="s">
        <v>56</v>
      </c>
      <c r="B3" s="138" t="s">
        <v>93</v>
      </c>
      <c r="C3" s="135"/>
      <c r="D3" s="135"/>
      <c r="E3" s="136"/>
      <c r="F3" s="137"/>
      <c r="G3" s="136"/>
      <c r="H3" s="135"/>
      <c r="I3" s="152"/>
    </row>
    <row r="4" spans="1:9">
      <c r="A4" s="139">
        <v>1</v>
      </c>
      <c r="B4" s="140" t="str">
        <f>'04、工程量计算书'!B7</f>
        <v>百叶窗</v>
      </c>
      <c r="C4" s="61" t="s">
        <v>94</v>
      </c>
      <c r="D4" s="61">
        <f>'04、工程量计算书'!O7+'04、工程量计算书'!O8+'04、工程量计算书'!O24+'04、工程量计算书'!O25+'04、工程量计算书'!O36+'04、工程量计算书'!O37+'04、工程量计算书'!O43+'04、工程量计算书'!O44+'04、工程量计算书'!O55+'04、工程量计算书'!O56+'04、工程量计算书'!O73+'04、工程量计算书'!O79+'04、工程量计算书'!O80+'04、工程量计算书'!O92+'04、工程量计算书'!O93+'04、工程量计算书'!O102+'04、工程量计算书'!O103+'04、工程量计算书'!O115+'04、工程量计算书'!O116+'04、工程量计算书'!O133+'04、工程量计算书'!O134+'04、工程量计算书'!O150+'04、工程量计算书'!O156+'04、工程量计算书'!O157+'04、工程量计算书'!O158+'04、工程量计算书'!O159+'04、工程量计算书'!O160+'04、工程量计算书'!O161+'04、工程量计算书'!O170+'04、工程量计算书'!O171+'04、工程量计算书'!O172+'04、工程量计算书'!O173+'04、工程量计算书'!O213+'04、工程量计算书'!O214+'04、工程量计算书'!O215+'04、工程量计算书'!O216+'04、工程量计算书'!O217+'04、工程量计算书'!O218+'04、工程量计算书'!O219+'04、工程量计算书'!O240+'04、工程量计算书'!O241+'04、工程量计算书'!O242+'04、工程量计算书'!O243+'04、工程量计算书'!O272+'04、工程量计算书'!O273+'04、工程量计算书'!O274+'04、工程量计算书'!O275+'04、工程量计算书'!O299+'04、工程量计算书'!O300+'04、工程量计算书'!O301+'04、工程量计算书'!O302+'04、工程量计算书'!O303+'04、工程量计算书'!O304+'04、工程量计算书'!O151+'04、工程量计算书'!O152+'04、工程量计算书'!O74+'04、工程量计算书'!O75</f>
        <v>2286.56923</v>
      </c>
      <c r="E4" s="61">
        <v>197.455782899166</v>
      </c>
      <c r="F4" s="141">
        <v>0.13</v>
      </c>
      <c r="G4" s="61">
        <f>E4*1.13</f>
        <v>223.125034676058</v>
      </c>
      <c r="H4" s="61">
        <f>D4*G4</f>
        <v>510190.838732957</v>
      </c>
      <c r="I4" s="153"/>
    </row>
    <row r="5" spans="1:9">
      <c r="A5" s="139">
        <v>2</v>
      </c>
      <c r="B5" s="140" t="s">
        <v>95</v>
      </c>
      <c r="C5" s="61" t="s">
        <v>96</v>
      </c>
      <c r="D5" s="61">
        <f>'04、工程量计算书'!O131+'04、工程量计算书'!O132+'04、工程量计算书'!O182+'04、工程量计算书'!O236+'04、工程量计算书'!O237+'04、工程量计算书'!O266+'04、工程量计算书'!O269+'04、工程量计算书'!O290+'04、工程量计算书'!O292</f>
        <v>203.38</v>
      </c>
      <c r="E5" s="61">
        <v>75.23</v>
      </c>
      <c r="F5" s="141">
        <v>0.13</v>
      </c>
      <c r="G5" s="61">
        <f t="shared" ref="G5:G12" si="0">E5*1.13</f>
        <v>85.0099</v>
      </c>
      <c r="H5" s="61">
        <f t="shared" ref="H5:H23" si="1">D5*G5</f>
        <v>17289.313462</v>
      </c>
      <c r="I5" s="153"/>
    </row>
    <row r="6" spans="1:9">
      <c r="A6" s="139">
        <v>3</v>
      </c>
      <c r="B6" s="140" t="s">
        <v>97</v>
      </c>
      <c r="C6" s="61" t="s">
        <v>96</v>
      </c>
      <c r="D6" s="61">
        <f>'04、工程量计算书'!O20+'04、工程量计算书'!O32</f>
        <v>119.04</v>
      </c>
      <c r="E6" s="61">
        <v>73.45</v>
      </c>
      <c r="F6" s="141">
        <v>0.13</v>
      </c>
      <c r="G6" s="61">
        <f t="shared" si="0"/>
        <v>82.9985</v>
      </c>
      <c r="H6" s="61">
        <f t="shared" si="1"/>
        <v>9880.14144</v>
      </c>
      <c r="I6" s="153"/>
    </row>
    <row r="7" spans="1:9">
      <c r="A7" s="139">
        <v>4</v>
      </c>
      <c r="B7" s="140" t="s">
        <v>98</v>
      </c>
      <c r="C7" s="61" t="s">
        <v>96</v>
      </c>
      <c r="D7" s="61">
        <f>'04、工程量计算书'!O67+'04、工程量计算书'!O127+'04、工程量计算书'!O128+'04、工程量计算书'!O144+'04、工程量计算书'!O178+'04、工程量计算书'!O204+'04、工程量计算书'!O231+'04、工程量计算书'!O258+'04、工程量计算书'!O259+'04、工程量计算书'!O260+'04、工程量计算书'!O261+'04、工程量计算书'!O288</f>
        <v>1382.52</v>
      </c>
      <c r="E7" s="61">
        <v>106.19</v>
      </c>
      <c r="F7" s="141">
        <v>0.13</v>
      </c>
      <c r="G7" s="61">
        <f t="shared" si="0"/>
        <v>119.9947</v>
      </c>
      <c r="H7" s="61">
        <f t="shared" si="1"/>
        <v>165895.072644</v>
      </c>
      <c r="I7" s="153"/>
    </row>
    <row r="8" spans="1:9">
      <c r="A8" s="139">
        <v>5</v>
      </c>
      <c r="B8" s="140" t="s">
        <v>99</v>
      </c>
      <c r="C8" s="61" t="s">
        <v>96</v>
      </c>
      <c r="D8" s="61">
        <f>'04、工程量计算书'!O68+'04、工程量计算书'!O129+'04、工程量计算书'!O130+'04、工程量计算书'!O145+'04、工程量计算书'!O179+'04、工程量计算书'!O180+'04、工程量计算书'!O181+'04、工程量计算书'!O205+'04、工程量计算书'!O206+'04、工程量计算书'!O207+'04、工程量计算书'!O208+'04、工程量计算书'!O209+'04、工程量计算书'!O210+'04、工程量计算书'!O211+'04、工程量计算书'!O212+'04、工程量计算书'!O232+'04、工程量计算书'!O233+'04、工程量计算书'!O234+'04、工程量计算书'!O235+'04、工程量计算书'!O238+'04、工程量计算书'!O239+'04、工程量计算书'!O262+'04、工程量计算书'!O263+'04、工程量计算书'!O264+'04、工程量计算书'!O265+'04、工程量计算书'!O267+'04、工程量计算书'!O268+'04、工程量计算书'!O270+'04、工程量计算书'!O271+'04、工程量计算书'!O289+'04、工程量计算书'!O291+'04、工程量计算书'!O293+'04、工程量计算书'!O294+'04、工程量计算书'!O296+'04、工程量计算书'!O297</f>
        <v>1135.63</v>
      </c>
      <c r="E8" s="61">
        <v>101.76</v>
      </c>
      <c r="F8" s="141">
        <v>0.13</v>
      </c>
      <c r="G8" s="61">
        <f t="shared" si="0"/>
        <v>114.9888</v>
      </c>
      <c r="H8" s="61">
        <f t="shared" si="1"/>
        <v>130584.730944</v>
      </c>
      <c r="I8" s="153"/>
    </row>
    <row r="9" ht="54" spans="1:9">
      <c r="A9" s="139">
        <v>6</v>
      </c>
      <c r="B9" s="142" t="s">
        <v>100</v>
      </c>
      <c r="C9" s="61" t="s">
        <v>96</v>
      </c>
      <c r="D9" s="61">
        <f>'04、工程量计算书'!O163</f>
        <v>246.24</v>
      </c>
      <c r="E9" s="61">
        <v>113.27</v>
      </c>
      <c r="F9" s="141">
        <v>0.13</v>
      </c>
      <c r="G9" s="61">
        <f t="shared" si="0"/>
        <v>127.9951</v>
      </c>
      <c r="H9" s="61">
        <f t="shared" si="1"/>
        <v>31517.513424</v>
      </c>
      <c r="I9" s="153"/>
    </row>
    <row r="10" spans="1:9">
      <c r="A10" s="139">
        <v>7</v>
      </c>
      <c r="B10" s="142" t="s">
        <v>101</v>
      </c>
      <c r="C10" s="61" t="s">
        <v>96</v>
      </c>
      <c r="D10" s="61">
        <f>'04、工程量计算书'!O6+'04、工程量计算书'!O18+'04、工程量计算书'!O30+'04、工程量计算书'!O42+'04、工程量计算书'!O54+'04、工程量计算书'!O83+'04、工程量计算书'!O91+'04、工程量计算书'!O106+'04、工程量计算书'!O114</f>
        <v>1729.44</v>
      </c>
      <c r="E10" s="61">
        <v>97.34</v>
      </c>
      <c r="F10" s="141">
        <v>0.13</v>
      </c>
      <c r="G10" s="61">
        <f t="shared" si="0"/>
        <v>109.9942</v>
      </c>
      <c r="H10" s="61">
        <f t="shared" si="1"/>
        <v>190228.369248</v>
      </c>
      <c r="I10" s="153"/>
    </row>
    <row r="11" spans="1:9">
      <c r="A11" s="139">
        <v>8</v>
      </c>
      <c r="B11" s="142" t="s">
        <v>102</v>
      </c>
      <c r="C11" s="61" t="s">
        <v>96</v>
      </c>
      <c r="D11" s="61">
        <f>'04、工程量计算书'!O10+'04、工程量计算书'!O11+'04、工程量计算书'!O19+'04、工程量计算书'!O31+'04、工程量计算书'!O46+'04、工程量计算书'!O47+'04、工程量计算书'!O58+'04、工程量计算书'!O59+'04、工程量计算书'!O95+'04、工程量计算书'!O96+'04、工程量计算书'!O118+'04、工程量计算书'!O119</f>
        <v>792.12</v>
      </c>
      <c r="E11" s="61">
        <v>95.57</v>
      </c>
      <c r="F11" s="141">
        <v>0.13</v>
      </c>
      <c r="G11" s="61">
        <f t="shared" si="0"/>
        <v>107.9941</v>
      </c>
      <c r="H11" s="61">
        <f t="shared" si="1"/>
        <v>85544.286492</v>
      </c>
      <c r="I11" s="153"/>
    </row>
    <row r="12" spans="1:9">
      <c r="A12" s="139">
        <v>9</v>
      </c>
      <c r="B12" s="142" t="s">
        <v>103</v>
      </c>
      <c r="C12" s="61" t="s">
        <v>96</v>
      </c>
      <c r="D12" s="61">
        <f>'04、工程量计算书'!O298</f>
        <v>2.66</v>
      </c>
      <c r="E12" s="61">
        <v>99.11</v>
      </c>
      <c r="F12" s="141">
        <v>0.13</v>
      </c>
      <c r="G12" s="61">
        <f t="shared" si="0"/>
        <v>111.9943</v>
      </c>
      <c r="H12" s="61">
        <f t="shared" si="1"/>
        <v>297.904838</v>
      </c>
      <c r="I12" s="153"/>
    </row>
    <row r="13" spans="1:9">
      <c r="A13" s="139">
        <v>10</v>
      </c>
      <c r="B13" s="140" t="s">
        <v>104</v>
      </c>
      <c r="C13" s="61" t="s">
        <v>96</v>
      </c>
      <c r="D13" s="61">
        <f>'04、工程量计算书'!O295</f>
        <v>9.64</v>
      </c>
      <c r="E13" s="61">
        <v>97.34</v>
      </c>
      <c r="F13" s="141">
        <v>0.13</v>
      </c>
      <c r="G13" s="61">
        <f t="shared" ref="G13:G23" si="2">E13*1.13</f>
        <v>109.9942</v>
      </c>
      <c r="H13" s="61">
        <f t="shared" si="1"/>
        <v>1060.344088</v>
      </c>
      <c r="I13" s="153"/>
    </row>
    <row r="14" spans="1:9">
      <c r="A14" s="139">
        <v>11</v>
      </c>
      <c r="B14" s="140" t="s">
        <v>105</v>
      </c>
      <c r="C14" s="61" t="s">
        <v>96</v>
      </c>
      <c r="D14" s="61">
        <f>'04、工程量计算书'!O5+'04、工程量计算书'!O17+'04、工程量计算书'!O29+'04、工程量计算书'!O41+'04、工程量计算书'!O53+'04、工程量计算书'!O65+'04、工程量计算书'!O66+'04、工程量计算书'!O81+'04、工程量计算书'!O82+'04、工程量计算书'!O90+'04、工程量计算书'!O104+'04、工程量计算书'!O105+'04、工程量计算书'!O113+'04、工程量计算书'!O123+'04、工程量计算书'!O124+'04、工程量计算书'!O142+'04、工程量计算书'!O143+'04、工程量计算书'!O162+'04、工程量计算书'!O174+'04、工程量计算书'!O175+'04、工程量计算书'!O176+'04、工程量计算书'!O177+'04、工程量计算书'!O197+'04、工程量计算书'!O198+'04、工程量计算书'!O199+'04、工程量计算书'!O227+'04、工程量计算书'!O228+'04、工程量计算书'!O251+'04、工程量计算书'!O252+'04、工程量计算书'!O281+'04、工程量计算书'!O282+'04、工程量计算书'!O283</f>
        <v>1739.29</v>
      </c>
      <c r="E14" s="61">
        <v>75.22</v>
      </c>
      <c r="F14" s="141">
        <v>0.13</v>
      </c>
      <c r="G14" s="61">
        <f t="shared" si="2"/>
        <v>84.9986</v>
      </c>
      <c r="H14" s="61">
        <f t="shared" si="1"/>
        <v>147837.214994</v>
      </c>
      <c r="I14" s="153"/>
    </row>
    <row r="15" ht="17" customHeight="1" spans="1:9">
      <c r="A15" s="139">
        <v>12</v>
      </c>
      <c r="B15" s="140" t="s">
        <v>106</v>
      </c>
      <c r="C15" s="61" t="s">
        <v>96</v>
      </c>
      <c r="D15" s="143">
        <f>'04、工程量计算书'!O12+'04、工程量计算书'!O22+'04、工程量计算书'!O34+'04、工程量计算书'!O48+'04、工程量计算书'!O60+'04、工程量计算书'!O70+'04、工程量计算书'!O85+'04、工程量计算书'!O97+'04、工程量计算书'!O108+'04、工程量计算书'!O120+'04、工程量计算书'!O136+'04、工程量计算书'!O137+'04、工程量计算书'!O147+'04、工程量计算书'!O165+'04、工程量计算书'!O191+'04、工程量计算书'!O192+'04、工程量计算书'!O220+'04、工程量计算书'!O221+'04、工程量计算书'!O222+'04、工程量计算书'!O245+'04、工程量计算书'!O246+'04、工程量计算书'!O277+'04、工程量计算书'!O278+'04、工程量计算书'!O305+'04、工程量计算书'!O306+'04、工程量计算书'!O307+'04、工程量计算书'!O317</f>
        <v>2201.869</v>
      </c>
      <c r="E15" s="61">
        <v>159</v>
      </c>
      <c r="F15" s="141">
        <v>0.13</v>
      </c>
      <c r="G15" s="61">
        <f t="shared" si="2"/>
        <v>179.67</v>
      </c>
      <c r="H15" s="61">
        <f t="shared" si="1"/>
        <v>395609.80323</v>
      </c>
      <c r="I15" s="153"/>
    </row>
    <row r="16" spans="1:9">
      <c r="A16" s="139">
        <v>13</v>
      </c>
      <c r="B16" s="140" t="s">
        <v>107</v>
      </c>
      <c r="C16" s="61" t="s">
        <v>96</v>
      </c>
      <c r="D16" s="61">
        <f>'04、工程量计算书'!O9+'04、工程量计算书'!O21+'04、工程量计算书'!O33+'04、工程量计算书'!O45+'04、工程量计算书'!O57+'04、工程量计算书'!O69+'04、工程量计算书'!O84+'04、工程量计算书'!O94+'04、工程量计算书'!O107+'04、工程量计算书'!O117+'04、工程量计算书'!O125+'04、工程量计算书'!O126+'04、工程量计算书'!O146+'04、工程量计算书'!O164+'04、工程量计算书'!O183+'04、工程量计算书'!O184+'04、工程量计算书'!O185+'04、工程量计算书'!O186+'04、工程量计算书'!O187+'04、工程量计算书'!O188+'04、工程量计算书'!O189+'04、工程量计算书'!O190+'04、工程量计算书'!O200+'04、工程量计算书'!O201+'04、工程量计算书'!O202+'04、工程量计算书'!O203+'04、工程量计算书'!O229+'04、工程量计算书'!O230+'04、工程量计算书'!O253+'04、工程量计算书'!O254+'04、工程量计算书'!O255+'04、工程量计算书'!O256+'04、工程量计算书'!O257+'04、工程量计算书'!O284+'04、工程量计算书'!O285+'04、工程量计算书'!O286+'04、工程量计算书'!O287</f>
        <v>2274.3</v>
      </c>
      <c r="E16" s="61">
        <v>68</v>
      </c>
      <c r="F16" s="141">
        <v>0.13</v>
      </c>
      <c r="G16" s="61">
        <f t="shared" si="2"/>
        <v>76.84</v>
      </c>
      <c r="H16" s="61">
        <f t="shared" si="1"/>
        <v>174757.212</v>
      </c>
      <c r="I16" s="153"/>
    </row>
    <row r="17" spans="1:9">
      <c r="A17" s="139">
        <v>14</v>
      </c>
      <c r="B17" s="140" t="str">
        <f>'04、工程量计算书'!B13</f>
        <v>靠墙楼梯扶手</v>
      </c>
      <c r="C17" s="61" t="s">
        <v>96</v>
      </c>
      <c r="D17" s="61">
        <f>'04、工程量计算书'!O13+'04、工程量计算书'!O23+'04、工程量计算书'!O35+'04、工程量计算书'!O49+'04、工程量计算书'!O61+'04、工程量计算书'!O71+'04、工程量计算书'!O86+'04、工程量计算书'!O98+'04、工程量计算书'!O109+'04、工程量计算书'!O121+'04、工程量计算书'!O138+'04、工程量计算书'!O148+'04、工程量计算书'!O166+'04、工程量计算书'!O193+'04、工程量计算书'!O223+'04、工程量计算书'!O247+'04、工程量计算书'!O279+'04、工程量计算书'!O308+'04、工程量计算书'!O311</f>
        <v>118.796</v>
      </c>
      <c r="E17" s="61">
        <v>43.36</v>
      </c>
      <c r="F17" s="141">
        <v>0.13</v>
      </c>
      <c r="G17" s="61">
        <f t="shared" si="2"/>
        <v>48.9968</v>
      </c>
      <c r="H17" s="61">
        <f t="shared" si="1"/>
        <v>5820.6238528</v>
      </c>
      <c r="I17" s="153"/>
    </row>
    <row r="18" spans="1:9">
      <c r="A18" s="139">
        <v>15</v>
      </c>
      <c r="B18" s="140" t="str">
        <f>'04、工程量计算书'!B312</f>
        <v>不锈钢楼梯栏杆</v>
      </c>
      <c r="C18" s="61" t="s">
        <v>96</v>
      </c>
      <c r="D18" s="61"/>
      <c r="E18" s="61">
        <v>146.02</v>
      </c>
      <c r="F18" s="141">
        <v>0.13</v>
      </c>
      <c r="G18" s="61">
        <f t="shared" si="2"/>
        <v>165.0026</v>
      </c>
      <c r="H18" s="61">
        <f t="shared" si="1"/>
        <v>0</v>
      </c>
      <c r="I18" s="153" t="s">
        <v>108</v>
      </c>
    </row>
    <row r="19" spans="1:9">
      <c r="A19" s="139">
        <v>16</v>
      </c>
      <c r="B19" s="140" t="s">
        <v>109</v>
      </c>
      <c r="C19" s="61" t="s">
        <v>96</v>
      </c>
      <c r="D19" s="61"/>
      <c r="E19" s="61">
        <v>160</v>
      </c>
      <c r="F19" s="141">
        <v>0.13</v>
      </c>
      <c r="G19" s="61">
        <f t="shared" si="2"/>
        <v>180.8</v>
      </c>
      <c r="H19" s="61">
        <f t="shared" si="1"/>
        <v>0</v>
      </c>
      <c r="I19" s="153" t="s">
        <v>108</v>
      </c>
    </row>
    <row r="20" spans="1:9">
      <c r="A20" s="139">
        <v>17</v>
      </c>
      <c r="B20" s="140" t="s">
        <v>110</v>
      </c>
      <c r="C20" s="61" t="s">
        <v>96</v>
      </c>
      <c r="D20" s="61">
        <f>'04、工程量计算书'!O314</f>
        <v>87.88</v>
      </c>
      <c r="E20" s="61">
        <v>106.19</v>
      </c>
      <c r="F20" s="141">
        <v>0.13</v>
      </c>
      <c r="G20" s="61">
        <f t="shared" si="2"/>
        <v>119.9947</v>
      </c>
      <c r="H20" s="61">
        <f t="shared" si="1"/>
        <v>10545.134236</v>
      </c>
      <c r="I20" s="153"/>
    </row>
    <row r="21" ht="54" spans="1:9">
      <c r="A21" s="139">
        <v>18</v>
      </c>
      <c r="B21" s="142" t="s">
        <v>111</v>
      </c>
      <c r="C21" s="61" t="s">
        <v>96</v>
      </c>
      <c r="D21" s="61">
        <f>'04、工程量计算书'!O315</f>
        <v>34.98</v>
      </c>
      <c r="E21" s="61">
        <v>113.27</v>
      </c>
      <c r="F21" s="141">
        <v>0.13</v>
      </c>
      <c r="G21" s="61">
        <f t="shared" si="2"/>
        <v>127.9951</v>
      </c>
      <c r="H21" s="61">
        <f t="shared" si="1"/>
        <v>4477.268598</v>
      </c>
      <c r="I21" s="153"/>
    </row>
    <row r="22" ht="33" customHeight="1" spans="1:9">
      <c r="A22" s="139">
        <v>19</v>
      </c>
      <c r="B22" s="140" t="s">
        <v>112</v>
      </c>
      <c r="C22" s="61" t="s">
        <v>96</v>
      </c>
      <c r="D22" s="61">
        <f>'04、工程量计算书'!O316</f>
        <v>34.5845</v>
      </c>
      <c r="E22" s="61">
        <v>101.76</v>
      </c>
      <c r="F22" s="141">
        <v>0.13</v>
      </c>
      <c r="G22" s="61">
        <f t="shared" si="2"/>
        <v>114.9888</v>
      </c>
      <c r="H22" s="61">
        <f t="shared" si="1"/>
        <v>3976.8301536</v>
      </c>
      <c r="I22" s="153"/>
    </row>
    <row r="23" ht="28" customHeight="1" spans="1:9">
      <c r="A23" s="139">
        <v>20</v>
      </c>
      <c r="B23" s="142" t="s">
        <v>113</v>
      </c>
      <c r="C23" s="61" t="s">
        <v>96</v>
      </c>
      <c r="D23" s="61">
        <f>'04、工程量计算书'!O322</f>
        <v>33.495</v>
      </c>
      <c r="E23" s="61">
        <v>150</v>
      </c>
      <c r="F23" s="141">
        <v>0.13</v>
      </c>
      <c r="G23" s="61">
        <f t="shared" si="2"/>
        <v>169.5</v>
      </c>
      <c r="H23" s="61">
        <f t="shared" si="1"/>
        <v>5677.4025</v>
      </c>
      <c r="I23" s="153" t="s">
        <v>114</v>
      </c>
    </row>
    <row r="24" spans="1:9">
      <c r="A24" s="139">
        <v>21</v>
      </c>
      <c r="B24" s="140" t="s">
        <v>115</v>
      </c>
      <c r="C24" s="61"/>
      <c r="D24" s="61"/>
      <c r="E24" s="61"/>
      <c r="F24" s="141"/>
      <c r="G24" s="61"/>
      <c r="H24" s="135">
        <f>SUM(H4:H23)</f>
        <v>1891190.00487736</v>
      </c>
      <c r="I24" s="153"/>
    </row>
    <row r="25" ht="18" customHeight="1" spans="1:9">
      <c r="A25" s="144" t="s">
        <v>63</v>
      </c>
      <c r="B25" s="145" t="s">
        <v>116</v>
      </c>
      <c r="C25" s="146"/>
      <c r="D25" s="146"/>
      <c r="E25" s="147"/>
      <c r="F25" s="148"/>
      <c r="G25" s="147"/>
      <c r="H25" s="147"/>
      <c r="I25" s="153"/>
    </row>
    <row r="26" ht="15" customHeight="1" spans="1:9">
      <c r="A26" s="144">
        <v>1</v>
      </c>
      <c r="B26" s="149" t="s">
        <v>117</v>
      </c>
      <c r="C26" s="147" t="s">
        <v>118</v>
      </c>
      <c r="D26" s="146">
        <v>197.67</v>
      </c>
      <c r="E26" s="61">
        <v>197.455782899166</v>
      </c>
      <c r="F26" s="141">
        <v>0.13</v>
      </c>
      <c r="G26" s="61">
        <f>E26*1.13</f>
        <v>223.125034676058</v>
      </c>
      <c r="H26" s="61">
        <f t="shared" ref="H26:H32" si="3">D26*G26</f>
        <v>44105.1256044164</v>
      </c>
      <c r="I26" s="153"/>
    </row>
    <row r="27" ht="27" spans="1:9">
      <c r="A27" s="144">
        <v>2</v>
      </c>
      <c r="B27" s="149" t="s">
        <v>119</v>
      </c>
      <c r="C27" s="147" t="s">
        <v>118</v>
      </c>
      <c r="D27" s="146">
        <v>19.55</v>
      </c>
      <c r="E27" s="147"/>
      <c r="F27" s="148"/>
      <c r="G27" s="147">
        <v>800</v>
      </c>
      <c r="H27" s="61">
        <f t="shared" si="3"/>
        <v>15640</v>
      </c>
      <c r="I27" s="153" t="s">
        <v>120</v>
      </c>
    </row>
    <row r="28" ht="27" spans="1:9">
      <c r="A28" s="144">
        <v>3</v>
      </c>
      <c r="B28" s="149" t="s">
        <v>121</v>
      </c>
      <c r="C28" s="147" t="s">
        <v>118</v>
      </c>
      <c r="D28" s="146">
        <v>16.92</v>
      </c>
      <c r="E28" s="147"/>
      <c r="F28" s="148"/>
      <c r="G28" s="147">
        <v>240</v>
      </c>
      <c r="H28" s="61">
        <f t="shared" si="3"/>
        <v>4060.8</v>
      </c>
      <c r="I28" s="153" t="s">
        <v>122</v>
      </c>
    </row>
    <row r="29" ht="27" spans="1:9">
      <c r="A29" s="144">
        <v>4</v>
      </c>
      <c r="B29" s="149" t="s">
        <v>123</v>
      </c>
      <c r="C29" s="147" t="s">
        <v>96</v>
      </c>
      <c r="D29" s="146">
        <v>28</v>
      </c>
      <c r="E29" s="147"/>
      <c r="F29" s="148"/>
      <c r="G29" s="150">
        <f>G7</f>
        <v>119.9947</v>
      </c>
      <c r="H29" s="61">
        <f t="shared" si="3"/>
        <v>3359.8516</v>
      </c>
      <c r="I29" s="152" t="s">
        <v>124</v>
      </c>
    </row>
    <row r="30" ht="27" spans="1:9">
      <c r="A30" s="144">
        <v>5</v>
      </c>
      <c r="B30" s="149" t="s">
        <v>125</v>
      </c>
      <c r="C30" s="147" t="s">
        <v>118</v>
      </c>
      <c r="D30" s="146">
        <f>2.78+4.6</f>
        <v>7.38</v>
      </c>
      <c r="E30" s="147"/>
      <c r="F30" s="148"/>
      <c r="G30" s="151">
        <f>G4</f>
        <v>223.125034676058</v>
      </c>
      <c r="H30" s="61">
        <f t="shared" si="3"/>
        <v>1646.66275590931</v>
      </c>
      <c r="I30" s="152" t="s">
        <v>124</v>
      </c>
    </row>
    <row r="31" ht="40.5" spans="1:9">
      <c r="A31" s="144">
        <v>6</v>
      </c>
      <c r="B31" s="149" t="s">
        <v>126</v>
      </c>
      <c r="C31" s="147" t="s">
        <v>118</v>
      </c>
      <c r="D31" s="146">
        <f>1.2*2.3*3</f>
        <v>8.28</v>
      </c>
      <c r="E31" s="147"/>
      <c r="F31" s="148"/>
      <c r="G31" s="151">
        <f>G30/2</f>
        <v>111.562517338029</v>
      </c>
      <c r="H31" s="61">
        <f t="shared" si="3"/>
        <v>923.73764355888</v>
      </c>
      <c r="I31" s="152" t="s">
        <v>127</v>
      </c>
    </row>
    <row r="32" ht="23" customHeight="1" spans="1:9">
      <c r="A32" s="144">
        <v>7</v>
      </c>
      <c r="B32" s="149" t="s">
        <v>128</v>
      </c>
      <c r="C32" s="147" t="s">
        <v>96</v>
      </c>
      <c r="D32" s="146">
        <v>113.18</v>
      </c>
      <c r="E32" s="147"/>
      <c r="F32" s="148"/>
      <c r="G32" s="147">
        <f>G15</f>
        <v>179.67</v>
      </c>
      <c r="H32" s="61">
        <f t="shared" si="3"/>
        <v>20335.0506</v>
      </c>
      <c r="I32" s="152" t="s">
        <v>124</v>
      </c>
    </row>
    <row r="33" ht="19" customHeight="1" spans="1:9">
      <c r="A33" s="144">
        <v>8</v>
      </c>
      <c r="B33" s="145" t="s">
        <v>115</v>
      </c>
      <c r="C33" s="146"/>
      <c r="D33" s="146"/>
      <c r="E33" s="147"/>
      <c r="F33" s="148"/>
      <c r="G33" s="147"/>
      <c r="H33" s="151">
        <f>SUM(H26:H32)</f>
        <v>90071.2282038846</v>
      </c>
      <c r="I33" s="153"/>
    </row>
    <row r="34" ht="19" customHeight="1" spans="1:9">
      <c r="A34" s="144" t="s">
        <v>66</v>
      </c>
      <c r="B34" s="145" t="s">
        <v>129</v>
      </c>
      <c r="C34" s="146"/>
      <c r="D34" s="146"/>
      <c r="E34" s="147"/>
      <c r="F34" s="148"/>
      <c r="G34" s="147"/>
      <c r="H34" s="147"/>
      <c r="I34" s="153"/>
    </row>
    <row r="35" ht="19" customHeight="1" spans="1:9">
      <c r="A35" s="144">
        <v>1</v>
      </c>
      <c r="B35" s="145" t="s">
        <v>130</v>
      </c>
      <c r="C35" s="146"/>
      <c r="D35" s="146"/>
      <c r="E35" s="147"/>
      <c r="F35" s="148"/>
      <c r="G35" s="147"/>
      <c r="H35" s="147">
        <v>-16710.268</v>
      </c>
      <c r="I35" s="153"/>
    </row>
    <row r="36" ht="19" customHeight="1" spans="1:9">
      <c r="A36" s="144">
        <v>2</v>
      </c>
      <c r="B36" s="145" t="s">
        <v>131</v>
      </c>
      <c r="C36" s="146"/>
      <c r="D36" s="146"/>
      <c r="E36" s="147"/>
      <c r="F36" s="148"/>
      <c r="G36" s="147"/>
      <c r="H36" s="147">
        <v>-1256</v>
      </c>
      <c r="I36" s="153"/>
    </row>
    <row r="37" ht="19" customHeight="1" spans="1:9">
      <c r="A37" s="144">
        <v>3</v>
      </c>
      <c r="B37" s="145" t="s">
        <v>115</v>
      </c>
      <c r="C37" s="146"/>
      <c r="D37" s="146"/>
      <c r="E37" s="147"/>
      <c r="F37" s="148"/>
      <c r="G37" s="147"/>
      <c r="H37" s="147">
        <f>SUM(H35:H36)</f>
        <v>-17966.268</v>
      </c>
      <c r="I37" s="153"/>
    </row>
    <row r="38" ht="19" customHeight="1" spans="1:9">
      <c r="A38" s="144" t="s">
        <v>70</v>
      </c>
      <c r="B38" s="145" t="s">
        <v>132</v>
      </c>
      <c r="C38" s="146"/>
      <c r="D38" s="146"/>
      <c r="E38" s="147"/>
      <c r="F38" s="148"/>
      <c r="G38" s="147"/>
      <c r="H38" s="147">
        <f>H24+H33+H37</f>
        <v>1963294.96508124</v>
      </c>
      <c r="I38" s="153"/>
    </row>
    <row r="39" ht="19" customHeight="1" spans="1:9">
      <c r="A39" s="144" t="s">
        <v>74</v>
      </c>
      <c r="B39" s="145" t="s">
        <v>133</v>
      </c>
      <c r="C39" s="146"/>
      <c r="D39" s="146"/>
      <c r="E39" s="147"/>
      <c r="F39" s="148"/>
      <c r="G39" s="147"/>
      <c r="H39" s="147">
        <v>1963000</v>
      </c>
      <c r="I39" s="153"/>
    </row>
    <row r="41" ht="17" customHeight="1" spans="2:5">
      <c r="B41" t="s">
        <v>134</v>
      </c>
      <c r="E41" s="130" t="s">
        <v>135</v>
      </c>
    </row>
  </sheetData>
  <mergeCells count="1">
    <mergeCell ref="A1:I1"/>
  </mergeCells>
  <pageMargins left="0.700694444444445" right="0.700694444444445" top="0.554861111111111" bottom="0.554861111111111" header="0.298611111111111" footer="0.298611111111111"/>
  <pageSetup paperSize="9" scale="77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24"/>
  <sheetViews>
    <sheetView topLeftCell="A2" workbookViewId="0">
      <pane xSplit="4" ySplit="2" topLeftCell="E284" activePane="bottomRight" state="frozen"/>
      <selection/>
      <selection pane="topRight"/>
      <selection pane="bottomLeft"/>
      <selection pane="bottomRight" activeCell="T271" sqref="T271"/>
    </sheetView>
  </sheetViews>
  <sheetFormatPr defaultColWidth="9" defaultRowHeight="13.5"/>
  <cols>
    <col min="1" max="1" width="7.125" style="67" customWidth="1"/>
    <col min="2" max="2" width="13.25" style="67" customWidth="1"/>
    <col min="3" max="3" width="16.875" style="67" customWidth="1"/>
    <col min="4" max="4" width="15.75" style="68" customWidth="1"/>
    <col min="5" max="5" width="4.625" style="67" customWidth="1"/>
    <col min="6" max="6" width="7.75" style="67" customWidth="1"/>
    <col min="7" max="7" width="10.25" style="66" customWidth="1"/>
    <col min="8" max="8" width="9.38333333333333" style="66" customWidth="1"/>
    <col min="9" max="10" width="9.75" style="66" customWidth="1"/>
    <col min="11" max="11" width="10.25" style="66" customWidth="1"/>
    <col min="12" max="12" width="9" style="66"/>
    <col min="13" max="13" width="9.63333333333333" style="66" customWidth="1"/>
    <col min="14" max="14" width="9.5" style="66" customWidth="1"/>
    <col min="15" max="15" width="12.625" style="66"/>
    <col min="16" max="16384" width="9" style="66"/>
  </cols>
  <sheetData>
    <row r="1" ht="42" customHeight="1" spans="1:15">
      <c r="A1" s="67" t="s">
        <v>136</v>
      </c>
      <c r="D1" s="67"/>
      <c r="E1" s="67"/>
      <c r="G1" s="67"/>
      <c r="H1" s="67"/>
      <c r="I1" s="67"/>
      <c r="J1" s="67"/>
      <c r="K1" s="67"/>
      <c r="L1" s="67"/>
      <c r="M1" s="67"/>
      <c r="N1" s="67"/>
      <c r="O1" s="67"/>
    </row>
    <row r="2" ht="42" customHeight="1" spans="1:15">
      <c r="A2" s="69" t="s">
        <v>1</v>
      </c>
      <c r="B2" s="69" t="s">
        <v>137</v>
      </c>
      <c r="C2" s="69" t="s">
        <v>2</v>
      </c>
      <c r="D2" s="70" t="s">
        <v>138</v>
      </c>
      <c r="E2" s="71" t="s">
        <v>87</v>
      </c>
      <c r="F2" s="69" t="s">
        <v>139</v>
      </c>
      <c r="H2" s="72" t="s">
        <v>140</v>
      </c>
      <c r="I2" s="72"/>
      <c r="J2" s="72"/>
      <c r="K2" s="72"/>
      <c r="L2" s="72"/>
      <c r="M2" s="72"/>
      <c r="N2" s="72"/>
      <c r="O2" s="85" t="s">
        <v>141</v>
      </c>
    </row>
    <row r="3" ht="24" customHeight="1" spans="1:15">
      <c r="A3" s="69"/>
      <c r="B3" s="69"/>
      <c r="C3" s="69"/>
      <c r="D3" s="70"/>
      <c r="E3" s="73"/>
      <c r="F3" s="69"/>
      <c r="G3" s="72" t="s">
        <v>142</v>
      </c>
      <c r="H3" s="72" t="s">
        <v>143</v>
      </c>
      <c r="I3" s="72" t="s">
        <v>144</v>
      </c>
      <c r="J3" s="72" t="s">
        <v>145</v>
      </c>
      <c r="K3" s="72" t="s">
        <v>146</v>
      </c>
      <c r="L3" s="72" t="s">
        <v>147</v>
      </c>
      <c r="M3" s="72" t="s">
        <v>148</v>
      </c>
      <c r="N3" s="72" t="s">
        <v>149</v>
      </c>
      <c r="O3" s="85"/>
    </row>
    <row r="4" ht="18.75" customHeight="1" spans="1:14">
      <c r="A4" s="74" t="s">
        <v>150</v>
      </c>
      <c r="B4" s="75"/>
      <c r="C4" s="75"/>
      <c r="D4" s="75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ht="20.25" customHeight="1" spans="1:15">
      <c r="A5" s="69">
        <v>1</v>
      </c>
      <c r="B5" s="69" t="s">
        <v>151</v>
      </c>
      <c r="C5" s="72" t="s">
        <v>152</v>
      </c>
      <c r="D5" s="70" t="s">
        <v>153</v>
      </c>
      <c r="E5" s="69" t="s">
        <v>96</v>
      </c>
      <c r="F5" s="77">
        <f>2-0.03</f>
        <v>1.97</v>
      </c>
      <c r="G5" s="69"/>
      <c r="H5" s="72">
        <v>4</v>
      </c>
      <c r="I5" s="72">
        <v>4</v>
      </c>
      <c r="J5" s="72">
        <v>4</v>
      </c>
      <c r="K5" s="72">
        <f>4*4</f>
        <v>16</v>
      </c>
      <c r="L5" s="72">
        <v>4</v>
      </c>
      <c r="M5" s="72">
        <f t="shared" ref="M5:M11" si="0">H5+I5+J5+K5+L5</f>
        <v>32</v>
      </c>
      <c r="N5" s="72"/>
      <c r="O5" s="86">
        <f t="shared" ref="O5:O11" si="1">M5*F5</f>
        <v>63.04</v>
      </c>
    </row>
    <row r="6" ht="20.25" customHeight="1" spans="1:15">
      <c r="A6" s="69">
        <v>2</v>
      </c>
      <c r="B6" s="72" t="s">
        <v>154</v>
      </c>
      <c r="C6" s="72" t="s">
        <v>155</v>
      </c>
      <c r="D6" s="73" t="s">
        <v>156</v>
      </c>
      <c r="E6" s="69" t="s">
        <v>96</v>
      </c>
      <c r="F6" s="77">
        <f>5.35-0.03</f>
        <v>5.32</v>
      </c>
      <c r="G6" s="69"/>
      <c r="H6" s="72">
        <v>4</v>
      </c>
      <c r="I6" s="72">
        <v>4</v>
      </c>
      <c r="J6" s="72">
        <v>4</v>
      </c>
      <c r="K6" s="72">
        <f>4*4</f>
        <v>16</v>
      </c>
      <c r="L6" s="72">
        <v>4</v>
      </c>
      <c r="M6" s="72">
        <f t="shared" si="0"/>
        <v>32</v>
      </c>
      <c r="N6" s="72"/>
      <c r="O6" s="86">
        <f t="shared" si="1"/>
        <v>170.24</v>
      </c>
    </row>
    <row r="7" ht="20.25" customHeight="1" spans="1:15">
      <c r="A7" s="69">
        <v>3</v>
      </c>
      <c r="B7" s="72" t="s">
        <v>157</v>
      </c>
      <c r="C7" s="72" t="s">
        <v>158</v>
      </c>
      <c r="D7" s="70" t="s">
        <v>159</v>
      </c>
      <c r="E7" s="69" t="s">
        <v>94</v>
      </c>
      <c r="F7" s="77">
        <f>0.97*2.27</f>
        <v>2.2019</v>
      </c>
      <c r="G7" s="69"/>
      <c r="H7" s="72">
        <v>6</v>
      </c>
      <c r="I7" s="72"/>
      <c r="J7" s="72">
        <v>6</v>
      </c>
      <c r="K7" s="72">
        <f>6*4</f>
        <v>24</v>
      </c>
      <c r="L7" s="72"/>
      <c r="M7" s="72">
        <f t="shared" si="0"/>
        <v>36</v>
      </c>
      <c r="N7" s="72"/>
      <c r="O7" s="86">
        <f t="shared" si="1"/>
        <v>79.2684</v>
      </c>
    </row>
    <row r="8" ht="20.25" customHeight="1" spans="1:15">
      <c r="A8" s="69">
        <v>4</v>
      </c>
      <c r="B8" s="72" t="s">
        <v>157</v>
      </c>
      <c r="C8" s="72" t="s">
        <v>160</v>
      </c>
      <c r="D8" s="70" t="s">
        <v>161</v>
      </c>
      <c r="E8" s="69" t="s">
        <v>94</v>
      </c>
      <c r="F8" s="78">
        <f>0.97*1.97</f>
        <v>1.9109</v>
      </c>
      <c r="G8" s="69"/>
      <c r="H8" s="72"/>
      <c r="I8" s="72">
        <v>6</v>
      </c>
      <c r="J8" s="72"/>
      <c r="K8" s="72"/>
      <c r="L8" s="72">
        <v>6</v>
      </c>
      <c r="M8" s="72">
        <f t="shared" si="0"/>
        <v>12</v>
      </c>
      <c r="N8" s="72"/>
      <c r="O8" s="86">
        <f t="shared" si="1"/>
        <v>22.9308</v>
      </c>
    </row>
    <row r="9" ht="20.25" customHeight="1" spans="1:15">
      <c r="A9" s="69">
        <v>5</v>
      </c>
      <c r="B9" s="69" t="s">
        <v>162</v>
      </c>
      <c r="C9" s="72" t="s">
        <v>163</v>
      </c>
      <c r="D9" s="72" t="s">
        <v>164</v>
      </c>
      <c r="E9" s="69" t="s">
        <v>96</v>
      </c>
      <c r="F9" s="77">
        <f>1.5-0.1+(0.7-0.15)*2</f>
        <v>2.5</v>
      </c>
      <c r="G9" s="69"/>
      <c r="H9" s="72">
        <v>4</v>
      </c>
      <c r="I9" s="72">
        <v>4</v>
      </c>
      <c r="J9" s="72">
        <v>4</v>
      </c>
      <c r="K9" s="72">
        <f>4*4</f>
        <v>16</v>
      </c>
      <c r="L9" s="72">
        <f>4</f>
        <v>4</v>
      </c>
      <c r="M9" s="72">
        <f t="shared" si="0"/>
        <v>32</v>
      </c>
      <c r="N9" s="72"/>
      <c r="O9" s="86">
        <f t="shared" si="1"/>
        <v>80</v>
      </c>
    </row>
    <row r="10" ht="20.25" customHeight="1" spans="1:15">
      <c r="A10" s="69">
        <v>6</v>
      </c>
      <c r="B10" s="72" t="s">
        <v>154</v>
      </c>
      <c r="C10" s="72" t="s">
        <v>165</v>
      </c>
      <c r="D10" s="73" t="s">
        <v>166</v>
      </c>
      <c r="E10" s="69" t="s">
        <v>96</v>
      </c>
      <c r="F10" s="78">
        <f>2.5-0.03</f>
        <v>2.47</v>
      </c>
      <c r="G10" s="69"/>
      <c r="H10" s="72">
        <f>2</f>
        <v>2</v>
      </c>
      <c r="I10" s="72">
        <f>2</f>
        <v>2</v>
      </c>
      <c r="J10" s="72"/>
      <c r="K10" s="72"/>
      <c r="L10" s="72"/>
      <c r="M10" s="72">
        <f t="shared" si="0"/>
        <v>4</v>
      </c>
      <c r="N10" s="72"/>
      <c r="O10" s="86">
        <f t="shared" si="1"/>
        <v>9.88</v>
      </c>
    </row>
    <row r="11" ht="20.25" customHeight="1" spans="1:15">
      <c r="A11" s="69">
        <v>7</v>
      </c>
      <c r="B11" s="72" t="s">
        <v>154</v>
      </c>
      <c r="C11" s="72" t="s">
        <v>167</v>
      </c>
      <c r="D11" s="73" t="s">
        <v>166</v>
      </c>
      <c r="E11" s="69" t="s">
        <v>96</v>
      </c>
      <c r="F11" s="77">
        <f>2.7-0.15+1.3-0.15</f>
        <v>3.7</v>
      </c>
      <c r="G11" s="69"/>
      <c r="H11" s="72">
        <f>2</f>
        <v>2</v>
      </c>
      <c r="I11" s="72">
        <f>2</f>
        <v>2</v>
      </c>
      <c r="J11" s="72">
        <f>4</f>
        <v>4</v>
      </c>
      <c r="K11" s="72">
        <f>4*5</f>
        <v>20</v>
      </c>
      <c r="L11" s="72">
        <v>4</v>
      </c>
      <c r="M11" s="72">
        <f t="shared" si="0"/>
        <v>32</v>
      </c>
      <c r="N11" s="72"/>
      <c r="O11" s="86">
        <f t="shared" si="1"/>
        <v>118.4</v>
      </c>
    </row>
    <row r="12" ht="20.25" customHeight="1" spans="1:15">
      <c r="A12" s="69">
        <v>8</v>
      </c>
      <c r="B12" s="72" t="s">
        <v>168</v>
      </c>
      <c r="C12" s="69"/>
      <c r="D12" s="72" t="s">
        <v>169</v>
      </c>
      <c r="E12" s="69" t="s">
        <v>96</v>
      </c>
      <c r="F12" s="69"/>
      <c r="G12" s="79">
        <f>1.32+2.503+2.503+0.98+1.878+0.2</f>
        <v>9.384</v>
      </c>
      <c r="H12" s="72">
        <f>2.118+0.32</f>
        <v>2.438</v>
      </c>
      <c r="I12" s="72">
        <f>2.518+2.518</f>
        <v>5.036</v>
      </c>
      <c r="J12" s="72">
        <f>2.53+2.53</f>
        <v>5.06</v>
      </c>
      <c r="K12" s="72">
        <f>(2.53+2.53)*5</f>
        <v>25.3</v>
      </c>
      <c r="L12" s="72">
        <f>1.35</f>
        <v>1.35</v>
      </c>
      <c r="M12" s="72">
        <f>G12+H12+I12+J12+K12+L12</f>
        <v>48.568</v>
      </c>
      <c r="N12" s="72">
        <v>2</v>
      </c>
      <c r="O12" s="86">
        <f>M12*N12</f>
        <v>97.136</v>
      </c>
    </row>
    <row r="13" ht="24" customHeight="1" spans="1:15">
      <c r="A13" s="69">
        <v>9</v>
      </c>
      <c r="B13" s="72" t="s">
        <v>170</v>
      </c>
      <c r="C13" s="72"/>
      <c r="D13" s="72" t="s">
        <v>171</v>
      </c>
      <c r="E13" s="69" t="s">
        <v>96</v>
      </c>
      <c r="F13" s="69"/>
      <c r="G13" s="69"/>
      <c r="H13" s="72">
        <f>2.573</f>
        <v>2.573</v>
      </c>
      <c r="I13" s="72"/>
      <c r="J13" s="72"/>
      <c r="K13" s="72"/>
      <c r="L13" s="72"/>
      <c r="M13" s="72">
        <f>G13+H13+I13+J13+K13+L13</f>
        <v>2.573</v>
      </c>
      <c r="N13" s="72">
        <v>2</v>
      </c>
      <c r="O13" s="86">
        <f>M13*N13</f>
        <v>5.146</v>
      </c>
    </row>
    <row r="14" ht="33" customHeight="1" spans="1:15">
      <c r="A14" s="72" t="s">
        <v>172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</row>
    <row r="15" spans="1:15">
      <c r="A15" s="69" t="s">
        <v>1</v>
      </c>
      <c r="B15" s="69" t="s">
        <v>137</v>
      </c>
      <c r="C15" s="69"/>
      <c r="D15" s="69" t="s">
        <v>51</v>
      </c>
      <c r="E15" s="69" t="s">
        <v>87</v>
      </c>
      <c r="F15" s="69"/>
      <c r="G15" s="72"/>
      <c r="H15" s="69" t="s">
        <v>140</v>
      </c>
      <c r="I15" s="69"/>
      <c r="J15" s="69"/>
      <c r="K15" s="69"/>
      <c r="L15" s="69"/>
      <c r="M15" s="69"/>
      <c r="N15" s="72"/>
      <c r="O15" s="69" t="s">
        <v>141</v>
      </c>
    </row>
    <row r="16" ht="25" customHeight="1" spans="1:15">
      <c r="A16" s="69"/>
      <c r="B16" s="69"/>
      <c r="C16" s="69"/>
      <c r="D16" s="69"/>
      <c r="E16" s="69"/>
      <c r="F16" s="69"/>
      <c r="G16" s="188" t="s">
        <v>173</v>
      </c>
      <c r="H16" s="69" t="s">
        <v>143</v>
      </c>
      <c r="I16" s="69" t="s">
        <v>144</v>
      </c>
      <c r="J16" s="87" t="s">
        <v>174</v>
      </c>
      <c r="K16" s="72"/>
      <c r="L16" s="72"/>
      <c r="M16" s="69" t="s">
        <v>148</v>
      </c>
      <c r="N16" s="72"/>
      <c r="O16" s="69"/>
    </row>
    <row r="17" spans="1:15">
      <c r="A17" s="73">
        <v>1</v>
      </c>
      <c r="B17" s="73" t="s">
        <v>151</v>
      </c>
      <c r="C17" s="73" t="s">
        <v>175</v>
      </c>
      <c r="D17" s="70" t="s">
        <v>153</v>
      </c>
      <c r="E17" s="73" t="s">
        <v>96</v>
      </c>
      <c r="F17" s="80">
        <f>1.8-0.03</f>
        <v>1.77</v>
      </c>
      <c r="G17" s="73"/>
      <c r="H17" s="73">
        <v>6</v>
      </c>
      <c r="I17" s="73">
        <v>6</v>
      </c>
      <c r="J17" s="73">
        <f>6*6</f>
        <v>36</v>
      </c>
      <c r="K17" s="73"/>
      <c r="L17" s="72"/>
      <c r="M17" s="73">
        <f>G17+H17+I17+J17</f>
        <v>48</v>
      </c>
      <c r="N17" s="72"/>
      <c r="O17" s="86">
        <f>F17*M17</f>
        <v>84.96</v>
      </c>
    </row>
    <row r="18" spans="1:15">
      <c r="A18" s="73">
        <v>2</v>
      </c>
      <c r="B18" s="73" t="s">
        <v>154</v>
      </c>
      <c r="C18" s="73" t="s">
        <v>176</v>
      </c>
      <c r="D18" s="73" t="s">
        <v>156</v>
      </c>
      <c r="E18" s="73" t="s">
        <v>96</v>
      </c>
      <c r="F18" s="80">
        <f>5-0.03</f>
        <v>4.97</v>
      </c>
      <c r="G18" s="73"/>
      <c r="H18" s="73">
        <v>6</v>
      </c>
      <c r="I18" s="73">
        <v>6</v>
      </c>
      <c r="J18" s="73">
        <f>6*6</f>
        <v>36</v>
      </c>
      <c r="K18" s="73"/>
      <c r="L18" s="72"/>
      <c r="M18" s="73">
        <f>G18+H18+I18+J18</f>
        <v>48</v>
      </c>
      <c r="N18" s="72"/>
      <c r="O18" s="86">
        <f>F18*M18</f>
        <v>238.56</v>
      </c>
    </row>
    <row r="19" spans="1:15">
      <c r="A19" s="73">
        <v>3</v>
      </c>
      <c r="B19" s="73" t="s">
        <v>154</v>
      </c>
      <c r="C19" s="73" t="s">
        <v>177</v>
      </c>
      <c r="D19" s="73" t="s">
        <v>166</v>
      </c>
      <c r="E19" s="73" t="s">
        <v>96</v>
      </c>
      <c r="F19" s="80">
        <f>1.6-0.03</f>
        <v>1.57</v>
      </c>
      <c r="G19" s="73"/>
      <c r="H19" s="73">
        <v>6</v>
      </c>
      <c r="I19" s="73">
        <v>6</v>
      </c>
      <c r="J19" s="73">
        <f>6*6</f>
        <v>36</v>
      </c>
      <c r="K19" s="73"/>
      <c r="L19" s="72"/>
      <c r="M19" s="73">
        <f>G19+H19+I19+J19</f>
        <v>48</v>
      </c>
      <c r="N19" s="72"/>
      <c r="O19" s="86">
        <f t="shared" ref="O17:O21" si="2">F19*M19</f>
        <v>75.36</v>
      </c>
    </row>
    <row r="20" ht="27" spans="1:15">
      <c r="A20" s="73">
        <v>4</v>
      </c>
      <c r="B20" s="72" t="s">
        <v>178</v>
      </c>
      <c r="C20" s="73" t="s">
        <v>179</v>
      </c>
      <c r="D20" s="73" t="s">
        <v>180</v>
      </c>
      <c r="E20" s="73" t="s">
        <v>96</v>
      </c>
      <c r="F20" s="80">
        <v>1.24</v>
      </c>
      <c r="G20" s="73"/>
      <c r="H20" s="73">
        <v>6</v>
      </c>
      <c r="I20" s="73">
        <v>6</v>
      </c>
      <c r="J20" s="73">
        <f>6*6</f>
        <v>36</v>
      </c>
      <c r="K20" s="73"/>
      <c r="L20" s="72"/>
      <c r="M20" s="73">
        <f>G20+H20+I20+J20</f>
        <v>48</v>
      </c>
      <c r="N20" s="72"/>
      <c r="O20" s="86">
        <f t="shared" si="2"/>
        <v>59.52</v>
      </c>
    </row>
    <row r="21" ht="28" customHeight="1" spans="1:15">
      <c r="A21" s="73">
        <v>5</v>
      </c>
      <c r="B21" s="69" t="s">
        <v>162</v>
      </c>
      <c r="C21" s="69" t="s">
        <v>181</v>
      </c>
      <c r="D21" s="72" t="s">
        <v>182</v>
      </c>
      <c r="E21" s="69" t="s">
        <v>96</v>
      </c>
      <c r="F21" s="77">
        <f>1.45-0.1+(0.9-0.15)*2</f>
        <v>2.85</v>
      </c>
      <c r="G21" s="69"/>
      <c r="H21" s="69">
        <v>6</v>
      </c>
      <c r="I21" s="69">
        <v>6</v>
      </c>
      <c r="J21" s="73">
        <f>6*6</f>
        <v>36</v>
      </c>
      <c r="K21" s="69"/>
      <c r="L21" s="72"/>
      <c r="M21" s="73">
        <f>G21+H21+I21+J21</f>
        <v>48</v>
      </c>
      <c r="N21" s="72"/>
      <c r="O21" s="86">
        <f t="shared" si="2"/>
        <v>136.8</v>
      </c>
    </row>
    <row r="22" spans="1:15">
      <c r="A22" s="73">
        <v>6</v>
      </c>
      <c r="B22" s="72" t="s">
        <v>168</v>
      </c>
      <c r="C22" s="69" t="s">
        <v>183</v>
      </c>
      <c r="D22" s="69"/>
      <c r="E22" s="69" t="s">
        <v>96</v>
      </c>
      <c r="F22" s="77"/>
      <c r="G22" s="69">
        <f>1.917+2.507+2.38</f>
        <v>6.804</v>
      </c>
      <c r="H22" s="69">
        <f>3.012+0.592</f>
        <v>3.604</v>
      </c>
      <c r="I22" s="69">
        <f>3.398+1.387+1.557</f>
        <v>6.342</v>
      </c>
      <c r="J22" s="69">
        <f>(2.764*2)*5</f>
        <v>27.64</v>
      </c>
      <c r="K22" s="69">
        <v>1.35</v>
      </c>
      <c r="L22" s="72"/>
      <c r="M22" s="72">
        <f>G22+H22+I22+J22+K22+L22</f>
        <v>45.74</v>
      </c>
      <c r="N22" s="72">
        <v>3</v>
      </c>
      <c r="O22" s="86">
        <f>M22*N22</f>
        <v>137.22</v>
      </c>
    </row>
    <row r="23" spans="1:15">
      <c r="A23" s="69">
        <v>8</v>
      </c>
      <c r="B23" s="72" t="s">
        <v>170</v>
      </c>
      <c r="C23" s="72"/>
      <c r="D23" s="72" t="s">
        <v>171</v>
      </c>
      <c r="E23" s="69" t="s">
        <v>96</v>
      </c>
      <c r="F23" s="77"/>
      <c r="G23" s="69"/>
      <c r="H23" s="69">
        <v>4.388</v>
      </c>
      <c r="I23" s="69"/>
      <c r="J23" s="69"/>
      <c r="K23" s="69"/>
      <c r="L23" s="72"/>
      <c r="M23" s="72">
        <f>G23+H23+I23+J23+K23+L23</f>
        <v>4.388</v>
      </c>
      <c r="N23" s="72">
        <v>3</v>
      </c>
      <c r="O23" s="86">
        <f>M23*N23</f>
        <v>13.164</v>
      </c>
    </row>
    <row r="24" ht="29" customHeight="1" spans="1:15">
      <c r="A24" s="69">
        <v>9</v>
      </c>
      <c r="B24" s="72" t="s">
        <v>157</v>
      </c>
      <c r="C24" s="72" t="s">
        <v>184</v>
      </c>
      <c r="D24" s="70" t="s">
        <v>185</v>
      </c>
      <c r="E24" s="69" t="s">
        <v>94</v>
      </c>
      <c r="F24" s="77">
        <f>0.97*2.32</f>
        <v>2.2504</v>
      </c>
      <c r="G24" s="69"/>
      <c r="H24" s="69">
        <v>9</v>
      </c>
      <c r="I24" s="69"/>
      <c r="J24" s="69">
        <f>9*5</f>
        <v>45</v>
      </c>
      <c r="K24" s="72"/>
      <c r="L24" s="72"/>
      <c r="M24" s="72">
        <f>G24+H24+I24+J24+K24+L24</f>
        <v>54</v>
      </c>
      <c r="N24" s="72"/>
      <c r="O24" s="86">
        <f>M24*F24</f>
        <v>121.5216</v>
      </c>
    </row>
    <row r="25" ht="29" customHeight="1" spans="1:15">
      <c r="A25" s="69"/>
      <c r="B25" s="72" t="s">
        <v>157</v>
      </c>
      <c r="C25" s="72" t="s">
        <v>186</v>
      </c>
      <c r="D25" s="70" t="s">
        <v>187</v>
      </c>
      <c r="E25" s="69"/>
      <c r="F25" s="77">
        <f>0.97*2.02</f>
        <v>1.9594</v>
      </c>
      <c r="G25" s="69"/>
      <c r="H25" s="69"/>
      <c r="I25" s="69">
        <v>9</v>
      </c>
      <c r="J25" s="69"/>
      <c r="K25" s="72">
        <v>9</v>
      </c>
      <c r="L25" s="72"/>
      <c r="M25" s="72">
        <f>G25+H25+I25+J25+K25+L25</f>
        <v>18</v>
      </c>
      <c r="N25" s="72"/>
      <c r="O25" s="86">
        <f>M25*F25</f>
        <v>35.2692</v>
      </c>
    </row>
    <row r="26" ht="25" customHeight="1" spans="1:15">
      <c r="A26" s="72" t="s">
        <v>188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ht="18" customHeight="1" spans="1:15">
      <c r="A27" s="69" t="s">
        <v>1</v>
      </c>
      <c r="B27" s="81" t="s">
        <v>137</v>
      </c>
      <c r="C27" s="82"/>
      <c r="D27" s="69" t="s">
        <v>51</v>
      </c>
      <c r="E27" s="69" t="s">
        <v>87</v>
      </c>
      <c r="F27" s="69"/>
      <c r="G27" s="72"/>
      <c r="H27" s="69" t="s">
        <v>140</v>
      </c>
      <c r="I27" s="69"/>
      <c r="J27" s="69"/>
      <c r="K27" s="69"/>
      <c r="L27" s="69"/>
      <c r="M27" s="69"/>
      <c r="N27" s="72"/>
      <c r="O27" s="69" t="s">
        <v>141</v>
      </c>
    </row>
    <row r="28" ht="21" customHeight="1" spans="1:15">
      <c r="A28" s="69"/>
      <c r="B28" s="74"/>
      <c r="C28" s="83"/>
      <c r="D28" s="69"/>
      <c r="E28" s="69"/>
      <c r="F28" s="72"/>
      <c r="G28" s="188" t="s">
        <v>173</v>
      </c>
      <c r="H28" s="69" t="s">
        <v>143</v>
      </c>
      <c r="I28" s="69" t="s">
        <v>189</v>
      </c>
      <c r="J28" s="87" t="s">
        <v>190</v>
      </c>
      <c r="K28" s="72"/>
      <c r="L28" s="72"/>
      <c r="M28" s="69" t="s">
        <v>148</v>
      </c>
      <c r="N28" s="72"/>
      <c r="O28" s="69"/>
    </row>
    <row r="29" ht="21" customHeight="1" spans="1:15">
      <c r="A29" s="73">
        <v>1</v>
      </c>
      <c r="B29" s="73" t="s">
        <v>151</v>
      </c>
      <c r="C29" s="73" t="s">
        <v>175</v>
      </c>
      <c r="D29" s="70" t="s">
        <v>153</v>
      </c>
      <c r="E29" s="73" t="s">
        <v>96</v>
      </c>
      <c r="F29" s="80">
        <f>1.8-0.03</f>
        <v>1.77</v>
      </c>
      <c r="G29" s="73"/>
      <c r="H29" s="73">
        <v>6</v>
      </c>
      <c r="I29" s="73">
        <v>6</v>
      </c>
      <c r="J29" s="73">
        <f t="shared" ref="J29:J33" si="3">6*6</f>
        <v>36</v>
      </c>
      <c r="K29" s="73"/>
      <c r="L29" s="72"/>
      <c r="M29" s="73">
        <f t="shared" ref="M29:M33" si="4">G29+H29+I29+J29</f>
        <v>48</v>
      </c>
      <c r="N29" s="72"/>
      <c r="O29" s="86">
        <f t="shared" ref="O29:O33" si="5">F29*M29</f>
        <v>84.96</v>
      </c>
    </row>
    <row r="30" ht="21" customHeight="1" spans="1:15">
      <c r="A30" s="73">
        <v>2</v>
      </c>
      <c r="B30" s="73" t="s">
        <v>154</v>
      </c>
      <c r="C30" s="73" t="s">
        <v>176</v>
      </c>
      <c r="D30" s="73" t="s">
        <v>156</v>
      </c>
      <c r="E30" s="73" t="s">
        <v>96</v>
      </c>
      <c r="F30" s="80">
        <f>5-0.03</f>
        <v>4.97</v>
      </c>
      <c r="G30" s="73"/>
      <c r="H30" s="73">
        <v>6</v>
      </c>
      <c r="I30" s="73">
        <v>6</v>
      </c>
      <c r="J30" s="73">
        <f t="shared" si="3"/>
        <v>36</v>
      </c>
      <c r="K30" s="73"/>
      <c r="L30" s="72"/>
      <c r="M30" s="73">
        <f t="shared" si="4"/>
        <v>48</v>
      </c>
      <c r="N30" s="72"/>
      <c r="O30" s="86">
        <f t="shared" si="5"/>
        <v>238.56</v>
      </c>
    </row>
    <row r="31" ht="34" customHeight="1" spans="1:15">
      <c r="A31" s="73">
        <v>3</v>
      </c>
      <c r="B31" s="73" t="s">
        <v>154</v>
      </c>
      <c r="C31" s="73" t="s">
        <v>177</v>
      </c>
      <c r="D31" s="73" t="s">
        <v>166</v>
      </c>
      <c r="E31" s="73" t="s">
        <v>96</v>
      </c>
      <c r="F31" s="80">
        <f>1.6-0.03</f>
        <v>1.57</v>
      </c>
      <c r="G31" s="73"/>
      <c r="H31" s="73">
        <v>6</v>
      </c>
      <c r="I31" s="73">
        <v>6</v>
      </c>
      <c r="J31" s="73">
        <f t="shared" si="3"/>
        <v>36</v>
      </c>
      <c r="K31" s="73"/>
      <c r="L31" s="72"/>
      <c r="M31" s="73">
        <f t="shared" si="4"/>
        <v>48</v>
      </c>
      <c r="N31" s="72"/>
      <c r="O31" s="86">
        <f t="shared" si="5"/>
        <v>75.36</v>
      </c>
    </row>
    <row r="32" ht="31" customHeight="1" spans="1:15">
      <c r="A32" s="73">
        <v>4</v>
      </c>
      <c r="B32" s="72" t="s">
        <v>178</v>
      </c>
      <c r="C32" s="73" t="s">
        <v>179</v>
      </c>
      <c r="D32" s="73" t="s">
        <v>180</v>
      </c>
      <c r="E32" s="73" t="s">
        <v>96</v>
      </c>
      <c r="F32" s="80">
        <v>1.24</v>
      </c>
      <c r="G32" s="73"/>
      <c r="H32" s="73">
        <v>6</v>
      </c>
      <c r="I32" s="73">
        <v>6</v>
      </c>
      <c r="J32" s="73">
        <f t="shared" si="3"/>
        <v>36</v>
      </c>
      <c r="K32" s="73"/>
      <c r="L32" s="72"/>
      <c r="M32" s="73">
        <f t="shared" si="4"/>
        <v>48</v>
      </c>
      <c r="N32" s="72"/>
      <c r="O32" s="86">
        <f t="shared" si="5"/>
        <v>59.52</v>
      </c>
    </row>
    <row r="33" ht="27" customHeight="1" spans="1:15">
      <c r="A33" s="73">
        <v>5</v>
      </c>
      <c r="B33" s="69" t="s">
        <v>162</v>
      </c>
      <c r="C33" s="69" t="s">
        <v>181</v>
      </c>
      <c r="D33" s="72" t="s">
        <v>182</v>
      </c>
      <c r="E33" s="69" t="s">
        <v>96</v>
      </c>
      <c r="F33" s="77">
        <f>1.45-0.1+(0.9-0.15)*2</f>
        <v>2.85</v>
      </c>
      <c r="G33" s="69"/>
      <c r="H33" s="69">
        <v>6</v>
      </c>
      <c r="I33" s="69">
        <v>6</v>
      </c>
      <c r="J33" s="73">
        <f t="shared" si="3"/>
        <v>36</v>
      </c>
      <c r="K33" s="69"/>
      <c r="L33" s="72"/>
      <c r="M33" s="73">
        <f t="shared" si="4"/>
        <v>48</v>
      </c>
      <c r="N33" s="72"/>
      <c r="O33" s="86">
        <f t="shared" si="5"/>
        <v>136.8</v>
      </c>
    </row>
    <row r="34" ht="33" customHeight="1" spans="1:15">
      <c r="A34" s="73">
        <v>6</v>
      </c>
      <c r="B34" s="72" t="s">
        <v>168</v>
      </c>
      <c r="C34" s="69" t="s">
        <v>183</v>
      </c>
      <c r="D34" s="69"/>
      <c r="E34" s="69" t="s">
        <v>96</v>
      </c>
      <c r="F34" s="77"/>
      <c r="G34" s="69">
        <f>1.917+2.507+2.38</f>
        <v>6.804</v>
      </c>
      <c r="H34" s="69">
        <f>3.012+0.592</f>
        <v>3.604</v>
      </c>
      <c r="I34" s="69">
        <f>3.398+1.387+1.557</f>
        <v>6.342</v>
      </c>
      <c r="J34" s="69">
        <f>(2.764*2)*5</f>
        <v>27.64</v>
      </c>
      <c r="K34" s="69">
        <v>1.35</v>
      </c>
      <c r="L34" s="72"/>
      <c r="M34" s="72">
        <f t="shared" ref="M34:M37" si="6">G34+H34+I34+J34+K34+L34</f>
        <v>45.74</v>
      </c>
      <c r="N34" s="72">
        <v>3</v>
      </c>
      <c r="O34" s="86">
        <f>M34*N34</f>
        <v>137.22</v>
      </c>
    </row>
    <row r="35" ht="28" customHeight="1" spans="1:15">
      <c r="A35" s="73">
        <v>8</v>
      </c>
      <c r="B35" s="72" t="s">
        <v>170</v>
      </c>
      <c r="C35" s="72"/>
      <c r="D35" s="72" t="s">
        <v>171</v>
      </c>
      <c r="E35" s="69" t="s">
        <v>96</v>
      </c>
      <c r="F35" s="77"/>
      <c r="G35" s="69"/>
      <c r="H35" s="69">
        <v>4.388</v>
      </c>
      <c r="I35" s="69"/>
      <c r="J35" s="69"/>
      <c r="K35" s="69"/>
      <c r="L35" s="72"/>
      <c r="M35" s="72">
        <f t="shared" si="6"/>
        <v>4.388</v>
      </c>
      <c r="N35" s="72">
        <v>3</v>
      </c>
      <c r="O35" s="86">
        <f>M35*N35</f>
        <v>13.164</v>
      </c>
    </row>
    <row r="36" ht="28" customHeight="1" spans="1:15">
      <c r="A36" s="69">
        <v>9</v>
      </c>
      <c r="B36" s="70" t="s">
        <v>157</v>
      </c>
      <c r="C36" s="72" t="s">
        <v>184</v>
      </c>
      <c r="D36" s="70" t="s">
        <v>185</v>
      </c>
      <c r="E36" s="69" t="s">
        <v>94</v>
      </c>
      <c r="F36" s="77">
        <f>0.97*2.32</f>
        <v>2.2504</v>
      </c>
      <c r="G36" s="69"/>
      <c r="H36" s="69">
        <v>9</v>
      </c>
      <c r="I36" s="69"/>
      <c r="J36" s="69">
        <f>9*5</f>
        <v>45</v>
      </c>
      <c r="K36" s="72"/>
      <c r="L36" s="72"/>
      <c r="M36" s="72">
        <f t="shared" si="6"/>
        <v>54</v>
      </c>
      <c r="N36" s="72"/>
      <c r="O36" s="86">
        <f>M36*F36</f>
        <v>121.5216</v>
      </c>
    </row>
    <row r="37" ht="28" customHeight="1" spans="1:15">
      <c r="A37" s="69"/>
      <c r="B37" s="70" t="s">
        <v>157</v>
      </c>
      <c r="C37" s="72" t="s">
        <v>186</v>
      </c>
      <c r="D37" s="70" t="s">
        <v>187</v>
      </c>
      <c r="E37" s="69" t="s">
        <v>94</v>
      </c>
      <c r="F37" s="77">
        <f>0.97*2.02</f>
        <v>1.9594</v>
      </c>
      <c r="G37" s="69"/>
      <c r="H37" s="69"/>
      <c r="I37" s="69">
        <v>9</v>
      </c>
      <c r="J37" s="69"/>
      <c r="K37" s="72">
        <v>9</v>
      </c>
      <c r="L37" s="72"/>
      <c r="M37" s="72">
        <f t="shared" si="6"/>
        <v>18</v>
      </c>
      <c r="N37" s="72"/>
      <c r="O37" s="86">
        <f>M37*F37</f>
        <v>35.2692</v>
      </c>
    </row>
    <row r="38" ht="24.95" customHeight="1" spans="1:15">
      <c r="A38" s="72" t="s">
        <v>191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5">
      <c r="A39" s="69" t="s">
        <v>1</v>
      </c>
      <c r="B39" s="69" t="s">
        <v>137</v>
      </c>
      <c r="C39" s="69" t="s">
        <v>2</v>
      </c>
      <c r="D39" s="69" t="s">
        <v>138</v>
      </c>
      <c r="E39" s="69" t="s">
        <v>191</v>
      </c>
      <c r="F39" s="69"/>
      <c r="G39" s="69"/>
      <c r="H39" s="69"/>
      <c r="I39" s="69"/>
      <c r="J39" s="69"/>
      <c r="K39" s="69"/>
      <c r="L39" s="69"/>
      <c r="M39" s="69"/>
      <c r="N39" s="69"/>
      <c r="O39" s="72"/>
    </row>
    <row r="40" spans="1:15">
      <c r="A40" s="69"/>
      <c r="B40" s="69"/>
      <c r="C40" s="69"/>
      <c r="D40" s="69"/>
      <c r="E40" s="69" t="s">
        <v>87</v>
      </c>
      <c r="F40" s="69"/>
      <c r="G40" s="69" t="s">
        <v>192</v>
      </c>
      <c r="H40" s="72" t="s">
        <v>193</v>
      </c>
      <c r="I40" s="72" t="s">
        <v>194</v>
      </c>
      <c r="J40" s="72" t="s">
        <v>195</v>
      </c>
      <c r="K40" s="72" t="s">
        <v>196</v>
      </c>
      <c r="L40" s="72" t="s">
        <v>197</v>
      </c>
      <c r="M40" s="72"/>
      <c r="N40" s="72"/>
      <c r="O40" s="72" t="s">
        <v>132</v>
      </c>
    </row>
    <row r="41" spans="1:15">
      <c r="A41" s="69">
        <v>1</v>
      </c>
      <c r="B41" s="69" t="s">
        <v>151</v>
      </c>
      <c r="C41" s="72" t="s">
        <v>152</v>
      </c>
      <c r="D41" s="70" t="s">
        <v>153</v>
      </c>
      <c r="E41" s="69" t="s">
        <v>96</v>
      </c>
      <c r="F41" s="77">
        <f>2-0.03</f>
        <v>1.97</v>
      </c>
      <c r="G41" s="69"/>
      <c r="H41" s="72">
        <v>4</v>
      </c>
      <c r="I41" s="72">
        <v>4</v>
      </c>
      <c r="J41" s="72">
        <v>4</v>
      </c>
      <c r="K41" s="72">
        <f t="shared" ref="K41:K45" si="7">4*4</f>
        <v>16</v>
      </c>
      <c r="L41" s="72">
        <v>4</v>
      </c>
      <c r="M41" s="72">
        <f t="shared" ref="M41:M47" si="8">H41+I41+J41+K41+L41</f>
        <v>32</v>
      </c>
      <c r="N41" s="72"/>
      <c r="O41" s="86">
        <f t="shared" ref="O41:O47" si="9">M41*F41</f>
        <v>63.04</v>
      </c>
    </row>
    <row r="42" spans="1:15">
      <c r="A42" s="69">
        <v>2</v>
      </c>
      <c r="B42" s="72" t="s">
        <v>154</v>
      </c>
      <c r="C42" s="72" t="s">
        <v>155</v>
      </c>
      <c r="D42" s="73" t="s">
        <v>156</v>
      </c>
      <c r="E42" s="69" t="s">
        <v>96</v>
      </c>
      <c r="F42" s="77">
        <f>5.35-0.03</f>
        <v>5.32</v>
      </c>
      <c r="G42" s="69"/>
      <c r="H42" s="72">
        <v>4</v>
      </c>
      <c r="I42" s="72">
        <v>4</v>
      </c>
      <c r="J42" s="72">
        <v>4</v>
      </c>
      <c r="K42" s="72">
        <f t="shared" si="7"/>
        <v>16</v>
      </c>
      <c r="L42" s="72">
        <v>4</v>
      </c>
      <c r="M42" s="72">
        <f t="shared" si="8"/>
        <v>32</v>
      </c>
      <c r="N42" s="72"/>
      <c r="O42" s="86">
        <f t="shared" si="9"/>
        <v>170.24</v>
      </c>
    </row>
    <row r="43" spans="1:15">
      <c r="A43" s="69">
        <v>3</v>
      </c>
      <c r="B43" s="72" t="s">
        <v>157</v>
      </c>
      <c r="C43" s="72" t="s">
        <v>158</v>
      </c>
      <c r="D43" s="70" t="s">
        <v>159</v>
      </c>
      <c r="E43" s="69" t="s">
        <v>94</v>
      </c>
      <c r="F43" s="77">
        <f>0.97*2.27</f>
        <v>2.2019</v>
      </c>
      <c r="G43" s="69"/>
      <c r="H43" s="72">
        <v>6</v>
      </c>
      <c r="I43" s="72"/>
      <c r="J43" s="72">
        <v>6</v>
      </c>
      <c r="K43" s="72">
        <f>6*4</f>
        <v>24</v>
      </c>
      <c r="L43" s="72"/>
      <c r="M43" s="72">
        <f t="shared" si="8"/>
        <v>36</v>
      </c>
      <c r="N43" s="72"/>
      <c r="O43" s="86">
        <f t="shared" si="9"/>
        <v>79.2684</v>
      </c>
    </row>
    <row r="44" spans="1:15">
      <c r="A44" s="69">
        <v>4</v>
      </c>
      <c r="B44" s="72" t="s">
        <v>157</v>
      </c>
      <c r="C44" s="72" t="s">
        <v>160</v>
      </c>
      <c r="D44" s="70" t="s">
        <v>161</v>
      </c>
      <c r="E44" s="69" t="s">
        <v>94</v>
      </c>
      <c r="F44" s="78">
        <f>0.97*1.97</f>
        <v>1.9109</v>
      </c>
      <c r="G44" s="69"/>
      <c r="H44" s="72"/>
      <c r="I44" s="72">
        <v>6</v>
      </c>
      <c r="J44" s="72"/>
      <c r="K44" s="72"/>
      <c r="L44" s="72">
        <v>6</v>
      </c>
      <c r="M44" s="72">
        <f t="shared" si="8"/>
        <v>12</v>
      </c>
      <c r="N44" s="72"/>
      <c r="O44" s="86">
        <f t="shared" si="9"/>
        <v>22.9308</v>
      </c>
    </row>
    <row r="45" spans="1:15">
      <c r="A45" s="69">
        <v>5</v>
      </c>
      <c r="B45" s="69" t="s">
        <v>162</v>
      </c>
      <c r="C45" s="72" t="s">
        <v>163</v>
      </c>
      <c r="D45" s="72" t="s">
        <v>164</v>
      </c>
      <c r="E45" s="69" t="s">
        <v>96</v>
      </c>
      <c r="F45" s="77">
        <f>1.5-0.1+(0.7-0.15)*2</f>
        <v>2.5</v>
      </c>
      <c r="G45" s="69"/>
      <c r="H45" s="72">
        <v>4</v>
      </c>
      <c r="I45" s="72">
        <v>4</v>
      </c>
      <c r="J45" s="72">
        <v>4</v>
      </c>
      <c r="K45" s="72">
        <f t="shared" si="7"/>
        <v>16</v>
      </c>
      <c r="L45" s="72">
        <f>4</f>
        <v>4</v>
      </c>
      <c r="M45" s="72">
        <f t="shared" si="8"/>
        <v>32</v>
      </c>
      <c r="N45" s="72"/>
      <c r="O45" s="86">
        <f t="shared" si="9"/>
        <v>80</v>
      </c>
    </row>
    <row r="46" spans="1:15">
      <c r="A46" s="69">
        <v>6</v>
      </c>
      <c r="B46" s="72" t="s">
        <v>154</v>
      </c>
      <c r="C46" s="72" t="s">
        <v>165</v>
      </c>
      <c r="D46" s="73" t="s">
        <v>166</v>
      </c>
      <c r="E46" s="69" t="s">
        <v>96</v>
      </c>
      <c r="F46" s="78">
        <f>2.5-0.03</f>
        <v>2.47</v>
      </c>
      <c r="G46" s="69"/>
      <c r="H46" s="72">
        <f>2</f>
        <v>2</v>
      </c>
      <c r="I46" s="72">
        <f>2</f>
        <v>2</v>
      </c>
      <c r="J46" s="72"/>
      <c r="K46" s="72"/>
      <c r="L46" s="72"/>
      <c r="M46" s="72">
        <f t="shared" si="8"/>
        <v>4</v>
      </c>
      <c r="N46" s="72"/>
      <c r="O46" s="86">
        <f t="shared" si="9"/>
        <v>9.88</v>
      </c>
    </row>
    <row r="47" spans="1:15">
      <c r="A47" s="69">
        <v>7</v>
      </c>
      <c r="B47" s="72" t="s">
        <v>154</v>
      </c>
      <c r="C47" s="72" t="s">
        <v>167</v>
      </c>
      <c r="D47" s="73" t="s">
        <v>166</v>
      </c>
      <c r="E47" s="69" t="s">
        <v>96</v>
      </c>
      <c r="F47" s="77">
        <f>2.7-0.15+1.3-0.15</f>
        <v>3.7</v>
      </c>
      <c r="G47" s="69"/>
      <c r="H47" s="72">
        <f>2</f>
        <v>2</v>
      </c>
      <c r="I47" s="72">
        <f>2</f>
        <v>2</v>
      </c>
      <c r="J47" s="72">
        <f>4</f>
        <v>4</v>
      </c>
      <c r="K47" s="72">
        <f>4*5</f>
        <v>20</v>
      </c>
      <c r="L47" s="72">
        <v>4</v>
      </c>
      <c r="M47" s="72">
        <f t="shared" si="8"/>
        <v>32</v>
      </c>
      <c r="N47" s="72"/>
      <c r="O47" s="86">
        <f t="shared" si="9"/>
        <v>118.4</v>
      </c>
    </row>
    <row r="48" spans="1:15">
      <c r="A48" s="69">
        <v>8</v>
      </c>
      <c r="B48" s="72" t="s">
        <v>168</v>
      </c>
      <c r="C48" s="69"/>
      <c r="D48" s="72" t="s">
        <v>169</v>
      </c>
      <c r="E48" s="69" t="s">
        <v>96</v>
      </c>
      <c r="F48" s="69"/>
      <c r="G48" s="79">
        <f>5.276</f>
        <v>5.276</v>
      </c>
      <c r="H48" s="72">
        <f>2.118+0.32</f>
        <v>2.438</v>
      </c>
      <c r="I48" s="72">
        <f>2.518+2.518</f>
        <v>5.036</v>
      </c>
      <c r="J48" s="72">
        <f>2.53+2.53</f>
        <v>5.06</v>
      </c>
      <c r="K48" s="72">
        <f>(2.53+2.53)*5</f>
        <v>25.3</v>
      </c>
      <c r="L48" s="72">
        <f>1.35</f>
        <v>1.35</v>
      </c>
      <c r="M48" s="72">
        <f>G48+H48+I48+J48+K48+L48</f>
        <v>44.46</v>
      </c>
      <c r="N48" s="72">
        <v>2</v>
      </c>
      <c r="O48" s="86">
        <f>M48*N48</f>
        <v>88.92</v>
      </c>
    </row>
    <row r="49" spans="1:15">
      <c r="A49" s="69">
        <v>9</v>
      </c>
      <c r="B49" s="72" t="s">
        <v>170</v>
      </c>
      <c r="C49" s="72"/>
      <c r="D49" s="72" t="s">
        <v>171</v>
      </c>
      <c r="E49" s="69" t="s">
        <v>96</v>
      </c>
      <c r="F49" s="69"/>
      <c r="G49" s="69"/>
      <c r="H49" s="72">
        <f>2.573</f>
        <v>2.573</v>
      </c>
      <c r="I49" s="72"/>
      <c r="J49" s="72"/>
      <c r="K49" s="72"/>
      <c r="L49" s="72"/>
      <c r="M49" s="72">
        <f>G49+H49+I49+J49+K49+L49</f>
        <v>2.573</v>
      </c>
      <c r="N49" s="72">
        <v>2</v>
      </c>
      <c r="O49" s="86">
        <f>M49*N49</f>
        <v>5.146</v>
      </c>
    </row>
    <row r="50" ht="24.95" customHeight="1" spans="1:15">
      <c r="A50" s="72" t="s">
        <v>198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</row>
    <row r="51" spans="1:14">
      <c r="A51" s="73" t="s">
        <v>1</v>
      </c>
      <c r="B51" s="73" t="s">
        <v>137</v>
      </c>
      <c r="C51" s="73" t="s">
        <v>2</v>
      </c>
      <c r="D51" s="73" t="s">
        <v>138</v>
      </c>
      <c r="E51" s="73" t="s">
        <v>198</v>
      </c>
      <c r="F51" s="73"/>
      <c r="G51" s="73"/>
      <c r="H51" s="73"/>
      <c r="I51" s="73"/>
      <c r="J51" s="73"/>
      <c r="K51" s="73"/>
      <c r="L51" s="73"/>
      <c r="M51" s="73"/>
      <c r="N51" s="73"/>
    </row>
    <row r="52" ht="18" customHeight="1" spans="1:15">
      <c r="A52" s="69"/>
      <c r="B52" s="69"/>
      <c r="C52" s="69"/>
      <c r="D52" s="69"/>
      <c r="E52" s="69" t="s">
        <v>87</v>
      </c>
      <c r="F52" s="69"/>
      <c r="G52" s="69" t="s">
        <v>192</v>
      </c>
      <c r="H52" s="72" t="s">
        <v>193</v>
      </c>
      <c r="I52" s="72" t="s">
        <v>194</v>
      </c>
      <c r="J52" s="72" t="s">
        <v>195</v>
      </c>
      <c r="K52" s="72" t="s">
        <v>199</v>
      </c>
      <c r="L52" s="72" t="s">
        <v>200</v>
      </c>
      <c r="M52" s="72"/>
      <c r="N52" s="72"/>
      <c r="O52" s="72" t="s">
        <v>132</v>
      </c>
    </row>
    <row r="53" spans="1:15">
      <c r="A53" s="69">
        <v>1</v>
      </c>
      <c r="B53" s="69" t="s">
        <v>151</v>
      </c>
      <c r="C53" s="72" t="s">
        <v>152</v>
      </c>
      <c r="D53" s="70" t="s">
        <v>153</v>
      </c>
      <c r="E53" s="69" t="s">
        <v>96</v>
      </c>
      <c r="F53" s="77">
        <f>2-0.03</f>
        <v>1.97</v>
      </c>
      <c r="G53" s="69"/>
      <c r="H53" s="72">
        <v>4</v>
      </c>
      <c r="I53" s="72">
        <v>4</v>
      </c>
      <c r="J53" s="72">
        <v>4</v>
      </c>
      <c r="K53" s="72">
        <f t="shared" ref="K53:K57" si="10">4*5</f>
        <v>20</v>
      </c>
      <c r="L53" s="72">
        <v>4</v>
      </c>
      <c r="M53" s="72">
        <f t="shared" ref="M53:M59" si="11">H53+I53+J53+K53+L53</f>
        <v>36</v>
      </c>
      <c r="N53" s="72"/>
      <c r="O53" s="86">
        <f t="shared" ref="O53:O59" si="12">M53*F53</f>
        <v>70.92</v>
      </c>
    </row>
    <row r="54" spans="1:15">
      <c r="A54" s="69">
        <v>2</v>
      </c>
      <c r="B54" s="72" t="s">
        <v>154</v>
      </c>
      <c r="C54" s="72" t="s">
        <v>155</v>
      </c>
      <c r="D54" s="73" t="s">
        <v>156</v>
      </c>
      <c r="E54" s="69" t="s">
        <v>96</v>
      </c>
      <c r="F54" s="77">
        <f>5.35-0.03</f>
        <v>5.32</v>
      </c>
      <c r="G54" s="69"/>
      <c r="H54" s="72">
        <v>4</v>
      </c>
      <c r="I54" s="72">
        <v>4</v>
      </c>
      <c r="J54" s="72">
        <v>4</v>
      </c>
      <c r="K54" s="72">
        <f t="shared" si="10"/>
        <v>20</v>
      </c>
      <c r="L54" s="72">
        <v>4</v>
      </c>
      <c r="M54" s="72">
        <f t="shared" si="11"/>
        <v>36</v>
      </c>
      <c r="N54" s="72"/>
      <c r="O54" s="86">
        <f t="shared" si="12"/>
        <v>191.52</v>
      </c>
    </row>
    <row r="55" spans="1:15">
      <c r="A55" s="69">
        <v>3</v>
      </c>
      <c r="B55" s="72" t="s">
        <v>157</v>
      </c>
      <c r="C55" s="72" t="s">
        <v>158</v>
      </c>
      <c r="D55" s="70" t="s">
        <v>159</v>
      </c>
      <c r="E55" s="69" t="s">
        <v>94</v>
      </c>
      <c r="F55" s="77">
        <f>0.97*2.27</f>
        <v>2.2019</v>
      </c>
      <c r="G55" s="69">
        <v>6</v>
      </c>
      <c r="H55" s="72">
        <v>6</v>
      </c>
      <c r="I55" s="72"/>
      <c r="J55" s="72">
        <v>6</v>
      </c>
      <c r="K55" s="72">
        <f>6*5</f>
        <v>30</v>
      </c>
      <c r="L55" s="72"/>
      <c r="M55" s="72">
        <f t="shared" si="11"/>
        <v>42</v>
      </c>
      <c r="N55" s="72"/>
      <c r="O55" s="86">
        <f t="shared" si="12"/>
        <v>92.4798</v>
      </c>
    </row>
    <row r="56" spans="1:15">
      <c r="A56" s="69">
        <v>4</v>
      </c>
      <c r="B56" s="72" t="s">
        <v>157</v>
      </c>
      <c r="C56" s="72" t="s">
        <v>160</v>
      </c>
      <c r="D56" s="70" t="s">
        <v>161</v>
      </c>
      <c r="E56" s="69" t="s">
        <v>94</v>
      </c>
      <c r="F56" s="78">
        <f>0.97*1.97</f>
        <v>1.9109</v>
      </c>
      <c r="G56" s="69"/>
      <c r="H56" s="72"/>
      <c r="I56" s="72">
        <v>6</v>
      </c>
      <c r="J56" s="72"/>
      <c r="K56" s="72"/>
      <c r="L56" s="72">
        <v>6</v>
      </c>
      <c r="M56" s="72">
        <f t="shared" si="11"/>
        <v>12</v>
      </c>
      <c r="N56" s="72"/>
      <c r="O56" s="86">
        <f t="shared" si="12"/>
        <v>22.9308</v>
      </c>
    </row>
    <row r="57" spans="1:15">
      <c r="A57" s="69">
        <v>5</v>
      </c>
      <c r="B57" s="69" t="s">
        <v>162</v>
      </c>
      <c r="C57" s="72" t="s">
        <v>163</v>
      </c>
      <c r="D57" s="72" t="s">
        <v>164</v>
      </c>
      <c r="E57" s="69" t="s">
        <v>96</v>
      </c>
      <c r="F57" s="77">
        <f>1.5-0.1+(0.7-0.15)*2</f>
        <v>2.5</v>
      </c>
      <c r="G57" s="69"/>
      <c r="H57" s="72">
        <v>4</v>
      </c>
      <c r="I57" s="72">
        <v>4</v>
      </c>
      <c r="J57" s="72">
        <v>4</v>
      </c>
      <c r="K57" s="72">
        <f t="shared" si="10"/>
        <v>20</v>
      </c>
      <c r="L57" s="72">
        <f>4</f>
        <v>4</v>
      </c>
      <c r="M57" s="72">
        <f t="shared" si="11"/>
        <v>36</v>
      </c>
      <c r="N57" s="72"/>
      <c r="O57" s="86">
        <f t="shared" si="12"/>
        <v>90</v>
      </c>
    </row>
    <row r="58" spans="1:15">
      <c r="A58" s="69">
        <v>6</v>
      </c>
      <c r="B58" s="72" t="s">
        <v>154</v>
      </c>
      <c r="C58" s="72" t="s">
        <v>165</v>
      </c>
      <c r="D58" s="73" t="s">
        <v>166</v>
      </c>
      <c r="E58" s="69" t="s">
        <v>96</v>
      </c>
      <c r="F58" s="78">
        <f>2.5-0.03</f>
        <v>2.47</v>
      </c>
      <c r="G58" s="69"/>
      <c r="H58" s="72">
        <f>2</f>
        <v>2</v>
      </c>
      <c r="I58" s="72">
        <f>2</f>
        <v>2</v>
      </c>
      <c r="J58" s="72"/>
      <c r="K58" s="72"/>
      <c r="L58" s="72"/>
      <c r="M58" s="72">
        <f t="shared" si="11"/>
        <v>4</v>
      </c>
      <c r="N58" s="72"/>
      <c r="O58" s="86">
        <f t="shared" si="12"/>
        <v>9.88</v>
      </c>
    </row>
    <row r="59" spans="1:15">
      <c r="A59" s="69">
        <v>7</v>
      </c>
      <c r="B59" s="72" t="s">
        <v>154</v>
      </c>
      <c r="C59" s="72" t="s">
        <v>167</v>
      </c>
      <c r="D59" s="73" t="s">
        <v>166</v>
      </c>
      <c r="E59" s="69" t="s">
        <v>96</v>
      </c>
      <c r="F59" s="77">
        <f>2.7-0.15+1.3-0.15</f>
        <v>3.7</v>
      </c>
      <c r="G59" s="69"/>
      <c r="H59" s="72">
        <f>2</f>
        <v>2</v>
      </c>
      <c r="I59" s="72">
        <f>2</f>
        <v>2</v>
      </c>
      <c r="J59" s="72">
        <f>4</f>
        <v>4</v>
      </c>
      <c r="K59" s="72">
        <f>4*5</f>
        <v>20</v>
      </c>
      <c r="L59" s="72">
        <v>4</v>
      </c>
      <c r="M59" s="72">
        <f t="shared" si="11"/>
        <v>32</v>
      </c>
      <c r="N59" s="72"/>
      <c r="O59" s="86">
        <f t="shared" si="12"/>
        <v>118.4</v>
      </c>
    </row>
    <row r="60" spans="1:15">
      <c r="A60" s="69">
        <v>8</v>
      </c>
      <c r="B60" s="72" t="s">
        <v>168</v>
      </c>
      <c r="C60" s="69"/>
      <c r="D60" s="72" t="s">
        <v>169</v>
      </c>
      <c r="E60" s="69" t="s">
        <v>96</v>
      </c>
      <c r="F60" s="69"/>
      <c r="G60" s="79">
        <f>1.63+2.253+2.253+2.013+3.56</f>
        <v>11.709</v>
      </c>
      <c r="H60" s="72">
        <f>2.177+0.32</f>
        <v>2.497</v>
      </c>
      <c r="I60" s="72">
        <f>2.518+2.518</f>
        <v>5.036</v>
      </c>
      <c r="J60" s="72">
        <f>2.518+2.518</f>
        <v>5.036</v>
      </c>
      <c r="K60" s="72">
        <f>(2.518+2.518)*5</f>
        <v>25.18</v>
      </c>
      <c r="L60" s="72">
        <f>1.35</f>
        <v>1.35</v>
      </c>
      <c r="M60" s="72">
        <f>G60+H60+I60+J60+K60+L60</f>
        <v>50.808</v>
      </c>
      <c r="N60" s="72">
        <v>2</v>
      </c>
      <c r="O60" s="86">
        <f>M60*N60</f>
        <v>101.616</v>
      </c>
    </row>
    <row r="61" spans="1:15">
      <c r="A61" s="69">
        <v>9</v>
      </c>
      <c r="B61" s="72" t="s">
        <v>170</v>
      </c>
      <c r="C61" s="72"/>
      <c r="D61" s="72" t="s">
        <v>171</v>
      </c>
      <c r="E61" s="69" t="s">
        <v>96</v>
      </c>
      <c r="F61" s="69"/>
      <c r="G61" s="69"/>
      <c r="H61" s="72">
        <f>2.59</f>
        <v>2.59</v>
      </c>
      <c r="I61" s="72"/>
      <c r="J61" s="72"/>
      <c r="K61" s="72"/>
      <c r="L61" s="72"/>
      <c r="M61" s="72">
        <f>G61+H61+I61+J61+K61+L61</f>
        <v>2.59</v>
      </c>
      <c r="N61" s="72">
        <v>2</v>
      </c>
      <c r="O61" s="86">
        <f>M61*N61</f>
        <v>5.18</v>
      </c>
    </row>
    <row r="62" ht="23.1" customHeight="1" spans="1:6">
      <c r="A62" s="84" t="s">
        <v>201</v>
      </c>
      <c r="B62" s="66"/>
      <c r="C62" s="66"/>
      <c r="D62" s="66"/>
      <c r="E62" s="66"/>
      <c r="F62" s="66"/>
    </row>
    <row r="63" spans="1:15">
      <c r="A63" s="69" t="s">
        <v>1</v>
      </c>
      <c r="B63" s="69" t="s">
        <v>137</v>
      </c>
      <c r="C63" s="69"/>
      <c r="D63" s="69" t="s">
        <v>51</v>
      </c>
      <c r="E63" s="69" t="s">
        <v>87</v>
      </c>
      <c r="F63" s="69"/>
      <c r="G63" s="69"/>
      <c r="H63" s="69" t="s">
        <v>140</v>
      </c>
      <c r="I63" s="69"/>
      <c r="J63" s="69"/>
      <c r="K63" s="69"/>
      <c r="L63" s="69"/>
      <c r="M63" s="69"/>
      <c r="N63" s="72"/>
      <c r="O63" s="85" t="s">
        <v>141</v>
      </c>
    </row>
    <row r="64" spans="1:15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87"/>
      <c r="L64" s="72"/>
      <c r="M64" s="69" t="s">
        <v>148</v>
      </c>
      <c r="N64" s="72"/>
      <c r="O64" s="85"/>
    </row>
    <row r="65" spans="1:15">
      <c r="A65" s="69">
        <v>1</v>
      </c>
      <c r="B65" s="69" t="s">
        <v>151</v>
      </c>
      <c r="C65" s="69" t="s">
        <v>175</v>
      </c>
      <c r="D65" s="70" t="s">
        <v>153</v>
      </c>
      <c r="E65" s="69" t="s">
        <v>96</v>
      </c>
      <c r="F65" s="77">
        <f>1.97</f>
        <v>1.97</v>
      </c>
      <c r="H65" s="69"/>
      <c r="I65" s="69">
        <v>4</v>
      </c>
      <c r="J65" s="69"/>
      <c r="K65" s="69"/>
      <c r="L65" s="69"/>
      <c r="M65" s="69">
        <f t="shared" ref="M65:M69" si="13">I65*9</f>
        <v>36</v>
      </c>
      <c r="N65" s="72"/>
      <c r="O65" s="100">
        <f t="shared" ref="O65:O69" si="14">F65*M65</f>
        <v>70.92</v>
      </c>
    </row>
    <row r="66" spans="1:15">
      <c r="A66" s="69"/>
      <c r="B66" s="69" t="s">
        <v>151</v>
      </c>
      <c r="C66" s="69" t="s">
        <v>175</v>
      </c>
      <c r="D66" s="70" t="s">
        <v>153</v>
      </c>
      <c r="E66" s="69" t="s">
        <v>96</v>
      </c>
      <c r="F66" s="77">
        <f>1.5-0.03</f>
        <v>1.47</v>
      </c>
      <c r="H66" s="69"/>
      <c r="I66" s="69">
        <v>4</v>
      </c>
      <c r="J66" s="69"/>
      <c r="K66" s="69"/>
      <c r="L66" s="69"/>
      <c r="M66" s="69">
        <f t="shared" si="13"/>
        <v>36</v>
      </c>
      <c r="N66" s="72"/>
      <c r="O66" s="100">
        <f t="shared" si="14"/>
        <v>52.92</v>
      </c>
    </row>
    <row r="67" spans="1:15">
      <c r="A67" s="69"/>
      <c r="B67" s="69" t="s">
        <v>154</v>
      </c>
      <c r="C67" s="69" t="s">
        <v>176</v>
      </c>
      <c r="D67" s="69" t="s">
        <v>202</v>
      </c>
      <c r="E67" s="69" t="s">
        <v>96</v>
      </c>
      <c r="F67" s="77">
        <f>4.95-0.03</f>
        <v>4.92</v>
      </c>
      <c r="G67" s="69"/>
      <c r="H67" s="69"/>
      <c r="I67" s="69">
        <v>4</v>
      </c>
      <c r="J67" s="69"/>
      <c r="K67" s="69"/>
      <c r="L67" s="69"/>
      <c r="M67" s="69">
        <f t="shared" si="13"/>
        <v>36</v>
      </c>
      <c r="N67" s="72"/>
      <c r="O67" s="100">
        <f t="shared" si="14"/>
        <v>177.12</v>
      </c>
    </row>
    <row r="68" spans="1:15">
      <c r="A68" s="69"/>
      <c r="B68" s="69" t="s">
        <v>154</v>
      </c>
      <c r="C68" s="69" t="s">
        <v>177</v>
      </c>
      <c r="D68" s="69" t="s">
        <v>203</v>
      </c>
      <c r="E68" s="69" t="s">
        <v>96</v>
      </c>
      <c r="F68" s="77">
        <f>2.9+(1.4-0.15)*2</f>
        <v>5.4</v>
      </c>
      <c r="G68" s="69"/>
      <c r="H68" s="69"/>
      <c r="I68" s="69">
        <v>4</v>
      </c>
      <c r="J68" s="69"/>
      <c r="K68" s="69"/>
      <c r="L68" s="69"/>
      <c r="M68" s="69">
        <f t="shared" si="13"/>
        <v>36</v>
      </c>
      <c r="N68" s="72"/>
      <c r="O68" s="100">
        <f t="shared" si="14"/>
        <v>194.4</v>
      </c>
    </row>
    <row r="69" spans="1:15">
      <c r="A69" s="69">
        <v>2</v>
      </c>
      <c r="B69" s="69" t="s">
        <v>162</v>
      </c>
      <c r="C69" s="69" t="s">
        <v>181</v>
      </c>
      <c r="D69" s="72" t="s">
        <v>182</v>
      </c>
      <c r="E69" s="69" t="s">
        <v>96</v>
      </c>
      <c r="F69" s="77">
        <f>2.2-0.1+(0.7-0.15)*2</f>
        <v>3.2</v>
      </c>
      <c r="G69" s="72"/>
      <c r="H69" s="69"/>
      <c r="I69" s="69">
        <v>4</v>
      </c>
      <c r="J69" s="69"/>
      <c r="K69" s="69"/>
      <c r="L69" s="69"/>
      <c r="M69" s="69">
        <f t="shared" si="13"/>
        <v>36</v>
      </c>
      <c r="N69" s="72"/>
      <c r="O69" s="100">
        <f t="shared" si="14"/>
        <v>115.2</v>
      </c>
    </row>
    <row r="70" spans="1:15">
      <c r="A70" s="69">
        <v>5</v>
      </c>
      <c r="B70" s="72" t="s">
        <v>168</v>
      </c>
      <c r="C70" s="69" t="s">
        <v>183</v>
      </c>
      <c r="D70" s="68" t="s">
        <v>204</v>
      </c>
      <c r="E70" s="69" t="s">
        <v>96</v>
      </c>
      <c r="F70" s="69"/>
      <c r="G70" s="88">
        <f>1.356+2.292+2.292+2.287+3.45</f>
        <v>11.677</v>
      </c>
      <c r="H70" s="69">
        <f>2.55</f>
        <v>2.55</v>
      </c>
      <c r="I70" s="69">
        <f>2.55*2</f>
        <v>5.1</v>
      </c>
      <c r="J70" s="69">
        <f>2.55*2</f>
        <v>5.1</v>
      </c>
      <c r="K70" s="69">
        <f>2.55*2*5</f>
        <v>25.5</v>
      </c>
      <c r="L70" s="69">
        <v>1.35</v>
      </c>
      <c r="M70" s="69">
        <f>G70+H70+I70+J70+K70+L70</f>
        <v>51.277</v>
      </c>
      <c r="N70" s="72">
        <v>2</v>
      </c>
      <c r="O70" s="100">
        <f>M70*N70</f>
        <v>102.554</v>
      </c>
    </row>
    <row r="71" spans="1:15">
      <c r="A71" s="69"/>
      <c r="B71" s="72" t="s">
        <v>170</v>
      </c>
      <c r="C71" s="72"/>
      <c r="D71" s="72" t="s">
        <v>171</v>
      </c>
      <c r="E71" s="69" t="s">
        <v>96</v>
      </c>
      <c r="F71" s="69"/>
      <c r="G71" s="72"/>
      <c r="H71" s="69">
        <v>2.55</v>
      </c>
      <c r="I71" s="69"/>
      <c r="J71" s="69"/>
      <c r="K71" s="69"/>
      <c r="L71" s="69"/>
      <c r="M71" s="69">
        <f>G71+H71+I71+J71+K71+L71</f>
        <v>2.55</v>
      </c>
      <c r="N71" s="72">
        <v>2</v>
      </c>
      <c r="O71" s="100">
        <f>M71*N71</f>
        <v>5.1</v>
      </c>
    </row>
    <row r="72" spans="1:15">
      <c r="A72" s="69"/>
      <c r="B72" s="72"/>
      <c r="C72" s="72"/>
      <c r="D72" s="72"/>
      <c r="E72" s="69"/>
      <c r="F72" s="69"/>
      <c r="G72" s="72"/>
      <c r="H72" s="69"/>
      <c r="I72" s="69"/>
      <c r="J72" s="69"/>
      <c r="K72" s="69"/>
      <c r="L72" s="69"/>
      <c r="M72" s="69">
        <f t="shared" ref="M70:M75" si="15">G72+H72+I72+J72+K72+L72</f>
        <v>0</v>
      </c>
      <c r="N72" s="72"/>
      <c r="O72" s="101"/>
    </row>
    <row r="73" spans="1:15">
      <c r="A73" s="69">
        <v>6</v>
      </c>
      <c r="B73" s="69" t="s">
        <v>157</v>
      </c>
      <c r="C73" s="69" t="s">
        <v>205</v>
      </c>
      <c r="D73" s="70" t="s">
        <v>159</v>
      </c>
      <c r="E73" s="69" t="s">
        <v>94</v>
      </c>
      <c r="F73" s="77">
        <f>2.27*0.97</f>
        <v>2.2019</v>
      </c>
      <c r="G73" s="72"/>
      <c r="H73" s="69">
        <v>6</v>
      </c>
      <c r="I73" s="69"/>
      <c r="J73" s="69">
        <f>6*6</f>
        <v>36</v>
      </c>
      <c r="K73" s="69"/>
      <c r="L73" s="72"/>
      <c r="M73" s="69">
        <f t="shared" si="15"/>
        <v>42</v>
      </c>
      <c r="N73" s="72"/>
      <c r="O73" s="100">
        <f t="shared" ref="O73:O75" si="16">F73*M73</f>
        <v>92.4798</v>
      </c>
    </row>
    <row r="74" spans="1:15">
      <c r="A74" s="69"/>
      <c r="B74" s="69" t="s">
        <v>157</v>
      </c>
      <c r="C74" s="69" t="s">
        <v>206</v>
      </c>
      <c r="D74" s="70" t="s">
        <v>207</v>
      </c>
      <c r="E74" s="69" t="s">
        <v>94</v>
      </c>
      <c r="F74" s="77">
        <f>2.07*0.97</f>
        <v>2.0079</v>
      </c>
      <c r="G74" s="72"/>
      <c r="H74" s="69"/>
      <c r="I74" s="69">
        <v>6</v>
      </c>
      <c r="J74" s="69"/>
      <c r="K74" s="69">
        <v>6</v>
      </c>
      <c r="L74" s="72"/>
      <c r="M74" s="69">
        <f t="shared" si="15"/>
        <v>12</v>
      </c>
      <c r="N74" s="72"/>
      <c r="O74" s="100">
        <f t="shared" si="16"/>
        <v>24.0948</v>
      </c>
    </row>
    <row r="75" spans="1:15">
      <c r="A75" s="69"/>
      <c r="B75" s="69" t="s">
        <v>157</v>
      </c>
      <c r="C75" s="69" t="s">
        <v>208</v>
      </c>
      <c r="D75" s="70" t="s">
        <v>209</v>
      </c>
      <c r="E75" s="69" t="s">
        <v>94</v>
      </c>
      <c r="F75" s="77">
        <f>0.97*2.37</f>
        <v>2.2989</v>
      </c>
      <c r="G75" s="72">
        <v>6</v>
      </c>
      <c r="H75" s="69"/>
      <c r="I75" s="69"/>
      <c r="J75" s="69"/>
      <c r="K75" s="69"/>
      <c r="L75" s="72"/>
      <c r="M75" s="69">
        <f t="shared" si="15"/>
        <v>6</v>
      </c>
      <c r="N75" s="72"/>
      <c r="O75" s="100">
        <f t="shared" si="16"/>
        <v>13.7934</v>
      </c>
    </row>
    <row r="76" ht="24.95" customHeight="1" spans="1:14">
      <c r="A76" s="89" t="s">
        <v>210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</row>
    <row r="77" ht="14.25" spans="1:15">
      <c r="A77" s="90" t="s">
        <v>1</v>
      </c>
      <c r="B77" s="90" t="s">
        <v>137</v>
      </c>
      <c r="C77" s="90" t="s">
        <v>2</v>
      </c>
      <c r="D77" s="90" t="s">
        <v>138</v>
      </c>
      <c r="E77" s="90" t="s">
        <v>87</v>
      </c>
      <c r="F77" s="91"/>
      <c r="G77" s="91" t="s">
        <v>210</v>
      </c>
      <c r="H77" s="92"/>
      <c r="I77" s="92"/>
      <c r="J77" s="92"/>
      <c r="K77" s="92"/>
      <c r="L77" s="92"/>
      <c r="M77" s="102"/>
      <c r="N77" s="72"/>
      <c r="O77" s="72"/>
    </row>
    <row r="78" ht="14.25" spans="1:15">
      <c r="A78" s="93"/>
      <c r="B78" s="94"/>
      <c r="C78" s="94"/>
      <c r="D78" s="94"/>
      <c r="E78" s="94"/>
      <c r="F78" s="94"/>
      <c r="G78" s="94" t="s">
        <v>211</v>
      </c>
      <c r="H78" s="94" t="s">
        <v>193</v>
      </c>
      <c r="I78" s="94" t="s">
        <v>194</v>
      </c>
      <c r="J78" s="94" t="s">
        <v>195</v>
      </c>
      <c r="K78" s="94" t="s">
        <v>196</v>
      </c>
      <c r="L78" s="94" t="s">
        <v>197</v>
      </c>
      <c r="M78" s="94"/>
      <c r="N78" s="96"/>
      <c r="O78" s="72" t="s">
        <v>132</v>
      </c>
    </row>
    <row r="79" ht="24" customHeight="1" spans="1:15">
      <c r="A79" s="90">
        <v>1</v>
      </c>
      <c r="B79" s="95" t="s">
        <v>157</v>
      </c>
      <c r="C79" s="70" t="s">
        <v>212</v>
      </c>
      <c r="D79" s="70" t="s">
        <v>185</v>
      </c>
      <c r="E79" s="69" t="s">
        <v>94</v>
      </c>
      <c r="F79" s="77">
        <f>0.97*2.32</f>
        <v>2.2504</v>
      </c>
      <c r="G79" s="72">
        <v>6</v>
      </c>
      <c r="H79" s="69">
        <v>6</v>
      </c>
      <c r="I79" s="69"/>
      <c r="J79" s="69">
        <v>6</v>
      </c>
      <c r="K79" s="69">
        <f>6*4</f>
        <v>24</v>
      </c>
      <c r="L79" s="69"/>
      <c r="M79" s="72">
        <f>H79+I79+J79+K79+L79+G79</f>
        <v>42</v>
      </c>
      <c r="N79" s="73"/>
      <c r="O79" s="103">
        <f>F79*M79</f>
        <v>94.5168</v>
      </c>
    </row>
    <row r="80" ht="24" customHeight="1" spans="1:15">
      <c r="A80" s="90">
        <v>2</v>
      </c>
      <c r="B80" s="95" t="s">
        <v>157</v>
      </c>
      <c r="C80" s="69" t="s">
        <v>213</v>
      </c>
      <c r="D80" s="70" t="s">
        <v>187</v>
      </c>
      <c r="E80" s="69" t="s">
        <v>94</v>
      </c>
      <c r="F80" s="77">
        <f>0.97*2.02</f>
        <v>1.9594</v>
      </c>
      <c r="G80" s="72"/>
      <c r="H80" s="69"/>
      <c r="I80" s="69">
        <v>6</v>
      </c>
      <c r="J80" s="69"/>
      <c r="K80" s="69"/>
      <c r="L80" s="69">
        <v>6</v>
      </c>
      <c r="M80" s="72">
        <f t="shared" ref="M79:M84" si="17">H80+I80+J80+K80+L80</f>
        <v>12</v>
      </c>
      <c r="N80" s="73"/>
      <c r="O80" s="103">
        <f t="shared" ref="O79:O84" si="18">F80*M80</f>
        <v>23.5128</v>
      </c>
    </row>
    <row r="81" ht="24" customHeight="1" spans="1:15">
      <c r="A81" s="90">
        <v>3</v>
      </c>
      <c r="B81" s="72" t="s">
        <v>151</v>
      </c>
      <c r="C81" s="73" t="s">
        <v>214</v>
      </c>
      <c r="D81" s="70" t="s">
        <v>153</v>
      </c>
      <c r="E81" s="73" t="s">
        <v>96</v>
      </c>
      <c r="F81" s="80">
        <f>2.07</f>
        <v>2.07</v>
      </c>
      <c r="G81" s="72"/>
      <c r="H81" s="73">
        <v>4</v>
      </c>
      <c r="I81" s="73">
        <v>4</v>
      </c>
      <c r="J81" s="73">
        <v>4</v>
      </c>
      <c r="K81" s="73">
        <f t="shared" ref="K81:K84" si="19">4*4</f>
        <v>16</v>
      </c>
      <c r="L81" s="73">
        <f t="shared" ref="L81:L84" si="20">4</f>
        <v>4</v>
      </c>
      <c r="M81" s="72">
        <f t="shared" si="17"/>
        <v>32</v>
      </c>
      <c r="N81" s="73"/>
      <c r="O81" s="103">
        <f t="shared" si="18"/>
        <v>66.24</v>
      </c>
    </row>
    <row r="82" ht="24" customHeight="1" spans="1:15">
      <c r="A82" s="90">
        <v>4</v>
      </c>
      <c r="B82" s="72" t="s">
        <v>151</v>
      </c>
      <c r="C82" s="73" t="s">
        <v>215</v>
      </c>
      <c r="D82" s="73" t="s">
        <v>153</v>
      </c>
      <c r="E82" s="73" t="s">
        <v>96</v>
      </c>
      <c r="F82" s="80">
        <f>1.8-0.03</f>
        <v>1.77</v>
      </c>
      <c r="G82" s="72"/>
      <c r="H82" s="73">
        <v>4</v>
      </c>
      <c r="I82" s="73">
        <v>4</v>
      </c>
      <c r="J82" s="73">
        <v>4</v>
      </c>
      <c r="K82" s="73">
        <f t="shared" si="19"/>
        <v>16</v>
      </c>
      <c r="L82" s="73">
        <f t="shared" si="20"/>
        <v>4</v>
      </c>
      <c r="M82" s="72">
        <f t="shared" si="17"/>
        <v>32</v>
      </c>
      <c r="N82" s="73"/>
      <c r="O82" s="103">
        <f t="shared" si="18"/>
        <v>56.64</v>
      </c>
    </row>
    <row r="83" ht="24" customHeight="1" spans="1:15">
      <c r="A83" s="90">
        <v>5</v>
      </c>
      <c r="B83" s="69" t="s">
        <v>154</v>
      </c>
      <c r="C83" s="69" t="s">
        <v>216</v>
      </c>
      <c r="D83" s="73" t="s">
        <v>156</v>
      </c>
      <c r="E83" s="69" t="s">
        <v>96</v>
      </c>
      <c r="F83" s="77">
        <f>5.3-0.03</f>
        <v>5.27</v>
      </c>
      <c r="G83" s="72"/>
      <c r="H83" s="73">
        <v>4</v>
      </c>
      <c r="I83" s="73">
        <v>4</v>
      </c>
      <c r="J83" s="73">
        <v>4</v>
      </c>
      <c r="K83" s="73">
        <f t="shared" si="19"/>
        <v>16</v>
      </c>
      <c r="L83" s="73">
        <f t="shared" si="20"/>
        <v>4</v>
      </c>
      <c r="M83" s="72">
        <f t="shared" si="17"/>
        <v>32</v>
      </c>
      <c r="N83" s="73"/>
      <c r="O83" s="103">
        <f t="shared" si="18"/>
        <v>168.64</v>
      </c>
    </row>
    <row r="84" ht="24" customHeight="1" spans="1:15">
      <c r="A84" s="90">
        <v>6</v>
      </c>
      <c r="B84" s="69" t="s">
        <v>162</v>
      </c>
      <c r="C84" s="69" t="s">
        <v>217</v>
      </c>
      <c r="D84" s="72" t="s">
        <v>182</v>
      </c>
      <c r="E84" s="69" t="s">
        <v>96</v>
      </c>
      <c r="F84" s="77">
        <f>2.3-0.1+(0.7-0.15)*2</f>
        <v>3.3</v>
      </c>
      <c r="G84" s="72"/>
      <c r="H84" s="73">
        <v>4</v>
      </c>
      <c r="I84" s="73">
        <v>4</v>
      </c>
      <c r="J84" s="73">
        <v>4</v>
      </c>
      <c r="K84" s="73">
        <f t="shared" si="19"/>
        <v>16</v>
      </c>
      <c r="L84" s="73">
        <f t="shared" si="20"/>
        <v>4</v>
      </c>
      <c r="M84" s="72">
        <f t="shared" si="17"/>
        <v>32</v>
      </c>
      <c r="N84" s="69"/>
      <c r="O84" s="103">
        <f t="shared" si="18"/>
        <v>105.6</v>
      </c>
    </row>
    <row r="85" ht="24" customHeight="1" spans="1:15">
      <c r="A85" s="90">
        <v>7</v>
      </c>
      <c r="B85" s="96" t="s">
        <v>168</v>
      </c>
      <c r="C85" s="90"/>
      <c r="D85" s="96"/>
      <c r="E85" s="96" t="s">
        <v>96</v>
      </c>
      <c r="F85" s="97"/>
      <c r="G85" s="72">
        <f>1.57+2.24+2.154+2.46+3.088</f>
        <v>11.512</v>
      </c>
      <c r="H85" s="96">
        <f>2.55</f>
        <v>2.55</v>
      </c>
      <c r="I85" s="96">
        <f>2.55+2.55</f>
        <v>5.1</v>
      </c>
      <c r="J85" s="96">
        <f>2.55+2.55</f>
        <v>5.1</v>
      </c>
      <c r="K85" s="96">
        <f>(2.55+2.55)*4</f>
        <v>20.4</v>
      </c>
      <c r="L85" s="96">
        <f>1.36</f>
        <v>1.36</v>
      </c>
      <c r="M85" s="72">
        <f>H85+I85+J85+K85+L85+G85</f>
        <v>46.022</v>
      </c>
      <c r="N85" s="96">
        <v>2</v>
      </c>
      <c r="O85" s="86">
        <f>N85*M85</f>
        <v>92.044</v>
      </c>
    </row>
    <row r="86" ht="24" customHeight="1" spans="1:15">
      <c r="A86" s="90">
        <v>8</v>
      </c>
      <c r="B86" s="72" t="s">
        <v>170</v>
      </c>
      <c r="C86" s="72"/>
      <c r="D86" s="72" t="s">
        <v>171</v>
      </c>
      <c r="E86" s="70" t="s">
        <v>96</v>
      </c>
      <c r="F86" s="77"/>
      <c r="G86" s="72"/>
      <c r="H86" s="69">
        <v>2.55</v>
      </c>
      <c r="I86" s="69"/>
      <c r="J86" s="69"/>
      <c r="K86" s="69"/>
      <c r="L86" s="69"/>
      <c r="M86" s="72">
        <f>H86+I86+J86+K86+L86+G86</f>
        <v>2.55</v>
      </c>
      <c r="N86" s="72">
        <v>2</v>
      </c>
      <c r="O86" s="86">
        <f>N86*M86</f>
        <v>5.1</v>
      </c>
    </row>
    <row r="87" ht="20.1" customHeight="1" spans="1:15">
      <c r="A87" s="96" t="s">
        <v>218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</row>
    <row r="88" spans="1:15">
      <c r="A88" s="69" t="s">
        <v>1</v>
      </c>
      <c r="B88" s="69" t="s">
        <v>137</v>
      </c>
      <c r="C88" s="69" t="s">
        <v>2</v>
      </c>
      <c r="D88" s="69" t="s">
        <v>138</v>
      </c>
      <c r="E88" s="69" t="s">
        <v>218</v>
      </c>
      <c r="F88" s="69"/>
      <c r="G88" s="69"/>
      <c r="H88" s="69"/>
      <c r="I88" s="69"/>
      <c r="J88" s="69"/>
      <c r="K88" s="69"/>
      <c r="L88" s="69"/>
      <c r="M88" s="69"/>
      <c r="N88" s="69"/>
      <c r="O88" s="72"/>
    </row>
    <row r="89" spans="1:15">
      <c r="A89" s="69"/>
      <c r="B89" s="69"/>
      <c r="C89" s="69"/>
      <c r="D89" s="69"/>
      <c r="E89" s="69" t="s">
        <v>87</v>
      </c>
      <c r="F89" s="69"/>
      <c r="G89" s="69" t="s">
        <v>192</v>
      </c>
      <c r="H89" s="72" t="s">
        <v>193</v>
      </c>
      <c r="I89" s="72" t="s">
        <v>194</v>
      </c>
      <c r="J89" s="72" t="s">
        <v>195</v>
      </c>
      <c r="K89" s="72" t="s">
        <v>199</v>
      </c>
      <c r="L89" s="72" t="s">
        <v>200</v>
      </c>
      <c r="M89" s="72"/>
      <c r="N89" s="72"/>
      <c r="O89" s="72" t="s">
        <v>132</v>
      </c>
    </row>
    <row r="90" spans="1:15">
      <c r="A90" s="69">
        <v>1</v>
      </c>
      <c r="B90" s="69" t="s">
        <v>151</v>
      </c>
      <c r="C90" s="72" t="s">
        <v>152</v>
      </c>
      <c r="D90" s="70" t="s">
        <v>153</v>
      </c>
      <c r="E90" s="69" t="s">
        <v>96</v>
      </c>
      <c r="F90" s="77">
        <f>2-0.03</f>
        <v>1.97</v>
      </c>
      <c r="G90" s="69"/>
      <c r="H90" s="72">
        <v>4</v>
      </c>
      <c r="I90" s="72">
        <v>4</v>
      </c>
      <c r="J90" s="72">
        <v>4</v>
      </c>
      <c r="K90" s="72">
        <f t="shared" ref="K90:K94" si="21">4*5</f>
        <v>20</v>
      </c>
      <c r="L90" s="72">
        <v>4</v>
      </c>
      <c r="M90" s="72">
        <f t="shared" ref="M90:M96" si="22">H90+I90+J90+K90+L90</f>
        <v>36</v>
      </c>
      <c r="N90" s="72"/>
      <c r="O90" s="86">
        <f t="shared" ref="O90:O96" si="23">M90*F90</f>
        <v>70.92</v>
      </c>
    </row>
    <row r="91" spans="1:15">
      <c r="A91" s="69">
        <v>2</v>
      </c>
      <c r="B91" s="72" t="s">
        <v>154</v>
      </c>
      <c r="C91" s="72" t="s">
        <v>155</v>
      </c>
      <c r="D91" s="73" t="s">
        <v>156</v>
      </c>
      <c r="E91" s="69" t="s">
        <v>96</v>
      </c>
      <c r="F91" s="77">
        <f>5.35-0.03</f>
        <v>5.32</v>
      </c>
      <c r="G91" s="69"/>
      <c r="H91" s="72">
        <v>4</v>
      </c>
      <c r="I91" s="72">
        <v>4</v>
      </c>
      <c r="J91" s="72">
        <v>4</v>
      </c>
      <c r="K91" s="72">
        <f t="shared" si="21"/>
        <v>20</v>
      </c>
      <c r="L91" s="72">
        <v>4</v>
      </c>
      <c r="M91" s="72">
        <f t="shared" si="22"/>
        <v>36</v>
      </c>
      <c r="N91" s="72"/>
      <c r="O91" s="86">
        <f t="shared" si="23"/>
        <v>191.52</v>
      </c>
    </row>
    <row r="92" spans="1:15">
      <c r="A92" s="69">
        <v>3</v>
      </c>
      <c r="B92" s="72" t="s">
        <v>157</v>
      </c>
      <c r="C92" s="72" t="s">
        <v>158</v>
      </c>
      <c r="D92" s="70" t="s">
        <v>159</v>
      </c>
      <c r="E92" s="69" t="s">
        <v>94</v>
      </c>
      <c r="F92" s="77">
        <f>0.97*2.27</f>
        <v>2.2019</v>
      </c>
      <c r="G92" s="69"/>
      <c r="H92" s="72">
        <v>6</v>
      </c>
      <c r="I92" s="72"/>
      <c r="J92" s="72">
        <v>6</v>
      </c>
      <c r="K92" s="72">
        <f>6*5</f>
        <v>30</v>
      </c>
      <c r="L92" s="72"/>
      <c r="M92" s="72">
        <f t="shared" si="22"/>
        <v>42</v>
      </c>
      <c r="N92" s="72"/>
      <c r="O92" s="86">
        <f t="shared" si="23"/>
        <v>92.4798</v>
      </c>
    </row>
    <row r="93" spans="1:15">
      <c r="A93" s="69">
        <v>4</v>
      </c>
      <c r="B93" s="72" t="s">
        <v>157</v>
      </c>
      <c r="C93" s="72" t="s">
        <v>160</v>
      </c>
      <c r="D93" s="70" t="s">
        <v>161</v>
      </c>
      <c r="E93" s="69" t="s">
        <v>94</v>
      </c>
      <c r="F93" s="78">
        <f>0.97*1.97</f>
        <v>1.9109</v>
      </c>
      <c r="G93" s="69"/>
      <c r="H93" s="72"/>
      <c r="I93" s="72">
        <v>6</v>
      </c>
      <c r="J93" s="72"/>
      <c r="K93" s="72"/>
      <c r="L93" s="72">
        <v>6</v>
      </c>
      <c r="M93" s="72">
        <f t="shared" si="22"/>
        <v>12</v>
      </c>
      <c r="N93" s="72"/>
      <c r="O93" s="86">
        <f t="shared" si="23"/>
        <v>22.9308</v>
      </c>
    </row>
    <row r="94" spans="1:15">
      <c r="A94" s="69">
        <v>5</v>
      </c>
      <c r="B94" s="69" t="s">
        <v>162</v>
      </c>
      <c r="C94" s="72" t="s">
        <v>163</v>
      </c>
      <c r="D94" s="72" t="s">
        <v>164</v>
      </c>
      <c r="E94" s="69" t="s">
        <v>96</v>
      </c>
      <c r="F94" s="77">
        <f>1.5-0.1+(0.7-0.15)*2</f>
        <v>2.5</v>
      </c>
      <c r="G94" s="69"/>
      <c r="H94" s="72">
        <v>4</v>
      </c>
      <c r="I94" s="72">
        <v>4</v>
      </c>
      <c r="J94" s="72">
        <v>4</v>
      </c>
      <c r="K94" s="72">
        <f t="shared" si="21"/>
        <v>20</v>
      </c>
      <c r="L94" s="72">
        <f>4</f>
        <v>4</v>
      </c>
      <c r="M94" s="72">
        <f t="shared" si="22"/>
        <v>36</v>
      </c>
      <c r="N94" s="72"/>
      <c r="O94" s="86">
        <f t="shared" si="23"/>
        <v>90</v>
      </c>
    </row>
    <row r="95" spans="1:15">
      <c r="A95" s="69">
        <v>6</v>
      </c>
      <c r="B95" s="72" t="s">
        <v>154</v>
      </c>
      <c r="C95" s="72" t="s">
        <v>165</v>
      </c>
      <c r="D95" s="73" t="s">
        <v>166</v>
      </c>
      <c r="E95" s="69" t="s">
        <v>96</v>
      </c>
      <c r="F95" s="78">
        <f>2.5-0.03</f>
        <v>2.47</v>
      </c>
      <c r="G95" s="69"/>
      <c r="H95" s="72">
        <f>2</f>
        <v>2</v>
      </c>
      <c r="I95" s="72">
        <f>2</f>
        <v>2</v>
      </c>
      <c r="J95" s="72"/>
      <c r="K95" s="72"/>
      <c r="L95" s="72"/>
      <c r="M95" s="72">
        <f t="shared" si="22"/>
        <v>4</v>
      </c>
      <c r="N95" s="72"/>
      <c r="O95" s="86">
        <f t="shared" si="23"/>
        <v>9.88</v>
      </c>
    </row>
    <row r="96" ht="23" customHeight="1" spans="1:15">
      <c r="A96" s="69">
        <v>7</v>
      </c>
      <c r="B96" s="72" t="s">
        <v>154</v>
      </c>
      <c r="C96" s="72" t="s">
        <v>167</v>
      </c>
      <c r="D96" s="73" t="s">
        <v>166</v>
      </c>
      <c r="E96" s="69" t="s">
        <v>96</v>
      </c>
      <c r="F96" s="77">
        <f>2.7-0.15+1.3-0.15</f>
        <v>3.7</v>
      </c>
      <c r="G96" s="69"/>
      <c r="H96" s="72">
        <f>2</f>
        <v>2</v>
      </c>
      <c r="I96" s="72">
        <f>2</f>
        <v>2</v>
      </c>
      <c r="J96" s="72">
        <f>4</f>
        <v>4</v>
      </c>
      <c r="K96" s="72">
        <f>4*5</f>
        <v>20</v>
      </c>
      <c r="L96" s="72">
        <v>4</v>
      </c>
      <c r="M96" s="72">
        <f t="shared" si="22"/>
        <v>32</v>
      </c>
      <c r="N96" s="72"/>
      <c r="O96" s="86">
        <f t="shared" si="23"/>
        <v>118.4</v>
      </c>
    </row>
    <row r="97" ht="28" customHeight="1" spans="1:15">
      <c r="A97" s="69">
        <v>8</v>
      </c>
      <c r="B97" s="72" t="s">
        <v>168</v>
      </c>
      <c r="C97" s="69"/>
      <c r="D97" s="72" t="s">
        <v>169</v>
      </c>
      <c r="E97" s="69" t="s">
        <v>96</v>
      </c>
      <c r="F97" s="69"/>
      <c r="G97" s="79">
        <f>1.32+2.503+2.503+0.98+1.878</f>
        <v>9.184</v>
      </c>
      <c r="H97" s="72">
        <f>2.518</f>
        <v>2.518</v>
      </c>
      <c r="I97" s="72">
        <f>2.518+2.518</f>
        <v>5.036</v>
      </c>
      <c r="J97" s="72">
        <f>2.518+2.518</f>
        <v>5.036</v>
      </c>
      <c r="K97" s="72">
        <f>(2.518+2.518)*5</f>
        <v>25.18</v>
      </c>
      <c r="L97" s="72">
        <f>1.35</f>
        <v>1.35</v>
      </c>
      <c r="M97" s="72">
        <f>G97+H97+I97+J97+K97+L97</f>
        <v>48.304</v>
      </c>
      <c r="N97" s="72">
        <v>2</v>
      </c>
      <c r="O97" s="86">
        <f>M97*N97</f>
        <v>96.608</v>
      </c>
    </row>
    <row r="98" ht="30.95" customHeight="1" spans="1:15">
      <c r="A98" s="69">
        <v>9</v>
      </c>
      <c r="B98" s="72" t="s">
        <v>170</v>
      </c>
      <c r="C98" s="72"/>
      <c r="D98" s="72" t="s">
        <v>171</v>
      </c>
      <c r="E98" s="69" t="s">
        <v>96</v>
      </c>
      <c r="F98" s="69"/>
      <c r="G98" s="69"/>
      <c r="H98" s="72">
        <f>2.59</f>
        <v>2.59</v>
      </c>
      <c r="I98" s="72"/>
      <c r="J98" s="72"/>
      <c r="K98" s="72"/>
      <c r="L98" s="72"/>
      <c r="M98" s="72">
        <f>G98+H98+I98+J98+K98+L98</f>
        <v>2.59</v>
      </c>
      <c r="N98" s="72">
        <v>2</v>
      </c>
      <c r="O98" s="86">
        <f>M98*N98</f>
        <v>5.18</v>
      </c>
    </row>
    <row r="99" ht="21.95" customHeight="1" spans="1:13">
      <c r="A99" s="89" t="s">
        <v>219</v>
      </c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</row>
    <row r="100" ht="14.25" spans="1:15">
      <c r="A100" s="90" t="s">
        <v>1</v>
      </c>
      <c r="B100" s="90" t="s">
        <v>137</v>
      </c>
      <c r="C100" s="90" t="s">
        <v>2</v>
      </c>
      <c r="D100" s="90" t="s">
        <v>138</v>
      </c>
      <c r="E100" s="90" t="s">
        <v>87</v>
      </c>
      <c r="F100" s="91"/>
      <c r="G100" s="91" t="s">
        <v>219</v>
      </c>
      <c r="H100" s="92"/>
      <c r="I100" s="92"/>
      <c r="J100" s="92"/>
      <c r="K100" s="92"/>
      <c r="L100" s="92"/>
      <c r="M100" s="102"/>
      <c r="N100" s="72"/>
      <c r="O100" s="72"/>
    </row>
    <row r="101" ht="14.25" spans="1:15">
      <c r="A101" s="93"/>
      <c r="B101" s="94"/>
      <c r="C101" s="94"/>
      <c r="D101" s="94"/>
      <c r="E101" s="94"/>
      <c r="F101" s="94"/>
      <c r="G101" s="94" t="s">
        <v>211</v>
      </c>
      <c r="H101" s="94" t="s">
        <v>193</v>
      </c>
      <c r="I101" s="94" t="s">
        <v>194</v>
      </c>
      <c r="J101" s="94" t="s">
        <v>195</v>
      </c>
      <c r="K101" s="94" t="s">
        <v>196</v>
      </c>
      <c r="L101" s="94" t="s">
        <v>197</v>
      </c>
      <c r="M101" s="94"/>
      <c r="N101" s="96"/>
      <c r="O101" s="72" t="s">
        <v>132</v>
      </c>
    </row>
    <row r="102" ht="26" customHeight="1" spans="1:15">
      <c r="A102" s="90">
        <v>1</v>
      </c>
      <c r="B102" s="95" t="s">
        <v>157</v>
      </c>
      <c r="C102" s="70" t="s">
        <v>220</v>
      </c>
      <c r="D102" s="70" t="s">
        <v>185</v>
      </c>
      <c r="E102" s="69" t="s">
        <v>94</v>
      </c>
      <c r="F102" s="77">
        <f>0.97*2.32</f>
        <v>2.2504</v>
      </c>
      <c r="G102" s="72"/>
      <c r="H102" s="69">
        <v>6</v>
      </c>
      <c r="I102" s="69"/>
      <c r="J102" s="69">
        <v>6</v>
      </c>
      <c r="K102" s="69">
        <f>6*4</f>
        <v>24</v>
      </c>
      <c r="L102" s="69"/>
      <c r="M102" s="72">
        <f t="shared" ref="M102:M107" si="24">H102+I102+J102+K102+L102</f>
        <v>36</v>
      </c>
      <c r="N102" s="73"/>
      <c r="O102" s="103">
        <f t="shared" ref="O102:O107" si="25">F102*M102</f>
        <v>81.0144</v>
      </c>
    </row>
    <row r="103" ht="25" customHeight="1" spans="1:15">
      <c r="A103" s="90">
        <v>2</v>
      </c>
      <c r="B103" s="95" t="s">
        <v>157</v>
      </c>
      <c r="C103" s="69" t="s">
        <v>213</v>
      </c>
      <c r="D103" s="70" t="s">
        <v>187</v>
      </c>
      <c r="E103" s="69" t="s">
        <v>94</v>
      </c>
      <c r="F103" s="77">
        <f>0.97*2.02</f>
        <v>1.9594</v>
      </c>
      <c r="G103" s="72"/>
      <c r="H103" s="69"/>
      <c r="I103" s="69">
        <v>6</v>
      </c>
      <c r="J103" s="69"/>
      <c r="K103" s="69"/>
      <c r="L103" s="69">
        <v>6</v>
      </c>
      <c r="M103" s="72">
        <f t="shared" si="24"/>
        <v>12</v>
      </c>
      <c r="N103" s="73"/>
      <c r="O103" s="103">
        <f t="shared" si="25"/>
        <v>23.5128</v>
      </c>
    </row>
    <row r="104" ht="23" customHeight="1" spans="1:15">
      <c r="A104" s="90">
        <v>3</v>
      </c>
      <c r="B104" s="72" t="s">
        <v>151</v>
      </c>
      <c r="C104" s="73" t="s">
        <v>214</v>
      </c>
      <c r="D104" s="70" t="s">
        <v>153</v>
      </c>
      <c r="E104" s="73" t="s">
        <v>96</v>
      </c>
      <c r="F104" s="80">
        <f>2.07</f>
        <v>2.07</v>
      </c>
      <c r="G104" s="72"/>
      <c r="H104" s="73">
        <v>4</v>
      </c>
      <c r="I104" s="73">
        <v>4</v>
      </c>
      <c r="J104" s="73">
        <v>4</v>
      </c>
      <c r="K104" s="73">
        <f t="shared" ref="K104:K107" si="26">4*4</f>
        <v>16</v>
      </c>
      <c r="L104" s="73">
        <f t="shared" ref="L104:L107" si="27">4</f>
        <v>4</v>
      </c>
      <c r="M104" s="72">
        <f t="shared" si="24"/>
        <v>32</v>
      </c>
      <c r="N104" s="73"/>
      <c r="O104" s="103">
        <f t="shared" si="25"/>
        <v>66.24</v>
      </c>
    </row>
    <row r="105" ht="23" customHeight="1" spans="1:15">
      <c r="A105" s="90">
        <v>4</v>
      </c>
      <c r="B105" s="72" t="s">
        <v>151</v>
      </c>
      <c r="C105" s="73" t="s">
        <v>215</v>
      </c>
      <c r="D105" s="73" t="s">
        <v>153</v>
      </c>
      <c r="E105" s="73" t="s">
        <v>96</v>
      </c>
      <c r="F105" s="80">
        <f>1.8-0.03</f>
        <v>1.77</v>
      </c>
      <c r="G105" s="72"/>
      <c r="H105" s="73">
        <v>4</v>
      </c>
      <c r="I105" s="73">
        <v>4</v>
      </c>
      <c r="J105" s="73">
        <v>4</v>
      </c>
      <c r="K105" s="73">
        <f t="shared" si="26"/>
        <v>16</v>
      </c>
      <c r="L105" s="73">
        <f t="shared" si="27"/>
        <v>4</v>
      </c>
      <c r="M105" s="72">
        <f t="shared" si="24"/>
        <v>32</v>
      </c>
      <c r="N105" s="73"/>
      <c r="O105" s="103">
        <f t="shared" si="25"/>
        <v>56.64</v>
      </c>
    </row>
    <row r="106" ht="23" customHeight="1" spans="1:15">
      <c r="A106" s="90">
        <v>5</v>
      </c>
      <c r="B106" s="69" t="s">
        <v>154</v>
      </c>
      <c r="C106" s="69" t="s">
        <v>216</v>
      </c>
      <c r="D106" s="73" t="s">
        <v>156</v>
      </c>
      <c r="E106" s="69" t="s">
        <v>96</v>
      </c>
      <c r="F106" s="77">
        <f>5.3-0.03</f>
        <v>5.27</v>
      </c>
      <c r="G106" s="72"/>
      <c r="H106" s="73">
        <v>4</v>
      </c>
      <c r="I106" s="73">
        <v>4</v>
      </c>
      <c r="J106" s="73">
        <v>4</v>
      </c>
      <c r="K106" s="73">
        <f t="shared" si="26"/>
        <v>16</v>
      </c>
      <c r="L106" s="73">
        <f t="shared" si="27"/>
        <v>4</v>
      </c>
      <c r="M106" s="72">
        <f t="shared" si="24"/>
        <v>32</v>
      </c>
      <c r="N106" s="73"/>
      <c r="O106" s="103">
        <f t="shared" si="25"/>
        <v>168.64</v>
      </c>
    </row>
    <row r="107" ht="23" customHeight="1" spans="1:15">
      <c r="A107" s="90">
        <v>6</v>
      </c>
      <c r="B107" s="69" t="s">
        <v>162</v>
      </c>
      <c r="C107" s="69" t="s">
        <v>217</v>
      </c>
      <c r="D107" s="72" t="s">
        <v>182</v>
      </c>
      <c r="E107" s="69" t="s">
        <v>96</v>
      </c>
      <c r="F107" s="77">
        <f>2.3-0.1+(0.7-0.15)*2</f>
        <v>3.3</v>
      </c>
      <c r="G107" s="72"/>
      <c r="H107" s="73">
        <v>4</v>
      </c>
      <c r="I107" s="73">
        <v>4</v>
      </c>
      <c r="J107" s="73">
        <v>4</v>
      </c>
      <c r="K107" s="73">
        <f t="shared" si="26"/>
        <v>16</v>
      </c>
      <c r="L107" s="73">
        <f t="shared" si="27"/>
        <v>4</v>
      </c>
      <c r="M107" s="72">
        <f t="shared" si="24"/>
        <v>32</v>
      </c>
      <c r="N107" s="69"/>
      <c r="O107" s="103">
        <f t="shared" si="25"/>
        <v>105.6</v>
      </c>
    </row>
    <row r="108" ht="26" customHeight="1" spans="1:15">
      <c r="A108" s="90">
        <v>7</v>
      </c>
      <c r="B108" s="96" t="s">
        <v>168</v>
      </c>
      <c r="C108" s="90"/>
      <c r="D108" s="96"/>
      <c r="E108" s="96" t="s">
        <v>96</v>
      </c>
      <c r="F108" s="97"/>
      <c r="G108" s="72">
        <f>1.57+2.24+2.154+2.216</f>
        <v>8.18</v>
      </c>
      <c r="H108" s="96">
        <f>2.55</f>
        <v>2.55</v>
      </c>
      <c r="I108" s="96">
        <f>2.55+2.55</f>
        <v>5.1</v>
      </c>
      <c r="J108" s="96">
        <f>2.55+2.55</f>
        <v>5.1</v>
      </c>
      <c r="K108" s="96">
        <f>(2.55+2.55)*4</f>
        <v>20.4</v>
      </c>
      <c r="L108" s="96">
        <f>1.36</f>
        <v>1.36</v>
      </c>
      <c r="M108" s="72">
        <f>H108+I108+J108+K108+L108+G108</f>
        <v>42.69</v>
      </c>
      <c r="N108" s="96">
        <v>2</v>
      </c>
      <c r="O108" s="86">
        <f>N108*M108</f>
        <v>85.38</v>
      </c>
    </row>
    <row r="109" ht="26" customHeight="1" spans="1:15">
      <c r="A109" s="90">
        <v>8</v>
      </c>
      <c r="B109" s="72" t="s">
        <v>170</v>
      </c>
      <c r="C109" s="72"/>
      <c r="D109" s="72" t="s">
        <v>171</v>
      </c>
      <c r="E109" s="70" t="s">
        <v>96</v>
      </c>
      <c r="F109" s="77"/>
      <c r="G109" s="72"/>
      <c r="H109" s="69">
        <v>2.55</v>
      </c>
      <c r="I109" s="69"/>
      <c r="J109" s="69"/>
      <c r="K109" s="69"/>
      <c r="L109" s="69"/>
      <c r="M109" s="72">
        <f>H109+I109+J109+K109+L109+G109</f>
        <v>2.55</v>
      </c>
      <c r="N109" s="72">
        <v>2</v>
      </c>
      <c r="O109" s="86">
        <f>N109*M109</f>
        <v>5.1</v>
      </c>
    </row>
    <row r="110" ht="30.95" customHeight="1" spans="1:15">
      <c r="A110" s="98" t="s">
        <v>221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104"/>
      <c r="N110" s="105"/>
      <c r="O110" s="96"/>
    </row>
    <row r="111" spans="1:15">
      <c r="A111" s="69" t="s">
        <v>1</v>
      </c>
      <c r="B111" s="69" t="s">
        <v>137</v>
      </c>
      <c r="C111" s="69" t="s">
        <v>2</v>
      </c>
      <c r="D111" s="69" t="s">
        <v>138</v>
      </c>
      <c r="E111" s="69" t="s">
        <v>221</v>
      </c>
      <c r="F111" s="69"/>
      <c r="G111" s="69"/>
      <c r="H111" s="69"/>
      <c r="I111" s="69"/>
      <c r="J111" s="69"/>
      <c r="K111" s="69"/>
      <c r="L111" s="69"/>
      <c r="M111" s="69"/>
      <c r="N111" s="73"/>
      <c r="O111" s="72"/>
    </row>
    <row r="112" spans="1:15">
      <c r="A112" s="69"/>
      <c r="B112" s="69"/>
      <c r="C112" s="69"/>
      <c r="D112" s="69"/>
      <c r="E112" s="69" t="s">
        <v>87</v>
      </c>
      <c r="F112" s="69"/>
      <c r="G112" s="69" t="s">
        <v>192</v>
      </c>
      <c r="H112" s="72" t="s">
        <v>193</v>
      </c>
      <c r="I112" s="72" t="s">
        <v>194</v>
      </c>
      <c r="J112" s="72" t="s">
        <v>195</v>
      </c>
      <c r="K112" s="72" t="s">
        <v>199</v>
      </c>
      <c r="L112" s="72" t="s">
        <v>200</v>
      </c>
      <c r="M112" s="72"/>
      <c r="N112" s="72"/>
      <c r="O112" s="72" t="s">
        <v>132</v>
      </c>
    </row>
    <row r="113" ht="21" customHeight="1" spans="1:15">
      <c r="A113" s="69">
        <v>1</v>
      </c>
      <c r="B113" s="69" t="s">
        <v>151</v>
      </c>
      <c r="C113" s="72" t="s">
        <v>152</v>
      </c>
      <c r="D113" s="70" t="s">
        <v>153</v>
      </c>
      <c r="E113" s="69" t="s">
        <v>96</v>
      </c>
      <c r="F113" s="77">
        <f>2-0.03</f>
        <v>1.97</v>
      </c>
      <c r="G113" s="69"/>
      <c r="H113" s="72">
        <v>4</v>
      </c>
      <c r="I113" s="72">
        <v>4</v>
      </c>
      <c r="J113" s="72">
        <v>4</v>
      </c>
      <c r="K113" s="72">
        <f>4*5</f>
        <v>20</v>
      </c>
      <c r="L113" s="72">
        <v>4</v>
      </c>
      <c r="M113" s="72">
        <f t="shared" ref="M113:M119" si="28">H113+I113+J113+K113+L113</f>
        <v>36</v>
      </c>
      <c r="N113" s="72"/>
      <c r="O113" s="86">
        <f t="shared" ref="O113:O119" si="29">M113*F113</f>
        <v>70.92</v>
      </c>
    </row>
    <row r="114" ht="18" customHeight="1" spans="1:15">
      <c r="A114" s="69">
        <v>2</v>
      </c>
      <c r="B114" s="72" t="s">
        <v>154</v>
      </c>
      <c r="C114" s="72" t="s">
        <v>155</v>
      </c>
      <c r="D114" s="73" t="s">
        <v>156</v>
      </c>
      <c r="E114" s="69" t="s">
        <v>96</v>
      </c>
      <c r="F114" s="77">
        <f>5.35-0.03</f>
        <v>5.32</v>
      </c>
      <c r="G114" s="69"/>
      <c r="H114" s="72">
        <v>4</v>
      </c>
      <c r="I114" s="72">
        <v>4</v>
      </c>
      <c r="J114" s="72">
        <v>4</v>
      </c>
      <c r="K114" s="72">
        <f>4*5</f>
        <v>20</v>
      </c>
      <c r="L114" s="72">
        <v>4</v>
      </c>
      <c r="M114" s="72">
        <f t="shared" si="28"/>
        <v>36</v>
      </c>
      <c r="N114" s="72"/>
      <c r="O114" s="86">
        <f t="shared" si="29"/>
        <v>191.52</v>
      </c>
    </row>
    <row r="115" ht="24" customHeight="1" spans="1:15">
      <c r="A115" s="69">
        <v>3</v>
      </c>
      <c r="B115" s="72" t="s">
        <v>157</v>
      </c>
      <c r="C115" s="72" t="s">
        <v>158</v>
      </c>
      <c r="D115" s="70" t="s">
        <v>159</v>
      </c>
      <c r="E115" s="69" t="s">
        <v>94</v>
      </c>
      <c r="F115" s="77">
        <f>0.97*2.27</f>
        <v>2.2019</v>
      </c>
      <c r="G115" s="69">
        <v>6</v>
      </c>
      <c r="H115" s="72">
        <v>6</v>
      </c>
      <c r="I115" s="72"/>
      <c r="J115" s="72">
        <v>6</v>
      </c>
      <c r="K115" s="72">
        <f>6*5</f>
        <v>30</v>
      </c>
      <c r="L115" s="72"/>
      <c r="M115" s="72">
        <f t="shared" si="28"/>
        <v>42</v>
      </c>
      <c r="N115" s="72"/>
      <c r="O115" s="86">
        <f t="shared" si="29"/>
        <v>92.4798</v>
      </c>
    </row>
    <row r="116" ht="24" customHeight="1" spans="1:15">
      <c r="A116" s="69">
        <v>4</v>
      </c>
      <c r="B116" s="72" t="s">
        <v>157</v>
      </c>
      <c r="C116" s="72" t="s">
        <v>160</v>
      </c>
      <c r="D116" s="70" t="s">
        <v>161</v>
      </c>
      <c r="E116" s="69" t="s">
        <v>94</v>
      </c>
      <c r="F116" s="78">
        <f>0.97*1.97</f>
        <v>1.9109</v>
      </c>
      <c r="G116" s="69"/>
      <c r="H116" s="72"/>
      <c r="I116" s="72">
        <v>6</v>
      </c>
      <c r="J116" s="72"/>
      <c r="K116" s="72"/>
      <c r="L116" s="72">
        <v>6</v>
      </c>
      <c r="M116" s="72">
        <f t="shared" si="28"/>
        <v>12</v>
      </c>
      <c r="N116" s="72"/>
      <c r="O116" s="86">
        <f t="shared" si="29"/>
        <v>22.9308</v>
      </c>
    </row>
    <row r="117" ht="24" customHeight="1" spans="1:15">
      <c r="A117" s="69">
        <v>5</v>
      </c>
      <c r="B117" s="69" t="s">
        <v>162</v>
      </c>
      <c r="C117" s="72" t="s">
        <v>163</v>
      </c>
      <c r="D117" s="72" t="s">
        <v>164</v>
      </c>
      <c r="E117" s="69" t="s">
        <v>96</v>
      </c>
      <c r="F117" s="77">
        <f>1.5-0.1+(0.7-0.15)*2</f>
        <v>2.5</v>
      </c>
      <c r="G117" s="69"/>
      <c r="H117" s="72">
        <v>4</v>
      </c>
      <c r="I117" s="72">
        <v>4</v>
      </c>
      <c r="J117" s="72">
        <v>4</v>
      </c>
      <c r="K117" s="72">
        <f>4*5</f>
        <v>20</v>
      </c>
      <c r="L117" s="72">
        <f>4</f>
        <v>4</v>
      </c>
      <c r="M117" s="72">
        <f t="shared" si="28"/>
        <v>36</v>
      </c>
      <c r="N117" s="72"/>
      <c r="O117" s="86">
        <f t="shared" si="29"/>
        <v>90</v>
      </c>
    </row>
    <row r="118" ht="23" customHeight="1" spans="1:15">
      <c r="A118" s="69">
        <v>6</v>
      </c>
      <c r="B118" s="72" t="s">
        <v>154</v>
      </c>
      <c r="C118" s="72" t="s">
        <v>165</v>
      </c>
      <c r="D118" s="73" t="s">
        <v>166</v>
      </c>
      <c r="E118" s="69" t="s">
        <v>96</v>
      </c>
      <c r="F118" s="78">
        <f>2.5-0.03</f>
        <v>2.47</v>
      </c>
      <c r="G118" s="69"/>
      <c r="H118" s="72">
        <f>2</f>
        <v>2</v>
      </c>
      <c r="I118" s="72">
        <f>2</f>
        <v>2</v>
      </c>
      <c r="J118" s="72"/>
      <c r="K118" s="72"/>
      <c r="L118" s="72"/>
      <c r="M118" s="72">
        <f t="shared" si="28"/>
        <v>4</v>
      </c>
      <c r="N118" s="72"/>
      <c r="O118" s="86">
        <f t="shared" si="29"/>
        <v>9.88</v>
      </c>
    </row>
    <row r="119" ht="23" customHeight="1" spans="1:15">
      <c r="A119" s="69">
        <v>7</v>
      </c>
      <c r="B119" s="72" t="s">
        <v>154</v>
      </c>
      <c r="C119" s="72" t="s">
        <v>167</v>
      </c>
      <c r="D119" s="73" t="s">
        <v>166</v>
      </c>
      <c r="E119" s="69" t="s">
        <v>96</v>
      </c>
      <c r="F119" s="77">
        <f>2.7-0.15+1.3-0.15</f>
        <v>3.7</v>
      </c>
      <c r="G119" s="69"/>
      <c r="H119" s="72">
        <f>2</f>
        <v>2</v>
      </c>
      <c r="I119" s="72">
        <f>2</f>
        <v>2</v>
      </c>
      <c r="J119" s="72">
        <f>4</f>
        <v>4</v>
      </c>
      <c r="K119" s="72">
        <f>4*5</f>
        <v>20</v>
      </c>
      <c r="L119" s="72">
        <v>4</v>
      </c>
      <c r="M119" s="72">
        <f t="shared" si="28"/>
        <v>32</v>
      </c>
      <c r="N119" s="72"/>
      <c r="O119" s="86">
        <f t="shared" si="29"/>
        <v>118.4</v>
      </c>
    </row>
    <row r="120" ht="23" customHeight="1" spans="1:15">
      <c r="A120" s="69">
        <v>8</v>
      </c>
      <c r="B120" s="72" t="s">
        <v>168</v>
      </c>
      <c r="C120" s="69"/>
      <c r="D120" s="72" t="s">
        <v>169</v>
      </c>
      <c r="E120" s="69" t="s">
        <v>96</v>
      </c>
      <c r="F120" s="69"/>
      <c r="G120" s="79">
        <f>1.63+2.253+2.253+2.013+3.56</f>
        <v>11.709</v>
      </c>
      <c r="H120" s="72">
        <f>2.177+0.32</f>
        <v>2.497</v>
      </c>
      <c r="I120" s="72">
        <f>2.518+2.518</f>
        <v>5.036</v>
      </c>
      <c r="J120" s="72">
        <f>2.518+2.518</f>
        <v>5.036</v>
      </c>
      <c r="K120" s="72">
        <f>(2.518+2.518)*5</f>
        <v>25.18</v>
      </c>
      <c r="L120" s="72">
        <f>1.35</f>
        <v>1.35</v>
      </c>
      <c r="M120" s="72">
        <f>G120+H120+I120+J120+K120+L120</f>
        <v>50.808</v>
      </c>
      <c r="N120" s="72">
        <v>2</v>
      </c>
      <c r="O120" s="86">
        <f>M120*N120</f>
        <v>101.616</v>
      </c>
    </row>
    <row r="121" ht="23" customHeight="1" spans="1:15">
      <c r="A121" s="69">
        <v>9</v>
      </c>
      <c r="B121" s="72" t="s">
        <v>170</v>
      </c>
      <c r="C121" s="72"/>
      <c r="D121" s="72" t="s">
        <v>171</v>
      </c>
      <c r="E121" s="69" t="s">
        <v>96</v>
      </c>
      <c r="F121" s="69"/>
      <c r="G121" s="69"/>
      <c r="H121" s="72">
        <f>2.59</f>
        <v>2.59</v>
      </c>
      <c r="I121" s="72"/>
      <c r="J121" s="72"/>
      <c r="K121" s="72"/>
      <c r="L121" s="72"/>
      <c r="M121" s="72">
        <f>G121+H121+I121+J121+K121+L121</f>
        <v>2.59</v>
      </c>
      <c r="N121" s="72">
        <v>2</v>
      </c>
      <c r="O121" s="86">
        <f>M121*N121</f>
        <v>5.18</v>
      </c>
    </row>
    <row r="122" ht="24.95" customHeight="1" spans="1:15">
      <c r="A122" s="70" t="s">
        <v>222</v>
      </c>
      <c r="B122" s="70"/>
      <c r="C122" s="70"/>
      <c r="D122" s="70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69"/>
    </row>
    <row r="123" ht="20" customHeight="1" spans="1:15">
      <c r="A123" s="69">
        <v>1</v>
      </c>
      <c r="B123" s="69" t="s">
        <v>151</v>
      </c>
      <c r="C123" s="69" t="s">
        <v>223</v>
      </c>
      <c r="D123" s="70" t="s">
        <v>153</v>
      </c>
      <c r="E123" s="69" t="s">
        <v>96</v>
      </c>
      <c r="F123" s="77">
        <f>2-0.03</f>
        <v>1.97</v>
      </c>
      <c r="G123" s="69"/>
      <c r="H123" s="69">
        <v>2</v>
      </c>
      <c r="I123" s="69">
        <v>2</v>
      </c>
      <c r="J123" s="69">
        <v>2</v>
      </c>
      <c r="K123" s="69">
        <v>2</v>
      </c>
      <c r="L123" s="69">
        <v>2</v>
      </c>
      <c r="M123" s="69">
        <f t="shared" ref="M123:M126" si="30">G123+H123+I123+J123+K123*9+L123</f>
        <v>26</v>
      </c>
      <c r="N123" s="72"/>
      <c r="O123" s="106">
        <f t="shared" ref="O123:O126" si="31">F123*M123</f>
        <v>51.22</v>
      </c>
    </row>
    <row r="124" ht="27" customHeight="1" spans="1:15">
      <c r="A124" s="69">
        <v>1</v>
      </c>
      <c r="B124" s="69" t="s">
        <v>151</v>
      </c>
      <c r="C124" s="69" t="s">
        <v>224</v>
      </c>
      <c r="D124" s="70" t="s">
        <v>153</v>
      </c>
      <c r="E124" s="69" t="s">
        <v>96</v>
      </c>
      <c r="F124" s="77">
        <f>2.1-0.03</f>
        <v>2.07</v>
      </c>
      <c r="G124" s="69"/>
      <c r="H124" s="69"/>
      <c r="I124" s="69">
        <v>2</v>
      </c>
      <c r="J124" s="69">
        <v>2</v>
      </c>
      <c r="K124" s="69">
        <v>2</v>
      </c>
      <c r="L124" s="69">
        <v>2</v>
      </c>
      <c r="M124" s="69">
        <f t="shared" si="30"/>
        <v>24</v>
      </c>
      <c r="N124" s="72"/>
      <c r="O124" s="106">
        <f t="shared" si="31"/>
        <v>49.68</v>
      </c>
    </row>
    <row r="125" ht="35" customHeight="1" spans="1:15">
      <c r="A125" s="69">
        <v>2</v>
      </c>
      <c r="B125" s="69" t="s">
        <v>162</v>
      </c>
      <c r="C125" s="69" t="s">
        <v>225</v>
      </c>
      <c r="D125" s="72" t="s">
        <v>182</v>
      </c>
      <c r="E125" s="69" t="s">
        <v>96</v>
      </c>
      <c r="F125" s="77">
        <f>(0.8-0.15)*2+1.4</f>
        <v>2.7</v>
      </c>
      <c r="G125" s="69"/>
      <c r="H125" s="69">
        <v>2</v>
      </c>
      <c r="I125" s="69">
        <v>2</v>
      </c>
      <c r="J125" s="69">
        <v>2</v>
      </c>
      <c r="K125" s="69">
        <v>2</v>
      </c>
      <c r="L125" s="69">
        <v>2</v>
      </c>
      <c r="M125" s="69">
        <f t="shared" si="30"/>
        <v>26</v>
      </c>
      <c r="N125" s="72"/>
      <c r="O125" s="106">
        <f t="shared" si="31"/>
        <v>70.2</v>
      </c>
    </row>
    <row r="126" ht="35" customHeight="1" spans="1:15">
      <c r="A126" s="69">
        <v>2</v>
      </c>
      <c r="B126" s="69" t="s">
        <v>162</v>
      </c>
      <c r="C126" s="69" t="s">
        <v>226</v>
      </c>
      <c r="D126" s="72" t="s">
        <v>182</v>
      </c>
      <c r="E126" s="69" t="s">
        <v>96</v>
      </c>
      <c r="F126" s="77">
        <f>0.55+1.85-0.1+(0.8-0.15)*2</f>
        <v>3.6</v>
      </c>
      <c r="G126" s="69"/>
      <c r="H126" s="69">
        <v>2</v>
      </c>
      <c r="I126" s="69">
        <v>2</v>
      </c>
      <c r="J126" s="69">
        <v>2</v>
      </c>
      <c r="K126" s="69">
        <v>2</v>
      </c>
      <c r="L126" s="69">
        <v>2</v>
      </c>
      <c r="M126" s="69">
        <f t="shared" si="30"/>
        <v>26</v>
      </c>
      <c r="N126" s="72"/>
      <c r="O126" s="106">
        <f t="shared" si="31"/>
        <v>93.6</v>
      </c>
    </row>
    <row r="127" ht="37" customHeight="1" spans="1:15">
      <c r="A127" s="69">
        <v>3</v>
      </c>
      <c r="B127" s="69" t="s">
        <v>154</v>
      </c>
      <c r="C127" s="69" t="s">
        <v>227</v>
      </c>
      <c r="D127" s="69" t="s">
        <v>202</v>
      </c>
      <c r="E127" s="69" t="s">
        <v>96</v>
      </c>
      <c r="F127" s="77">
        <f>6.2-0.03</f>
        <v>6.17</v>
      </c>
      <c r="G127" s="69"/>
      <c r="H127" s="69">
        <v>2</v>
      </c>
      <c r="I127" s="69">
        <v>2</v>
      </c>
      <c r="J127" s="69">
        <v>2</v>
      </c>
      <c r="K127" s="69">
        <v>2</v>
      </c>
      <c r="L127" s="69">
        <v>2</v>
      </c>
      <c r="M127" s="69">
        <f t="shared" ref="M127:M134" si="32">G127+H127+I127+J127+K127*9+L127</f>
        <v>26</v>
      </c>
      <c r="N127" s="72"/>
      <c r="O127" s="106">
        <f t="shared" ref="O127:O134" si="33">F127*M127</f>
        <v>160.42</v>
      </c>
    </row>
    <row r="128" ht="37" customHeight="1" spans="1:15">
      <c r="A128" s="69">
        <v>3</v>
      </c>
      <c r="B128" s="69" t="s">
        <v>154</v>
      </c>
      <c r="C128" s="69" t="s">
        <v>228</v>
      </c>
      <c r="D128" s="69" t="s">
        <v>202</v>
      </c>
      <c r="E128" s="69" t="s">
        <v>96</v>
      </c>
      <c r="F128" s="77">
        <f>4.3-0.03</f>
        <v>4.27</v>
      </c>
      <c r="G128" s="69"/>
      <c r="H128" s="69">
        <v>2</v>
      </c>
      <c r="I128" s="69">
        <v>2</v>
      </c>
      <c r="J128" s="69">
        <v>2</v>
      </c>
      <c r="K128" s="69">
        <v>2</v>
      </c>
      <c r="L128" s="69">
        <v>2</v>
      </c>
      <c r="M128" s="69">
        <f t="shared" si="32"/>
        <v>26</v>
      </c>
      <c r="N128" s="72"/>
      <c r="O128" s="106">
        <f t="shared" si="33"/>
        <v>111.02</v>
      </c>
    </row>
    <row r="129" ht="27" customHeight="1" spans="1:15">
      <c r="A129" s="69">
        <v>4</v>
      </c>
      <c r="B129" s="69" t="s">
        <v>154</v>
      </c>
      <c r="C129" s="69" t="s">
        <v>229</v>
      </c>
      <c r="D129" s="69" t="s">
        <v>203</v>
      </c>
      <c r="E129" s="69" t="s">
        <v>96</v>
      </c>
      <c r="F129" s="77">
        <f>1.5-0.03</f>
        <v>1.47</v>
      </c>
      <c r="G129" s="69"/>
      <c r="H129" s="69">
        <v>2</v>
      </c>
      <c r="I129" s="69">
        <v>2</v>
      </c>
      <c r="J129" s="69">
        <v>2</v>
      </c>
      <c r="K129" s="69">
        <v>2</v>
      </c>
      <c r="L129" s="69">
        <v>2</v>
      </c>
      <c r="M129" s="69">
        <f t="shared" si="32"/>
        <v>26</v>
      </c>
      <c r="N129" s="72"/>
      <c r="O129" s="106">
        <f t="shared" si="33"/>
        <v>38.22</v>
      </c>
    </row>
    <row r="130" ht="26" customHeight="1" spans="1:15">
      <c r="A130" s="69">
        <v>4</v>
      </c>
      <c r="B130" s="69" t="s">
        <v>154</v>
      </c>
      <c r="C130" s="69" t="s">
        <v>230</v>
      </c>
      <c r="D130" s="69" t="s">
        <v>203</v>
      </c>
      <c r="E130" s="69" t="s">
        <v>96</v>
      </c>
      <c r="F130" s="77">
        <f>2.7-0.03</f>
        <v>2.67</v>
      </c>
      <c r="G130" s="69"/>
      <c r="H130" s="69">
        <v>2</v>
      </c>
      <c r="I130" s="69">
        <v>2</v>
      </c>
      <c r="J130" s="69">
        <v>2</v>
      </c>
      <c r="K130" s="69">
        <v>2</v>
      </c>
      <c r="L130" s="69">
        <v>2</v>
      </c>
      <c r="M130" s="69">
        <f t="shared" si="32"/>
        <v>26</v>
      </c>
      <c r="N130" s="72"/>
      <c r="O130" s="106">
        <f t="shared" si="33"/>
        <v>69.42</v>
      </c>
    </row>
    <row r="131" ht="27" spans="1:15">
      <c r="A131" s="69"/>
      <c r="B131" s="72" t="s">
        <v>178</v>
      </c>
      <c r="C131" s="69" t="s">
        <v>231</v>
      </c>
      <c r="D131" s="69" t="s">
        <v>232</v>
      </c>
      <c r="E131" s="69" t="s">
        <v>96</v>
      </c>
      <c r="F131" s="77">
        <f>1.3-0.03</f>
        <v>1.27</v>
      </c>
      <c r="G131" s="69"/>
      <c r="H131" s="69">
        <v>2</v>
      </c>
      <c r="I131" s="69">
        <v>2</v>
      </c>
      <c r="J131" s="69">
        <v>2</v>
      </c>
      <c r="K131" s="69">
        <v>2</v>
      </c>
      <c r="L131" s="69">
        <v>2</v>
      </c>
      <c r="M131" s="69">
        <f t="shared" si="32"/>
        <v>26</v>
      </c>
      <c r="N131" s="72"/>
      <c r="O131" s="106">
        <f t="shared" si="33"/>
        <v>33.02</v>
      </c>
    </row>
    <row r="132" ht="28" customHeight="1" spans="1:15">
      <c r="A132" s="69"/>
      <c r="B132" s="72" t="s">
        <v>178</v>
      </c>
      <c r="C132" s="69" t="s">
        <v>233</v>
      </c>
      <c r="D132" s="69" t="s">
        <v>232</v>
      </c>
      <c r="E132" s="69" t="s">
        <v>96</v>
      </c>
      <c r="F132" s="77">
        <f>1.55-0.03</f>
        <v>1.52</v>
      </c>
      <c r="G132" s="69"/>
      <c r="H132" s="69">
        <v>2</v>
      </c>
      <c r="I132" s="69">
        <v>2</v>
      </c>
      <c r="J132" s="69">
        <v>2</v>
      </c>
      <c r="K132" s="69">
        <v>2</v>
      </c>
      <c r="L132" s="69">
        <v>2</v>
      </c>
      <c r="M132" s="69">
        <f t="shared" si="32"/>
        <v>26</v>
      </c>
      <c r="N132" s="72"/>
      <c r="O132" s="106">
        <f t="shared" si="33"/>
        <v>39.52</v>
      </c>
    </row>
    <row r="133" ht="26" customHeight="1" spans="1:15">
      <c r="A133" s="69">
        <v>5</v>
      </c>
      <c r="B133" s="69" t="s">
        <v>157</v>
      </c>
      <c r="C133" s="70" t="s">
        <v>234</v>
      </c>
      <c r="D133" s="70" t="s">
        <v>159</v>
      </c>
      <c r="E133" s="69" t="s">
        <v>94</v>
      </c>
      <c r="F133" s="77">
        <f>0.97*2.27</f>
        <v>2.2019</v>
      </c>
      <c r="G133" s="69">
        <v>5</v>
      </c>
      <c r="H133" s="69">
        <v>5</v>
      </c>
      <c r="I133" s="69">
        <v>5</v>
      </c>
      <c r="J133" s="69"/>
      <c r="K133" s="69">
        <v>5</v>
      </c>
      <c r="L133" s="69"/>
      <c r="M133" s="69">
        <f t="shared" si="32"/>
        <v>60</v>
      </c>
      <c r="N133" s="72"/>
      <c r="O133" s="106">
        <f t="shared" si="33"/>
        <v>132.114</v>
      </c>
    </row>
    <row r="134" ht="26" customHeight="1" spans="1:15">
      <c r="A134" s="69">
        <v>6</v>
      </c>
      <c r="B134" s="69" t="s">
        <v>157</v>
      </c>
      <c r="C134" s="70" t="s">
        <v>235</v>
      </c>
      <c r="D134" s="70" t="s">
        <v>236</v>
      </c>
      <c r="E134" s="69" t="s">
        <v>94</v>
      </c>
      <c r="F134" s="77">
        <f>0.97*2.17</f>
        <v>2.1049</v>
      </c>
      <c r="G134" s="69"/>
      <c r="H134" s="69"/>
      <c r="I134" s="69"/>
      <c r="J134" s="69">
        <v>5</v>
      </c>
      <c r="K134" s="69"/>
      <c r="L134" s="69">
        <v>5</v>
      </c>
      <c r="M134" s="69">
        <f t="shared" si="32"/>
        <v>10</v>
      </c>
      <c r="N134" s="72"/>
      <c r="O134" s="106">
        <f t="shared" si="33"/>
        <v>21.049</v>
      </c>
    </row>
    <row r="135" ht="23" customHeight="1" spans="1:15">
      <c r="A135" s="69"/>
      <c r="B135" s="69"/>
      <c r="C135" s="69"/>
      <c r="D135" s="69"/>
      <c r="E135" s="69"/>
      <c r="F135" s="69"/>
      <c r="G135" s="188" t="s">
        <v>173</v>
      </c>
      <c r="H135" s="69" t="s">
        <v>143</v>
      </c>
      <c r="I135" s="69" t="s">
        <v>144</v>
      </c>
      <c r="J135" s="69" t="s">
        <v>237</v>
      </c>
      <c r="K135" s="69" t="s">
        <v>147</v>
      </c>
      <c r="L135" s="69" t="s">
        <v>238</v>
      </c>
      <c r="M135" s="116" t="s">
        <v>239</v>
      </c>
      <c r="N135" s="72"/>
      <c r="O135" s="69" t="s">
        <v>240</v>
      </c>
    </row>
    <row r="136" ht="23" customHeight="1" spans="1:15">
      <c r="A136" s="69">
        <v>1</v>
      </c>
      <c r="B136" s="72" t="s">
        <v>168</v>
      </c>
      <c r="C136" s="69" t="s">
        <v>183</v>
      </c>
      <c r="D136" s="69"/>
      <c r="E136" s="69" t="s">
        <v>96</v>
      </c>
      <c r="F136" s="69"/>
      <c r="G136" s="77">
        <f>1.845+2.45+2.13+0.32+2.46+5.25</f>
        <v>14.455</v>
      </c>
      <c r="H136" s="77">
        <v>0.63</v>
      </c>
      <c r="I136" s="77">
        <f>3.4+1.53</f>
        <v>4.93</v>
      </c>
      <c r="J136" s="77">
        <f>2.45*2</f>
        <v>4.9</v>
      </c>
      <c r="K136" s="77">
        <f>2.45*2</f>
        <v>4.9</v>
      </c>
      <c r="L136" s="77">
        <f>1.35</f>
        <v>1.35</v>
      </c>
      <c r="M136" s="117">
        <f>G136+H136+I136+J136*10+K136+L136</f>
        <v>75.265</v>
      </c>
      <c r="N136" s="72"/>
      <c r="O136" s="106">
        <f>M136*2</f>
        <v>150.53</v>
      </c>
    </row>
    <row r="137" ht="23" customHeight="1" spans="1:15">
      <c r="A137" s="69">
        <v>2</v>
      </c>
      <c r="B137" s="72" t="s">
        <v>168</v>
      </c>
      <c r="C137" s="69" t="s">
        <v>241</v>
      </c>
      <c r="D137" s="69"/>
      <c r="E137" s="69" t="s">
        <v>96</v>
      </c>
      <c r="F137" s="69"/>
      <c r="G137" s="77"/>
      <c r="H137" s="77">
        <v>2.86</v>
      </c>
      <c r="I137" s="77">
        <v>1.7</v>
      </c>
      <c r="J137" s="77"/>
      <c r="K137" s="77"/>
      <c r="L137" s="77"/>
      <c r="M137" s="117">
        <f>G137+H137+I137+J137*10+K137+L137</f>
        <v>4.56</v>
      </c>
      <c r="N137" s="72"/>
      <c r="O137" s="106">
        <f>M137*2</f>
        <v>9.12</v>
      </c>
    </row>
    <row r="138" ht="23" customHeight="1" spans="1:15">
      <c r="A138" s="69">
        <v>9</v>
      </c>
      <c r="B138" s="72" t="s">
        <v>170</v>
      </c>
      <c r="C138" s="72"/>
      <c r="D138" s="72" t="s">
        <v>171</v>
      </c>
      <c r="E138" s="69" t="s">
        <v>96</v>
      </c>
      <c r="F138" s="69"/>
      <c r="G138" s="88"/>
      <c r="H138" s="88">
        <v>4.29</v>
      </c>
      <c r="I138" s="88"/>
      <c r="J138" s="88"/>
      <c r="K138" s="88"/>
      <c r="L138" s="88"/>
      <c r="M138" s="117">
        <f>G138+H138+I138+J138*10+K138+L138</f>
        <v>4.29</v>
      </c>
      <c r="N138" s="72"/>
      <c r="O138" s="106">
        <f>M138*2</f>
        <v>8.58</v>
      </c>
    </row>
    <row r="139" ht="24" customHeight="1" spans="1:14">
      <c r="A139" s="72" t="s">
        <v>242</v>
      </c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1:15">
      <c r="A140" s="69" t="s">
        <v>1</v>
      </c>
      <c r="B140" s="69" t="s">
        <v>137</v>
      </c>
      <c r="C140" s="69"/>
      <c r="D140" s="69" t="s">
        <v>51</v>
      </c>
      <c r="E140" s="69" t="s">
        <v>87</v>
      </c>
      <c r="F140" s="69"/>
      <c r="G140" s="69"/>
      <c r="H140" s="69" t="s">
        <v>140</v>
      </c>
      <c r="I140" s="69"/>
      <c r="J140" s="69"/>
      <c r="K140" s="69"/>
      <c r="L140" s="69"/>
      <c r="M140" s="69"/>
      <c r="N140" s="72"/>
      <c r="O140" s="85" t="s">
        <v>141</v>
      </c>
    </row>
    <row r="141" spans="1:1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87"/>
      <c r="L141" s="72"/>
      <c r="M141" s="69" t="s">
        <v>148</v>
      </c>
      <c r="N141" s="72"/>
      <c r="O141" s="85"/>
    </row>
    <row r="142" spans="1:15">
      <c r="A142" s="69">
        <v>1</v>
      </c>
      <c r="B142" s="69" t="s">
        <v>151</v>
      </c>
      <c r="C142" s="69" t="s">
        <v>175</v>
      </c>
      <c r="D142" s="70" t="s">
        <v>153</v>
      </c>
      <c r="E142" s="69" t="s">
        <v>96</v>
      </c>
      <c r="F142" s="77">
        <f>1.97</f>
        <v>1.97</v>
      </c>
      <c r="H142" s="69"/>
      <c r="I142" s="69">
        <v>4</v>
      </c>
      <c r="J142" s="69"/>
      <c r="K142" s="69"/>
      <c r="L142" s="69"/>
      <c r="M142" s="69">
        <f>I142*9</f>
        <v>36</v>
      </c>
      <c r="N142" s="72"/>
      <c r="O142" s="100">
        <f>F142*M142</f>
        <v>70.92</v>
      </c>
    </row>
    <row r="143" spans="1:15">
      <c r="A143" s="69"/>
      <c r="B143" s="69" t="s">
        <v>151</v>
      </c>
      <c r="C143" s="69" t="s">
        <v>175</v>
      </c>
      <c r="D143" s="70" t="s">
        <v>153</v>
      </c>
      <c r="E143" s="69" t="s">
        <v>96</v>
      </c>
      <c r="F143" s="77">
        <f>1.5-0.03</f>
        <v>1.47</v>
      </c>
      <c r="H143" s="69"/>
      <c r="I143" s="69">
        <v>4</v>
      </c>
      <c r="J143" s="69"/>
      <c r="K143" s="69"/>
      <c r="L143" s="69"/>
      <c r="M143" s="69">
        <f t="shared" ref="M142:M146" si="34">I143*9</f>
        <v>36</v>
      </c>
      <c r="N143" s="72"/>
      <c r="O143" s="100">
        <f>F143*M143</f>
        <v>52.92</v>
      </c>
    </row>
    <row r="144" ht="26" customHeight="1" spans="1:15">
      <c r="A144" s="69"/>
      <c r="B144" s="69" t="s">
        <v>154</v>
      </c>
      <c r="C144" s="69" t="s">
        <v>176</v>
      </c>
      <c r="D144" s="69" t="s">
        <v>202</v>
      </c>
      <c r="E144" s="69" t="s">
        <v>96</v>
      </c>
      <c r="F144" s="77">
        <f>4.95-0.03</f>
        <v>4.92</v>
      </c>
      <c r="G144" s="69"/>
      <c r="H144" s="69"/>
      <c r="I144" s="69">
        <v>4</v>
      </c>
      <c r="J144" s="69"/>
      <c r="K144" s="69"/>
      <c r="L144" s="69"/>
      <c r="M144" s="69">
        <f t="shared" si="34"/>
        <v>36</v>
      </c>
      <c r="N144" s="72"/>
      <c r="O144" s="100">
        <f>F144*M144</f>
        <v>177.12</v>
      </c>
    </row>
    <row r="145" ht="33" customHeight="1" spans="1:15">
      <c r="A145" s="69"/>
      <c r="B145" s="69" t="s">
        <v>154</v>
      </c>
      <c r="C145" s="69" t="s">
        <v>177</v>
      </c>
      <c r="D145" s="69" t="s">
        <v>203</v>
      </c>
      <c r="E145" s="69" t="s">
        <v>96</v>
      </c>
      <c r="F145" s="77">
        <f>2.9+(1.4-0.15)*2</f>
        <v>5.4</v>
      </c>
      <c r="G145" s="69"/>
      <c r="H145" s="69"/>
      <c r="I145" s="69">
        <v>4</v>
      </c>
      <c r="J145" s="69"/>
      <c r="K145" s="69"/>
      <c r="L145" s="69"/>
      <c r="M145" s="69">
        <f t="shared" si="34"/>
        <v>36</v>
      </c>
      <c r="N145" s="72"/>
      <c r="O145" s="100">
        <f>F145*M145</f>
        <v>194.4</v>
      </c>
    </row>
    <row r="146" ht="21" customHeight="1" spans="1:15">
      <c r="A146" s="69">
        <v>2</v>
      </c>
      <c r="B146" s="69" t="s">
        <v>162</v>
      </c>
      <c r="C146" s="69" t="s">
        <v>181</v>
      </c>
      <c r="D146" s="72" t="s">
        <v>182</v>
      </c>
      <c r="E146" s="69" t="s">
        <v>96</v>
      </c>
      <c r="F146" s="77">
        <f>2.2-0.1+(0.7-0.15)*2</f>
        <v>3.2</v>
      </c>
      <c r="G146" s="72"/>
      <c r="H146" s="69"/>
      <c r="I146" s="69">
        <v>4</v>
      </c>
      <c r="J146" s="69"/>
      <c r="K146" s="69"/>
      <c r="L146" s="69"/>
      <c r="M146" s="69">
        <f t="shared" si="34"/>
        <v>36</v>
      </c>
      <c r="N146" s="72"/>
      <c r="O146" s="100">
        <f>F146*M146</f>
        <v>115.2</v>
      </c>
    </row>
    <row r="147" ht="21" customHeight="1" spans="1:15">
      <c r="A147" s="69">
        <v>5</v>
      </c>
      <c r="B147" s="72" t="s">
        <v>168</v>
      </c>
      <c r="C147" s="69" t="s">
        <v>183</v>
      </c>
      <c r="D147" s="68" t="s">
        <v>204</v>
      </c>
      <c r="E147" s="69" t="s">
        <v>96</v>
      </c>
      <c r="F147" s="69"/>
      <c r="G147" s="88">
        <f>1.356+2.292+2.292+2.287+3.45</f>
        <v>11.677</v>
      </c>
      <c r="H147" s="69">
        <f>2.55</f>
        <v>2.55</v>
      </c>
      <c r="I147" s="69">
        <f t="shared" ref="I147:K147" si="35">2.55*2</f>
        <v>5.1</v>
      </c>
      <c r="J147" s="69">
        <f t="shared" si="35"/>
        <v>5.1</v>
      </c>
      <c r="K147" s="69">
        <f>2.55*2*5</f>
        <v>25.5</v>
      </c>
      <c r="L147" s="69">
        <v>1.35</v>
      </c>
      <c r="M147" s="69">
        <f t="shared" ref="M147:M152" si="36">G147+H147+I147+J147+K147+L147</f>
        <v>51.277</v>
      </c>
      <c r="N147" s="72">
        <v>2</v>
      </c>
      <c r="O147" s="100">
        <f>M147*N147</f>
        <v>102.554</v>
      </c>
    </row>
    <row r="148" ht="21" customHeight="1" spans="1:15">
      <c r="A148" s="69"/>
      <c r="B148" s="72" t="s">
        <v>170</v>
      </c>
      <c r="C148" s="72"/>
      <c r="D148" s="72" t="s">
        <v>171</v>
      </c>
      <c r="E148" s="69" t="s">
        <v>96</v>
      </c>
      <c r="F148" s="69"/>
      <c r="G148" s="72"/>
      <c r="H148" s="69">
        <v>2.55</v>
      </c>
      <c r="I148" s="69"/>
      <c r="J148" s="69"/>
      <c r="K148" s="69"/>
      <c r="L148" s="69"/>
      <c r="M148" s="69">
        <f t="shared" si="36"/>
        <v>2.55</v>
      </c>
      <c r="N148" s="72">
        <v>2</v>
      </c>
      <c r="O148" s="100">
        <f>M148*N148</f>
        <v>5.1</v>
      </c>
    </row>
    <row r="149" ht="21" customHeight="1" spans="1:15">
      <c r="A149" s="69"/>
      <c r="B149" s="72"/>
      <c r="C149" s="72"/>
      <c r="D149" s="72"/>
      <c r="E149" s="69"/>
      <c r="F149" s="69"/>
      <c r="G149" s="72"/>
      <c r="H149" s="69"/>
      <c r="I149" s="69"/>
      <c r="J149" s="69"/>
      <c r="K149" s="69"/>
      <c r="L149" s="69"/>
      <c r="M149" s="69">
        <f t="shared" si="36"/>
        <v>0</v>
      </c>
      <c r="N149" s="72"/>
      <c r="O149" s="101"/>
    </row>
    <row r="150" ht="21" customHeight="1" spans="1:15">
      <c r="A150" s="69">
        <v>6</v>
      </c>
      <c r="B150" s="69" t="s">
        <v>157</v>
      </c>
      <c r="C150" s="69" t="s">
        <v>205</v>
      </c>
      <c r="D150" s="70" t="s">
        <v>159</v>
      </c>
      <c r="E150" s="69" t="s">
        <v>94</v>
      </c>
      <c r="F150" s="77">
        <f>2.27*0.97</f>
        <v>2.2019</v>
      </c>
      <c r="G150" s="72"/>
      <c r="H150" s="69">
        <v>6</v>
      </c>
      <c r="I150" s="69"/>
      <c r="J150" s="69">
        <f>6*6</f>
        <v>36</v>
      </c>
      <c r="K150" s="69"/>
      <c r="L150" s="72"/>
      <c r="M150" s="69">
        <f t="shared" si="36"/>
        <v>42</v>
      </c>
      <c r="N150" s="72"/>
      <c r="O150" s="100">
        <f>F150*M150</f>
        <v>92.4798</v>
      </c>
    </row>
    <row r="151" ht="21" customHeight="1" spans="1:15">
      <c r="A151" s="69"/>
      <c r="B151" s="69" t="s">
        <v>157</v>
      </c>
      <c r="C151" s="69" t="s">
        <v>206</v>
      </c>
      <c r="D151" s="70" t="s">
        <v>207</v>
      </c>
      <c r="E151" s="69" t="s">
        <v>94</v>
      </c>
      <c r="F151" s="77">
        <f>2.07*0.97</f>
        <v>2.0079</v>
      </c>
      <c r="G151" s="72"/>
      <c r="H151" s="69"/>
      <c r="I151" s="69">
        <v>6</v>
      </c>
      <c r="J151" s="69"/>
      <c r="K151" s="69">
        <v>6</v>
      </c>
      <c r="L151" s="72"/>
      <c r="M151" s="69">
        <f t="shared" si="36"/>
        <v>12</v>
      </c>
      <c r="N151" s="72"/>
      <c r="O151" s="100">
        <f>F151*M151</f>
        <v>24.0948</v>
      </c>
    </row>
    <row r="152" ht="21" customHeight="1" spans="1:15">
      <c r="A152" s="69"/>
      <c r="B152" s="69" t="s">
        <v>157</v>
      </c>
      <c r="C152" s="69" t="s">
        <v>208</v>
      </c>
      <c r="D152" s="70" t="s">
        <v>209</v>
      </c>
      <c r="E152" s="69" t="s">
        <v>94</v>
      </c>
      <c r="F152" s="77">
        <f>0.97*2.37</f>
        <v>2.2989</v>
      </c>
      <c r="G152" s="72">
        <v>6</v>
      </c>
      <c r="H152" s="69"/>
      <c r="I152" s="69"/>
      <c r="J152" s="69"/>
      <c r="K152" s="69"/>
      <c r="L152" s="72"/>
      <c r="M152" s="69">
        <f t="shared" si="36"/>
        <v>6</v>
      </c>
      <c r="N152" s="72"/>
      <c r="O152" s="100">
        <f>F152*M152</f>
        <v>13.7934</v>
      </c>
    </row>
    <row r="153" ht="24.95" customHeight="1" spans="1:15">
      <c r="A153" s="107" t="s">
        <v>243</v>
      </c>
      <c r="B153" s="108"/>
      <c r="C153" s="109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72"/>
    </row>
    <row r="154" ht="14.25" spans="1:15">
      <c r="A154" s="90" t="s">
        <v>1</v>
      </c>
      <c r="B154" s="90" t="s">
        <v>137</v>
      </c>
      <c r="C154" s="90" t="s">
        <v>2</v>
      </c>
      <c r="D154" s="90" t="s">
        <v>138</v>
      </c>
      <c r="E154" s="90" t="s">
        <v>87</v>
      </c>
      <c r="F154" s="90"/>
      <c r="G154" s="90" t="s">
        <v>243</v>
      </c>
      <c r="H154" s="90"/>
      <c r="I154" s="90"/>
      <c r="J154" s="90"/>
      <c r="K154" s="90"/>
      <c r="L154" s="90"/>
      <c r="M154" s="90"/>
      <c r="N154" s="72"/>
      <c r="O154" s="101"/>
    </row>
    <row r="155" ht="14.25" spans="1:15">
      <c r="A155" s="90"/>
      <c r="B155" s="96"/>
      <c r="C155" s="96"/>
      <c r="D155" s="96"/>
      <c r="E155" s="96"/>
      <c r="F155" s="96"/>
      <c r="G155" s="96" t="s">
        <v>211</v>
      </c>
      <c r="H155" s="96" t="s">
        <v>193</v>
      </c>
      <c r="I155" s="96" t="s">
        <v>194</v>
      </c>
      <c r="J155" s="96" t="s">
        <v>195</v>
      </c>
      <c r="K155" s="96" t="s">
        <v>199</v>
      </c>
      <c r="L155" s="96" t="s">
        <v>200</v>
      </c>
      <c r="M155" s="96"/>
      <c r="N155" s="72"/>
      <c r="O155" s="104" t="s">
        <v>132</v>
      </c>
    </row>
    <row r="156" ht="14.25" spans="1:15">
      <c r="A156" s="90">
        <v>1</v>
      </c>
      <c r="B156" s="72" t="s">
        <v>157</v>
      </c>
      <c r="C156" s="96" t="s">
        <v>244</v>
      </c>
      <c r="D156" s="110" t="s">
        <v>245</v>
      </c>
      <c r="E156" s="90" t="s">
        <v>94</v>
      </c>
      <c r="F156" s="111">
        <f>0.71*2.27</f>
        <v>1.6117</v>
      </c>
      <c r="G156" s="96"/>
      <c r="H156" s="96">
        <v>4</v>
      </c>
      <c r="I156" s="96"/>
      <c r="J156" s="96">
        <v>4</v>
      </c>
      <c r="K156" s="96">
        <v>4</v>
      </c>
      <c r="L156" s="96"/>
      <c r="M156" s="72">
        <f t="shared" ref="M156:M164" si="37">G156+H156+I156+J156+K156*5+L156</f>
        <v>28</v>
      </c>
      <c r="N156" s="72"/>
      <c r="O156" s="100">
        <f>F156*M156</f>
        <v>45.1276</v>
      </c>
    </row>
    <row r="157" ht="14.25" spans="1:15">
      <c r="A157" s="90">
        <v>2</v>
      </c>
      <c r="B157" s="72" t="s">
        <v>157</v>
      </c>
      <c r="C157" s="96" t="s">
        <v>246</v>
      </c>
      <c r="D157" s="110" t="s">
        <v>159</v>
      </c>
      <c r="E157" s="90" t="s">
        <v>94</v>
      </c>
      <c r="F157" s="111">
        <f>0.97*2.27</f>
        <v>2.2019</v>
      </c>
      <c r="G157" s="96"/>
      <c r="H157" s="96">
        <v>2</v>
      </c>
      <c r="I157" s="96"/>
      <c r="J157" s="96">
        <v>2</v>
      </c>
      <c r="K157" s="96">
        <v>2</v>
      </c>
      <c r="L157" s="96"/>
      <c r="M157" s="72">
        <f t="shared" si="37"/>
        <v>14</v>
      </c>
      <c r="N157" s="72"/>
      <c r="O157" s="100">
        <f t="shared" ref="O157:O164" si="38">F157*M157</f>
        <v>30.8266</v>
      </c>
    </row>
    <row r="158" ht="14.25" spans="1:15">
      <c r="A158" s="90">
        <v>3</v>
      </c>
      <c r="B158" s="72" t="s">
        <v>157</v>
      </c>
      <c r="C158" s="96" t="s">
        <v>247</v>
      </c>
      <c r="D158" s="110" t="s">
        <v>248</v>
      </c>
      <c r="E158" s="90" t="s">
        <v>94</v>
      </c>
      <c r="F158" s="111">
        <f>0.71*2.17</f>
        <v>1.5407</v>
      </c>
      <c r="G158" s="96"/>
      <c r="H158" s="96"/>
      <c r="I158" s="96">
        <v>4</v>
      </c>
      <c r="J158" s="96"/>
      <c r="K158" s="96"/>
      <c r="L158" s="96">
        <v>4</v>
      </c>
      <c r="M158" s="72">
        <f t="shared" si="37"/>
        <v>8</v>
      </c>
      <c r="N158" s="72"/>
      <c r="O158" s="100">
        <f t="shared" si="38"/>
        <v>12.3256</v>
      </c>
    </row>
    <row r="159" ht="14.25" spans="1:15">
      <c r="A159" s="90">
        <v>4</v>
      </c>
      <c r="B159" s="72" t="s">
        <v>157</v>
      </c>
      <c r="C159" s="96" t="s">
        <v>249</v>
      </c>
      <c r="D159" s="110" t="s">
        <v>236</v>
      </c>
      <c r="E159" s="90" t="s">
        <v>94</v>
      </c>
      <c r="F159" s="111">
        <f>0.97*2.17</f>
        <v>2.1049</v>
      </c>
      <c r="G159" s="96"/>
      <c r="H159" s="96"/>
      <c r="I159" s="96">
        <v>2</v>
      </c>
      <c r="J159" s="96"/>
      <c r="K159" s="96"/>
      <c r="L159" s="96">
        <v>2</v>
      </c>
      <c r="M159" s="72">
        <f t="shared" si="37"/>
        <v>4</v>
      </c>
      <c r="N159" s="72"/>
      <c r="O159" s="100">
        <f t="shared" si="38"/>
        <v>8.4196</v>
      </c>
    </row>
    <row r="160" ht="14.25" spans="1:15">
      <c r="A160" s="90">
        <v>5</v>
      </c>
      <c r="B160" s="72" t="s">
        <v>157</v>
      </c>
      <c r="C160" s="96" t="s">
        <v>250</v>
      </c>
      <c r="D160" s="110" t="s">
        <v>251</v>
      </c>
      <c r="E160" s="90" t="s">
        <v>94</v>
      </c>
      <c r="F160" s="111">
        <f>2.37*0.71</f>
        <v>1.6827</v>
      </c>
      <c r="G160" s="96">
        <v>4</v>
      </c>
      <c r="H160" s="96"/>
      <c r="I160" s="96"/>
      <c r="J160" s="96"/>
      <c r="K160" s="96"/>
      <c r="L160" s="96"/>
      <c r="M160" s="72">
        <f t="shared" si="37"/>
        <v>4</v>
      </c>
      <c r="N160" s="72"/>
      <c r="O160" s="100">
        <f t="shared" si="38"/>
        <v>6.7308</v>
      </c>
    </row>
    <row r="161" ht="14.25" spans="1:15">
      <c r="A161" s="90">
        <v>6</v>
      </c>
      <c r="B161" s="72" t="s">
        <v>157</v>
      </c>
      <c r="C161" s="96" t="s">
        <v>252</v>
      </c>
      <c r="D161" s="110" t="s">
        <v>209</v>
      </c>
      <c r="E161" s="90" t="s">
        <v>94</v>
      </c>
      <c r="F161" s="111">
        <f>0.97*2.237</f>
        <v>2.16989</v>
      </c>
      <c r="G161" s="96">
        <v>2</v>
      </c>
      <c r="H161" s="96"/>
      <c r="I161" s="96"/>
      <c r="J161" s="96"/>
      <c r="K161" s="96"/>
      <c r="L161" s="96"/>
      <c r="M161" s="72">
        <f t="shared" si="37"/>
        <v>2</v>
      </c>
      <c r="N161" s="72"/>
      <c r="O161" s="100">
        <f t="shared" si="38"/>
        <v>4.33978</v>
      </c>
    </row>
    <row r="162" ht="26" customHeight="1" spans="1:15">
      <c r="A162" s="90">
        <v>7</v>
      </c>
      <c r="B162" s="90" t="s">
        <v>151</v>
      </c>
      <c r="C162" s="96" t="s">
        <v>253</v>
      </c>
      <c r="D162" s="70" t="s">
        <v>153</v>
      </c>
      <c r="E162" s="96" t="s">
        <v>96</v>
      </c>
      <c r="F162" s="97">
        <f>2-0.03</f>
        <v>1.97</v>
      </c>
      <c r="G162" s="96"/>
      <c r="H162" s="96">
        <v>4</v>
      </c>
      <c r="I162" s="96">
        <v>4</v>
      </c>
      <c r="J162" s="96">
        <v>4</v>
      </c>
      <c r="K162" s="96">
        <v>4</v>
      </c>
      <c r="L162" s="96">
        <v>4</v>
      </c>
      <c r="M162" s="72">
        <f t="shared" si="37"/>
        <v>36</v>
      </c>
      <c r="N162" s="72"/>
      <c r="O162" s="100">
        <f t="shared" si="38"/>
        <v>70.92</v>
      </c>
    </row>
    <row r="163" ht="99.75" spans="1:15">
      <c r="A163" s="90">
        <v>8</v>
      </c>
      <c r="B163" s="96" t="s">
        <v>154</v>
      </c>
      <c r="C163" s="96" t="s">
        <v>254</v>
      </c>
      <c r="D163" s="96" t="s">
        <v>255</v>
      </c>
      <c r="E163" s="96" t="s">
        <v>96</v>
      </c>
      <c r="F163" s="78">
        <f>6.9-0.06</f>
        <v>6.84</v>
      </c>
      <c r="G163" s="97"/>
      <c r="H163" s="96">
        <v>4</v>
      </c>
      <c r="I163" s="96">
        <v>4</v>
      </c>
      <c r="J163" s="96">
        <v>4</v>
      </c>
      <c r="K163" s="96">
        <v>4</v>
      </c>
      <c r="L163" s="96">
        <v>4</v>
      </c>
      <c r="M163" s="72">
        <f t="shared" si="37"/>
        <v>36</v>
      </c>
      <c r="N163" s="72"/>
      <c r="O163" s="100">
        <f t="shared" si="38"/>
        <v>246.24</v>
      </c>
    </row>
    <row r="164" ht="36" customHeight="1" spans="1:15">
      <c r="A164" s="90">
        <v>9</v>
      </c>
      <c r="B164" s="69" t="s">
        <v>162</v>
      </c>
      <c r="C164" s="96" t="s">
        <v>256</v>
      </c>
      <c r="D164" s="96" t="s">
        <v>164</v>
      </c>
      <c r="E164" s="96" t="s">
        <v>96</v>
      </c>
      <c r="F164" s="97">
        <f>(0.8-0.15)*2+1.3</f>
        <v>2.6</v>
      </c>
      <c r="G164" s="96"/>
      <c r="H164" s="96">
        <v>4</v>
      </c>
      <c r="I164" s="96">
        <v>4</v>
      </c>
      <c r="J164" s="96">
        <v>4</v>
      </c>
      <c r="K164" s="96">
        <v>4</v>
      </c>
      <c r="L164" s="96">
        <v>4</v>
      </c>
      <c r="M164" s="72">
        <f t="shared" si="37"/>
        <v>36</v>
      </c>
      <c r="N164" s="72"/>
      <c r="O164" s="100">
        <f t="shared" si="38"/>
        <v>93.6</v>
      </c>
    </row>
    <row r="165" ht="27" customHeight="1" spans="1:15">
      <c r="A165" s="90">
        <v>10</v>
      </c>
      <c r="B165" s="96" t="s">
        <v>168</v>
      </c>
      <c r="C165" s="90"/>
      <c r="D165" s="96"/>
      <c r="E165" s="96"/>
      <c r="F165" s="96"/>
      <c r="G165" s="97">
        <f>1.832+2.415+2.193+2.236+2.266+2.748</f>
        <v>13.69</v>
      </c>
      <c r="H165" s="96">
        <f>2.447+0.26</f>
        <v>2.707</v>
      </c>
      <c r="I165" s="96">
        <f t="shared" ref="I165:L165" si="39">2.518+2.511</f>
        <v>5.029</v>
      </c>
      <c r="J165" s="96">
        <f t="shared" si="39"/>
        <v>5.029</v>
      </c>
      <c r="K165" s="96">
        <f t="shared" si="39"/>
        <v>5.029</v>
      </c>
      <c r="L165" s="96">
        <v>1.35</v>
      </c>
      <c r="M165" s="96"/>
      <c r="N165" s="72"/>
      <c r="O165" s="118">
        <f>(G165+H165+I165+J165+K165*5+L165)*2</f>
        <v>105.9</v>
      </c>
    </row>
    <row r="166" ht="27" customHeight="1" spans="1:15">
      <c r="A166" s="90">
        <v>11</v>
      </c>
      <c r="B166" s="72" t="s">
        <v>170</v>
      </c>
      <c r="C166" s="72"/>
      <c r="D166" s="72" t="s">
        <v>171</v>
      </c>
      <c r="E166" s="69" t="s">
        <v>96</v>
      </c>
      <c r="F166" s="69"/>
      <c r="G166" s="96"/>
      <c r="H166" s="97">
        <v>2.059</v>
      </c>
      <c r="I166" s="96"/>
      <c r="J166" s="96"/>
      <c r="K166" s="96"/>
      <c r="L166" s="96"/>
      <c r="M166" s="96"/>
      <c r="N166" s="72"/>
      <c r="O166" s="118">
        <f>(G166+H166+I166+J166+K166+L166)*2</f>
        <v>4.118</v>
      </c>
    </row>
    <row r="167" ht="24.95" customHeight="1" spans="1:15">
      <c r="A167" s="112" t="s">
        <v>257</v>
      </c>
      <c r="B167" s="113"/>
      <c r="C167" s="113"/>
      <c r="D167" s="114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72"/>
    </row>
    <row r="168" spans="1:15">
      <c r="A168" s="69" t="s">
        <v>1</v>
      </c>
      <c r="B168" s="69" t="s">
        <v>137</v>
      </c>
      <c r="C168" s="69" t="s">
        <v>2</v>
      </c>
      <c r="D168" s="69" t="s">
        <v>138</v>
      </c>
      <c r="E168" s="69" t="s">
        <v>257</v>
      </c>
      <c r="F168" s="69"/>
      <c r="G168" s="69"/>
      <c r="H168" s="69"/>
      <c r="I168" s="69"/>
      <c r="J168" s="69"/>
      <c r="K168" s="69"/>
      <c r="L168" s="69"/>
      <c r="M168" s="69"/>
      <c r="N168" s="69"/>
      <c r="O168" s="72"/>
    </row>
    <row r="169" spans="1:15">
      <c r="A169" s="69"/>
      <c r="B169" s="69"/>
      <c r="C169" s="69"/>
      <c r="D169" s="69"/>
      <c r="E169" s="69" t="s">
        <v>87</v>
      </c>
      <c r="F169" s="69"/>
      <c r="G169" s="69" t="s">
        <v>192</v>
      </c>
      <c r="H169" s="72" t="s">
        <v>193</v>
      </c>
      <c r="I169" s="72" t="s">
        <v>194</v>
      </c>
      <c r="J169" s="72" t="s">
        <v>195</v>
      </c>
      <c r="K169" s="72" t="s">
        <v>258</v>
      </c>
      <c r="L169" s="72" t="s">
        <v>259</v>
      </c>
      <c r="M169" s="72"/>
      <c r="N169" s="72"/>
      <c r="O169" s="101" t="s">
        <v>132</v>
      </c>
    </row>
    <row r="170" spans="1:15">
      <c r="A170" s="69">
        <v>1</v>
      </c>
      <c r="B170" s="72" t="s">
        <v>157</v>
      </c>
      <c r="C170" s="69" t="s">
        <v>234</v>
      </c>
      <c r="D170" s="70" t="s">
        <v>159</v>
      </c>
      <c r="E170" s="69" t="s">
        <v>94</v>
      </c>
      <c r="F170" s="77">
        <f>0.97*2.27</f>
        <v>2.2019</v>
      </c>
      <c r="G170" s="69">
        <v>3</v>
      </c>
      <c r="H170" s="69">
        <v>3</v>
      </c>
      <c r="I170" s="69">
        <v>3</v>
      </c>
      <c r="J170" s="72"/>
      <c r="K170" s="69">
        <v>3</v>
      </c>
      <c r="L170" s="72"/>
      <c r="M170" s="72">
        <f t="shared" ref="M170:M190" si="40">G170+H170+I170+J170+K170*9+L170</f>
        <v>36</v>
      </c>
      <c r="N170" s="72"/>
      <c r="O170" s="100">
        <f t="shared" ref="O170:O183" si="41">M170*F170</f>
        <v>79.2684</v>
      </c>
    </row>
    <row r="171" spans="1:15">
      <c r="A171" s="69">
        <v>2</v>
      </c>
      <c r="B171" s="72" t="s">
        <v>157</v>
      </c>
      <c r="C171" s="69" t="s">
        <v>235</v>
      </c>
      <c r="D171" s="70" t="s">
        <v>236</v>
      </c>
      <c r="E171" s="69" t="s">
        <v>94</v>
      </c>
      <c r="F171" s="77">
        <f>0.97*2.17</f>
        <v>2.1049</v>
      </c>
      <c r="G171" s="69"/>
      <c r="H171" s="69"/>
      <c r="I171" s="69"/>
      <c r="J171" s="72">
        <v>3</v>
      </c>
      <c r="K171" s="69"/>
      <c r="L171" s="72">
        <v>3</v>
      </c>
      <c r="M171" s="72">
        <f t="shared" si="40"/>
        <v>6</v>
      </c>
      <c r="N171" s="72"/>
      <c r="O171" s="100">
        <f t="shared" si="41"/>
        <v>12.6294</v>
      </c>
    </row>
    <row r="172" spans="1:15">
      <c r="A172" s="69">
        <v>5</v>
      </c>
      <c r="B172" s="72" t="s">
        <v>157</v>
      </c>
      <c r="C172" s="69" t="s">
        <v>260</v>
      </c>
      <c r="D172" s="70" t="s">
        <v>261</v>
      </c>
      <c r="E172" s="69" t="s">
        <v>94</v>
      </c>
      <c r="F172" s="77">
        <f>0.75*2.27</f>
        <v>1.7025</v>
      </c>
      <c r="G172" s="69">
        <v>1</v>
      </c>
      <c r="H172" s="69">
        <v>1</v>
      </c>
      <c r="I172" s="69">
        <v>1</v>
      </c>
      <c r="J172" s="72"/>
      <c r="K172" s="69">
        <v>1</v>
      </c>
      <c r="L172" s="72"/>
      <c r="M172" s="72">
        <f t="shared" si="40"/>
        <v>12</v>
      </c>
      <c r="N172" s="72"/>
      <c r="O172" s="100">
        <f t="shared" si="41"/>
        <v>20.43</v>
      </c>
    </row>
    <row r="173" spans="1:15">
      <c r="A173" s="69">
        <v>6</v>
      </c>
      <c r="B173" s="72" t="s">
        <v>157</v>
      </c>
      <c r="C173" s="69" t="s">
        <v>262</v>
      </c>
      <c r="D173" s="70" t="s">
        <v>263</v>
      </c>
      <c r="E173" s="69" t="s">
        <v>94</v>
      </c>
      <c r="F173" s="77">
        <f>0.75*1.97</f>
        <v>1.4775</v>
      </c>
      <c r="G173" s="69"/>
      <c r="H173" s="72"/>
      <c r="I173" s="72"/>
      <c r="J173" s="72">
        <v>1</v>
      </c>
      <c r="K173" s="72"/>
      <c r="L173" s="72">
        <v>1</v>
      </c>
      <c r="M173" s="72">
        <f t="shared" si="40"/>
        <v>2</v>
      </c>
      <c r="N173" s="72"/>
      <c r="O173" s="100">
        <f t="shared" si="41"/>
        <v>2.955</v>
      </c>
    </row>
    <row r="174" ht="27" spans="1:15">
      <c r="A174" s="69">
        <v>7</v>
      </c>
      <c r="B174" s="69" t="s">
        <v>151</v>
      </c>
      <c r="C174" s="69" t="s">
        <v>264</v>
      </c>
      <c r="D174" s="70" t="s">
        <v>153</v>
      </c>
      <c r="E174" s="69" t="s">
        <v>96</v>
      </c>
      <c r="F174" s="77">
        <f>1.8-0.03</f>
        <v>1.77</v>
      </c>
      <c r="G174" s="69"/>
      <c r="H174" s="72">
        <v>2</v>
      </c>
      <c r="I174" s="72">
        <v>2</v>
      </c>
      <c r="J174" s="72">
        <v>2</v>
      </c>
      <c r="K174" s="72">
        <v>2</v>
      </c>
      <c r="L174" s="72">
        <v>2</v>
      </c>
      <c r="M174" s="72">
        <f t="shared" si="40"/>
        <v>26</v>
      </c>
      <c r="N174" s="72"/>
      <c r="O174" s="100">
        <f t="shared" si="41"/>
        <v>46.02</v>
      </c>
    </row>
    <row r="175" spans="1:15">
      <c r="A175" s="69">
        <v>9</v>
      </c>
      <c r="B175" s="69" t="s">
        <v>151</v>
      </c>
      <c r="C175" s="69" t="s">
        <v>265</v>
      </c>
      <c r="D175" s="70" t="s">
        <v>153</v>
      </c>
      <c r="E175" s="69" t="s">
        <v>96</v>
      </c>
      <c r="F175" s="77">
        <f>1.8-0.03</f>
        <v>1.77</v>
      </c>
      <c r="G175" s="69"/>
      <c r="H175" s="72">
        <v>1</v>
      </c>
      <c r="I175" s="72">
        <v>1</v>
      </c>
      <c r="J175" s="72">
        <v>1</v>
      </c>
      <c r="K175" s="72">
        <v>1</v>
      </c>
      <c r="L175" s="72">
        <v>1</v>
      </c>
      <c r="M175" s="72">
        <f t="shared" si="40"/>
        <v>13</v>
      </c>
      <c r="N175" s="72"/>
      <c r="O175" s="100">
        <f t="shared" si="41"/>
        <v>23.01</v>
      </c>
    </row>
    <row r="176" ht="27" spans="1:15">
      <c r="A176" s="69">
        <v>10</v>
      </c>
      <c r="B176" s="69" t="s">
        <v>151</v>
      </c>
      <c r="C176" s="69" t="s">
        <v>266</v>
      </c>
      <c r="D176" s="70" t="s">
        <v>153</v>
      </c>
      <c r="E176" s="69" t="s">
        <v>96</v>
      </c>
      <c r="F176" s="77">
        <f>1.5-0.03</f>
        <v>1.47</v>
      </c>
      <c r="G176" s="69"/>
      <c r="H176" s="72">
        <v>4</v>
      </c>
      <c r="I176" s="72">
        <v>4</v>
      </c>
      <c r="J176" s="72">
        <v>4</v>
      </c>
      <c r="K176" s="72">
        <v>4</v>
      </c>
      <c r="L176" s="72">
        <v>4</v>
      </c>
      <c r="M176" s="72">
        <f t="shared" si="40"/>
        <v>52</v>
      </c>
      <c r="N176" s="72"/>
      <c r="O176" s="100">
        <f t="shared" si="41"/>
        <v>76.44</v>
      </c>
    </row>
    <row r="177" spans="1:15">
      <c r="A177" s="69">
        <v>13</v>
      </c>
      <c r="B177" s="69" t="s">
        <v>151</v>
      </c>
      <c r="C177" s="69" t="s">
        <v>267</v>
      </c>
      <c r="D177" s="70" t="s">
        <v>153</v>
      </c>
      <c r="E177" s="69" t="s">
        <v>96</v>
      </c>
      <c r="F177" s="77">
        <f>2-0.03</f>
        <v>1.97</v>
      </c>
      <c r="G177" s="69"/>
      <c r="H177" s="72">
        <v>1</v>
      </c>
      <c r="I177" s="72">
        <v>1</v>
      </c>
      <c r="J177" s="72">
        <v>1</v>
      </c>
      <c r="K177" s="72">
        <v>1</v>
      </c>
      <c r="L177" s="72">
        <v>1</v>
      </c>
      <c r="M177" s="72">
        <f t="shared" si="40"/>
        <v>13</v>
      </c>
      <c r="N177" s="72"/>
      <c r="O177" s="100">
        <f t="shared" si="41"/>
        <v>25.61</v>
      </c>
    </row>
    <row r="178" ht="27" spans="1:15">
      <c r="A178" s="69">
        <v>14</v>
      </c>
      <c r="B178" s="72" t="s">
        <v>154</v>
      </c>
      <c r="C178" s="69" t="s">
        <v>268</v>
      </c>
      <c r="D178" s="69" t="s">
        <v>202</v>
      </c>
      <c r="E178" s="69" t="s">
        <v>96</v>
      </c>
      <c r="F178" s="77">
        <f>4.85-0.03</f>
        <v>4.82</v>
      </c>
      <c r="G178" s="69"/>
      <c r="H178" s="72">
        <v>2</v>
      </c>
      <c r="I178" s="72">
        <v>2</v>
      </c>
      <c r="J178" s="72">
        <v>2</v>
      </c>
      <c r="K178" s="72">
        <v>2</v>
      </c>
      <c r="L178" s="72">
        <v>2</v>
      </c>
      <c r="M178" s="72">
        <f t="shared" si="40"/>
        <v>26</v>
      </c>
      <c r="N178" s="72"/>
      <c r="O178" s="100">
        <f t="shared" si="41"/>
        <v>125.32</v>
      </c>
    </row>
    <row r="179" ht="42" customHeight="1" spans="1:15">
      <c r="A179" s="69">
        <v>16</v>
      </c>
      <c r="B179" s="72" t="s">
        <v>154</v>
      </c>
      <c r="C179" s="69" t="s">
        <v>269</v>
      </c>
      <c r="D179" s="69" t="s">
        <v>203</v>
      </c>
      <c r="E179" s="69" t="s">
        <v>96</v>
      </c>
      <c r="F179" s="77">
        <f>1.3-0.03</f>
        <v>1.27</v>
      </c>
      <c r="G179" s="69"/>
      <c r="H179" s="72">
        <v>4</v>
      </c>
      <c r="I179" s="72">
        <v>4</v>
      </c>
      <c r="J179" s="72">
        <v>4</v>
      </c>
      <c r="K179" s="72">
        <v>4</v>
      </c>
      <c r="L179" s="72">
        <v>4</v>
      </c>
      <c r="M179" s="72">
        <f t="shared" si="40"/>
        <v>52</v>
      </c>
      <c r="N179" s="72"/>
      <c r="O179" s="100">
        <f t="shared" si="41"/>
        <v>66.04</v>
      </c>
    </row>
    <row r="180" ht="21" customHeight="1" spans="1:15">
      <c r="A180" s="69">
        <v>17</v>
      </c>
      <c r="B180" s="72" t="s">
        <v>154</v>
      </c>
      <c r="C180" s="69" t="s">
        <v>270</v>
      </c>
      <c r="D180" s="69" t="s">
        <v>203</v>
      </c>
      <c r="E180" s="69" t="s">
        <v>96</v>
      </c>
      <c r="F180" s="77">
        <f>1.13-0.03</f>
        <v>1.1</v>
      </c>
      <c r="G180" s="69"/>
      <c r="H180" s="72">
        <v>1</v>
      </c>
      <c r="I180" s="72">
        <v>1</v>
      </c>
      <c r="J180" s="72">
        <v>1</v>
      </c>
      <c r="K180" s="72">
        <v>1</v>
      </c>
      <c r="L180" s="72">
        <v>1</v>
      </c>
      <c r="M180" s="72">
        <f t="shared" si="40"/>
        <v>13</v>
      </c>
      <c r="N180" s="72"/>
      <c r="O180" s="100">
        <f t="shared" si="41"/>
        <v>14.3</v>
      </c>
    </row>
    <row r="181" ht="27" spans="1:15">
      <c r="A181" s="69">
        <v>30</v>
      </c>
      <c r="B181" s="72" t="s">
        <v>154</v>
      </c>
      <c r="C181" s="72" t="s">
        <v>271</v>
      </c>
      <c r="D181" s="69" t="s">
        <v>203</v>
      </c>
      <c r="E181" s="69" t="s">
        <v>96</v>
      </c>
      <c r="F181" s="77">
        <f>1.7-0.03</f>
        <v>1.67</v>
      </c>
      <c r="G181" s="69"/>
      <c r="H181" s="72">
        <v>2</v>
      </c>
      <c r="I181" s="72">
        <v>2</v>
      </c>
      <c r="J181" s="72">
        <v>2</v>
      </c>
      <c r="K181" s="72">
        <v>2</v>
      </c>
      <c r="L181" s="72">
        <v>2</v>
      </c>
      <c r="M181" s="72">
        <f t="shared" si="40"/>
        <v>26</v>
      </c>
      <c r="N181" s="72"/>
      <c r="O181" s="100">
        <f t="shared" si="41"/>
        <v>43.42</v>
      </c>
    </row>
    <row r="182" ht="27" spans="1:15">
      <c r="A182" s="69">
        <v>32</v>
      </c>
      <c r="B182" s="72" t="s">
        <v>178</v>
      </c>
      <c r="C182" s="72" t="s">
        <v>272</v>
      </c>
      <c r="D182" s="69" t="s">
        <v>232</v>
      </c>
      <c r="E182" s="69" t="s">
        <v>96</v>
      </c>
      <c r="F182" s="77">
        <f>1.3-0.03</f>
        <v>1.27</v>
      </c>
      <c r="G182" s="69"/>
      <c r="H182" s="72">
        <v>2</v>
      </c>
      <c r="I182" s="72">
        <v>2</v>
      </c>
      <c r="J182" s="72">
        <v>2</v>
      </c>
      <c r="K182" s="72">
        <v>2</v>
      </c>
      <c r="L182" s="72">
        <v>2</v>
      </c>
      <c r="M182" s="72">
        <f t="shared" si="40"/>
        <v>26</v>
      </c>
      <c r="N182" s="72"/>
      <c r="O182" s="100">
        <f t="shared" si="41"/>
        <v>33.02</v>
      </c>
    </row>
    <row r="183" spans="1:15">
      <c r="A183" s="69">
        <v>20</v>
      </c>
      <c r="B183" s="69" t="s">
        <v>162</v>
      </c>
      <c r="C183" s="69" t="s">
        <v>273</v>
      </c>
      <c r="D183" s="72" t="s">
        <v>164</v>
      </c>
      <c r="E183" s="69" t="s">
        <v>96</v>
      </c>
      <c r="F183" s="77">
        <f>0.8-0.15+1.5-0.15</f>
        <v>2</v>
      </c>
      <c r="G183" s="69"/>
      <c r="H183" s="72">
        <v>1</v>
      </c>
      <c r="I183" s="72">
        <v>1</v>
      </c>
      <c r="J183" s="72">
        <v>1</v>
      </c>
      <c r="K183" s="72">
        <v>1</v>
      </c>
      <c r="L183" s="72">
        <v>1</v>
      </c>
      <c r="M183" s="72">
        <f t="shared" si="40"/>
        <v>13</v>
      </c>
      <c r="N183" s="72"/>
      <c r="O183" s="100">
        <f t="shared" si="41"/>
        <v>26</v>
      </c>
    </row>
    <row r="184" spans="1:15">
      <c r="A184" s="69">
        <v>22</v>
      </c>
      <c r="B184" s="69" t="s">
        <v>162</v>
      </c>
      <c r="C184" s="72" t="s">
        <v>274</v>
      </c>
      <c r="D184" s="72" t="s">
        <v>164</v>
      </c>
      <c r="E184" s="69" t="s">
        <v>96</v>
      </c>
      <c r="F184" s="77">
        <f>2.8-0.3</f>
        <v>2.5</v>
      </c>
      <c r="G184" s="69"/>
      <c r="H184" s="72">
        <v>1</v>
      </c>
      <c r="I184" s="72">
        <v>1</v>
      </c>
      <c r="J184" s="72">
        <v>1</v>
      </c>
      <c r="K184" s="72">
        <v>1</v>
      </c>
      <c r="L184" s="72">
        <v>1</v>
      </c>
      <c r="M184" s="72">
        <f t="shared" si="40"/>
        <v>13</v>
      </c>
      <c r="N184" s="72"/>
      <c r="O184" s="100">
        <f t="shared" ref="O184:O195" si="42">M184*F184</f>
        <v>32.5</v>
      </c>
    </row>
    <row r="185" spans="1:15">
      <c r="A185" s="69">
        <v>23</v>
      </c>
      <c r="B185" s="69" t="s">
        <v>162</v>
      </c>
      <c r="C185" s="72" t="s">
        <v>275</v>
      </c>
      <c r="D185" s="72" t="s">
        <v>164</v>
      </c>
      <c r="E185" s="69" t="s">
        <v>96</v>
      </c>
      <c r="F185" s="77">
        <f>0.8-0.15+1.5-0.15</f>
        <v>2</v>
      </c>
      <c r="G185" s="69"/>
      <c r="H185" s="72">
        <v>1</v>
      </c>
      <c r="I185" s="72">
        <v>1</v>
      </c>
      <c r="J185" s="72">
        <v>1</v>
      </c>
      <c r="K185" s="72">
        <v>1</v>
      </c>
      <c r="L185" s="72">
        <v>1</v>
      </c>
      <c r="M185" s="72">
        <f t="shared" si="40"/>
        <v>13</v>
      </c>
      <c r="N185" s="72"/>
      <c r="O185" s="100">
        <f t="shared" si="42"/>
        <v>26</v>
      </c>
    </row>
    <row r="186" spans="1:15">
      <c r="A186" s="69">
        <v>24</v>
      </c>
      <c r="B186" s="69" t="s">
        <v>162</v>
      </c>
      <c r="C186" s="72" t="s">
        <v>276</v>
      </c>
      <c r="D186" s="72" t="s">
        <v>164</v>
      </c>
      <c r="E186" s="69" t="s">
        <v>96</v>
      </c>
      <c r="F186" s="77">
        <f>(0.8-0.15)*2+2.9</f>
        <v>4.2</v>
      </c>
      <c r="G186" s="69"/>
      <c r="H186" s="72">
        <v>1</v>
      </c>
      <c r="I186" s="72">
        <v>1</v>
      </c>
      <c r="J186" s="72">
        <v>1</v>
      </c>
      <c r="K186" s="72">
        <v>1</v>
      </c>
      <c r="L186" s="72">
        <v>1</v>
      </c>
      <c r="M186" s="72">
        <f t="shared" si="40"/>
        <v>13</v>
      </c>
      <c r="N186" s="72"/>
      <c r="O186" s="100">
        <f t="shared" si="42"/>
        <v>54.6</v>
      </c>
    </row>
    <row r="187" spans="1:15">
      <c r="A187" s="69">
        <v>25</v>
      </c>
      <c r="B187" s="69" t="s">
        <v>162</v>
      </c>
      <c r="C187" s="72" t="s">
        <v>277</v>
      </c>
      <c r="D187" s="72" t="s">
        <v>164</v>
      </c>
      <c r="E187" s="69" t="s">
        <v>96</v>
      </c>
      <c r="F187" s="77">
        <f>(0.8-0.15)*2+1.4</f>
        <v>2.7</v>
      </c>
      <c r="G187" s="69"/>
      <c r="H187" s="72">
        <v>1</v>
      </c>
      <c r="I187" s="72">
        <v>1</v>
      </c>
      <c r="J187" s="72">
        <v>1</v>
      </c>
      <c r="K187" s="72">
        <v>1</v>
      </c>
      <c r="L187" s="72">
        <v>1</v>
      </c>
      <c r="M187" s="72">
        <f t="shared" si="40"/>
        <v>13</v>
      </c>
      <c r="N187" s="72"/>
      <c r="O187" s="100">
        <f t="shared" si="42"/>
        <v>35.1</v>
      </c>
    </row>
    <row r="188" spans="1:15">
      <c r="A188" s="69">
        <v>26</v>
      </c>
      <c r="B188" s="69" t="s">
        <v>162</v>
      </c>
      <c r="C188" s="72" t="s">
        <v>278</v>
      </c>
      <c r="D188" s="72" t="s">
        <v>164</v>
      </c>
      <c r="E188" s="69" t="s">
        <v>96</v>
      </c>
      <c r="F188" s="77">
        <f>1.7-0.15+1.3-0.15</f>
        <v>2.7</v>
      </c>
      <c r="G188" s="69"/>
      <c r="H188" s="72"/>
      <c r="I188" s="72">
        <v>1</v>
      </c>
      <c r="J188" s="72">
        <v>1</v>
      </c>
      <c r="K188" s="72">
        <v>1</v>
      </c>
      <c r="L188" s="72">
        <v>1</v>
      </c>
      <c r="M188" s="72">
        <f t="shared" si="40"/>
        <v>12</v>
      </c>
      <c r="N188" s="72"/>
      <c r="O188" s="100">
        <f t="shared" si="42"/>
        <v>32.4</v>
      </c>
    </row>
    <row r="189" spans="1:15">
      <c r="A189" s="69">
        <v>27</v>
      </c>
      <c r="B189" s="69" t="s">
        <v>162</v>
      </c>
      <c r="C189" s="72" t="s">
        <v>279</v>
      </c>
      <c r="D189" s="72" t="s">
        <v>164</v>
      </c>
      <c r="E189" s="69" t="s">
        <v>96</v>
      </c>
      <c r="F189" s="77">
        <f>0.9-0.15+2.5-0.15</f>
        <v>3.1</v>
      </c>
      <c r="G189" s="69"/>
      <c r="H189" s="72">
        <v>1</v>
      </c>
      <c r="I189" s="72"/>
      <c r="J189" s="72"/>
      <c r="K189" s="72"/>
      <c r="L189" s="72"/>
      <c r="M189" s="72">
        <f t="shared" si="40"/>
        <v>1</v>
      </c>
      <c r="O189" s="100">
        <f t="shared" si="42"/>
        <v>3.1</v>
      </c>
    </row>
    <row r="190" ht="27" spans="1:15">
      <c r="A190" s="69">
        <v>28</v>
      </c>
      <c r="B190" s="69" t="s">
        <v>162</v>
      </c>
      <c r="C190" s="72" t="s">
        <v>280</v>
      </c>
      <c r="D190" s="72" t="s">
        <v>164</v>
      </c>
      <c r="E190" s="69" t="s">
        <v>96</v>
      </c>
      <c r="F190" s="77">
        <f>(0.8-0.15)*2+1.35</f>
        <v>2.65</v>
      </c>
      <c r="G190" s="69"/>
      <c r="H190" s="72">
        <v>2</v>
      </c>
      <c r="I190" s="72">
        <v>2</v>
      </c>
      <c r="J190" s="72">
        <v>2</v>
      </c>
      <c r="K190" s="72">
        <v>2</v>
      </c>
      <c r="L190" s="72">
        <v>2</v>
      </c>
      <c r="M190" s="72">
        <f t="shared" si="40"/>
        <v>26</v>
      </c>
      <c r="N190" s="72"/>
      <c r="O190" s="100">
        <f t="shared" si="42"/>
        <v>68.9</v>
      </c>
    </row>
    <row r="191" ht="24" customHeight="1" spans="1:15">
      <c r="A191" s="69">
        <v>34</v>
      </c>
      <c r="B191" s="72" t="s">
        <v>168</v>
      </c>
      <c r="C191" s="69"/>
      <c r="D191" s="72" t="s">
        <v>169</v>
      </c>
      <c r="E191" s="69" t="s">
        <v>96</v>
      </c>
      <c r="F191" s="69" t="s">
        <v>281</v>
      </c>
      <c r="G191" s="115">
        <f>1.845+2.454+2.134+0.32+2.464+5.25</f>
        <v>14.467</v>
      </c>
      <c r="H191" s="88">
        <f>2.86+0.635</f>
        <v>3.495</v>
      </c>
      <c r="I191" s="72">
        <f>3.397+1.7+1.528</f>
        <v>6.625</v>
      </c>
      <c r="J191" s="72">
        <f>2.474+2.474</f>
        <v>4.948</v>
      </c>
      <c r="K191" s="72">
        <v>4.948</v>
      </c>
      <c r="L191" s="72">
        <v>4.948</v>
      </c>
      <c r="M191" s="72">
        <v>1.35</v>
      </c>
      <c r="N191" s="72"/>
      <c r="O191" s="100">
        <f>G191+H191+I191+J191+K191*9+L191+M191</f>
        <v>80.365</v>
      </c>
    </row>
    <row r="192" ht="24" customHeight="1" spans="1:15">
      <c r="A192" s="69">
        <v>34</v>
      </c>
      <c r="B192" s="72" t="s">
        <v>168</v>
      </c>
      <c r="C192" s="69"/>
      <c r="D192" s="72" t="s">
        <v>169</v>
      </c>
      <c r="E192" s="69" t="s">
        <v>96</v>
      </c>
      <c r="F192" s="69" t="s">
        <v>282</v>
      </c>
      <c r="G192" s="115">
        <f>1.845+2.454+2.43+2.464+2.75+2.728</f>
        <v>14.671</v>
      </c>
      <c r="H192" s="88">
        <v>2.447</v>
      </c>
      <c r="I192" s="72">
        <f t="shared" ref="I192:L192" si="43">2.47+2.452</f>
        <v>4.922</v>
      </c>
      <c r="J192" s="72">
        <f t="shared" si="43"/>
        <v>4.922</v>
      </c>
      <c r="K192" s="72">
        <f t="shared" si="43"/>
        <v>4.922</v>
      </c>
      <c r="L192" s="72">
        <f t="shared" si="43"/>
        <v>4.922</v>
      </c>
      <c r="M192" s="72">
        <v>1.35</v>
      </c>
      <c r="N192" s="72"/>
      <c r="O192" s="100">
        <f>G192+H192+I192+J192+K192*9+L192+M192</f>
        <v>77.532</v>
      </c>
    </row>
    <row r="193" ht="24" customHeight="1" spans="1:15">
      <c r="A193" s="69"/>
      <c r="B193" s="72" t="s">
        <v>170</v>
      </c>
      <c r="C193" s="72"/>
      <c r="D193" s="72" t="s">
        <v>171</v>
      </c>
      <c r="E193" s="69" t="s">
        <v>96</v>
      </c>
      <c r="F193" s="69"/>
      <c r="G193" s="69"/>
      <c r="H193" s="88">
        <f>2.397+4.299</f>
        <v>6.696</v>
      </c>
      <c r="I193" s="72"/>
      <c r="J193" s="72"/>
      <c r="K193" s="72"/>
      <c r="L193" s="72"/>
      <c r="M193" s="72"/>
      <c r="N193" s="72"/>
      <c r="O193" s="118">
        <f>G193*2</f>
        <v>0</v>
      </c>
    </row>
    <row r="194" ht="18" customHeight="1" spans="1:15">
      <c r="A194" s="72" t="s">
        <v>283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</row>
    <row r="195" spans="1:15">
      <c r="A195" s="69" t="s">
        <v>1</v>
      </c>
      <c r="B195" s="69" t="s">
        <v>137</v>
      </c>
      <c r="C195" s="69"/>
      <c r="D195" s="69" t="s">
        <v>51</v>
      </c>
      <c r="E195" s="69" t="s">
        <v>87</v>
      </c>
      <c r="F195" s="69"/>
      <c r="G195" s="69" t="s">
        <v>139</v>
      </c>
      <c r="H195" s="69" t="s">
        <v>140</v>
      </c>
      <c r="I195" s="69"/>
      <c r="J195" s="69"/>
      <c r="K195" s="69"/>
      <c r="L195" s="69"/>
      <c r="M195" s="69"/>
      <c r="N195" s="72"/>
      <c r="O195" s="85" t="s">
        <v>141</v>
      </c>
    </row>
    <row r="196" spans="1:15">
      <c r="A196" s="69"/>
      <c r="B196" s="69"/>
      <c r="C196" s="69"/>
      <c r="D196" s="69"/>
      <c r="E196" s="69"/>
      <c r="F196" s="69"/>
      <c r="G196" s="69"/>
      <c r="H196" s="69" t="s">
        <v>143</v>
      </c>
      <c r="I196" s="69" t="s">
        <v>144</v>
      </c>
      <c r="J196" s="69" t="s">
        <v>145</v>
      </c>
      <c r="K196" s="69" t="s">
        <v>146</v>
      </c>
      <c r="L196" s="69" t="s">
        <v>147</v>
      </c>
      <c r="M196" s="69" t="s">
        <v>148</v>
      </c>
      <c r="N196" s="72"/>
      <c r="O196" s="85"/>
    </row>
    <row r="197" ht="33" customHeight="1" spans="1:15">
      <c r="A197" s="69">
        <v>1</v>
      </c>
      <c r="B197" s="69" t="s">
        <v>151</v>
      </c>
      <c r="C197" s="69" t="s">
        <v>284</v>
      </c>
      <c r="D197" s="70" t="s">
        <v>153</v>
      </c>
      <c r="E197" s="69" t="s">
        <v>96</v>
      </c>
      <c r="F197" s="77">
        <f>2-0.03</f>
        <v>1.97</v>
      </c>
      <c r="G197" s="72"/>
      <c r="H197" s="69">
        <v>1</v>
      </c>
      <c r="I197" s="69">
        <v>1</v>
      </c>
      <c r="J197" s="69">
        <v>1</v>
      </c>
      <c r="K197" s="69">
        <v>1</v>
      </c>
      <c r="L197" s="69">
        <v>1</v>
      </c>
      <c r="M197" s="70">
        <f>H197+I197+J197+K197*9+L197</f>
        <v>13</v>
      </c>
      <c r="N197" s="72"/>
      <c r="O197" s="120">
        <f>F197*M197</f>
        <v>25.61</v>
      </c>
    </row>
    <row r="198" ht="36" customHeight="1" spans="1:15">
      <c r="A198" s="69"/>
      <c r="B198" s="69" t="s">
        <v>151</v>
      </c>
      <c r="C198" s="69" t="s">
        <v>285</v>
      </c>
      <c r="D198" s="70" t="s">
        <v>153</v>
      </c>
      <c r="E198" s="69" t="s">
        <v>96</v>
      </c>
      <c r="F198" s="77">
        <f>2.1-0.03</f>
        <v>2.07</v>
      </c>
      <c r="G198" s="72"/>
      <c r="H198" s="69">
        <v>1</v>
      </c>
      <c r="I198" s="69">
        <v>1</v>
      </c>
      <c r="J198" s="69">
        <v>1</v>
      </c>
      <c r="K198" s="69">
        <v>1</v>
      </c>
      <c r="L198" s="69">
        <v>1</v>
      </c>
      <c r="M198" s="70">
        <f t="shared" ref="M198:M203" si="44">H198+I198+J198+K198*9+L198</f>
        <v>13</v>
      </c>
      <c r="N198" s="72"/>
      <c r="O198" s="120">
        <f t="shared" ref="O198:O216" si="45">F198*M198</f>
        <v>26.91</v>
      </c>
    </row>
    <row r="199" ht="27" spans="1:15">
      <c r="A199" s="69"/>
      <c r="B199" s="69" t="s">
        <v>151</v>
      </c>
      <c r="C199" s="69" t="s">
        <v>286</v>
      </c>
      <c r="D199" s="70" t="s">
        <v>153</v>
      </c>
      <c r="E199" s="69" t="s">
        <v>96</v>
      </c>
      <c r="F199" s="77">
        <f>1.9-0.03</f>
        <v>1.87</v>
      </c>
      <c r="G199" s="72"/>
      <c r="H199" s="69">
        <v>1</v>
      </c>
      <c r="I199" s="69">
        <v>2</v>
      </c>
      <c r="J199" s="69">
        <v>2</v>
      </c>
      <c r="K199" s="69">
        <v>2</v>
      </c>
      <c r="L199" s="69">
        <v>2</v>
      </c>
      <c r="M199" s="70">
        <f t="shared" si="44"/>
        <v>25</v>
      </c>
      <c r="N199" s="72"/>
      <c r="O199" s="120">
        <f t="shared" si="45"/>
        <v>46.75</v>
      </c>
    </row>
    <row r="200" ht="27" spans="1:15">
      <c r="A200" s="72">
        <v>2</v>
      </c>
      <c r="B200" s="69" t="s">
        <v>162</v>
      </c>
      <c r="C200" s="72" t="s">
        <v>287</v>
      </c>
      <c r="D200" s="72" t="s">
        <v>182</v>
      </c>
      <c r="E200" s="72" t="s">
        <v>96</v>
      </c>
      <c r="F200" s="88">
        <f>(0.8-0.15)*2+1.4</f>
        <v>2.7</v>
      </c>
      <c r="G200" s="72"/>
      <c r="H200" s="72"/>
      <c r="I200" s="72">
        <v>2</v>
      </c>
      <c r="J200" s="72">
        <v>2</v>
      </c>
      <c r="K200" s="72">
        <v>2</v>
      </c>
      <c r="L200" s="72">
        <v>2</v>
      </c>
      <c r="M200" s="72">
        <f t="shared" si="44"/>
        <v>24</v>
      </c>
      <c r="N200" s="72"/>
      <c r="O200" s="120">
        <f t="shared" si="45"/>
        <v>64.8</v>
      </c>
    </row>
    <row r="201" ht="27" spans="1:15">
      <c r="A201" s="72"/>
      <c r="B201" s="69" t="s">
        <v>162</v>
      </c>
      <c r="C201" s="72" t="s">
        <v>288</v>
      </c>
      <c r="D201" s="72" t="s">
        <v>182</v>
      </c>
      <c r="E201" s="72" t="s">
        <v>96</v>
      </c>
      <c r="F201" s="88">
        <f>0.65*2+1.1</f>
        <v>2.4</v>
      </c>
      <c r="H201" s="72">
        <v>2</v>
      </c>
      <c r="I201" s="72"/>
      <c r="J201" s="72"/>
      <c r="K201" s="72"/>
      <c r="L201" s="72"/>
      <c r="M201" s="72">
        <f t="shared" si="44"/>
        <v>2</v>
      </c>
      <c r="N201" s="72"/>
      <c r="O201" s="120">
        <f t="shared" si="45"/>
        <v>4.8</v>
      </c>
    </row>
    <row r="202" ht="27" spans="1:15">
      <c r="A202" s="72"/>
      <c r="B202" s="69" t="s">
        <v>162</v>
      </c>
      <c r="C202" s="72" t="s">
        <v>289</v>
      </c>
      <c r="D202" s="72" t="s">
        <v>182</v>
      </c>
      <c r="E202" s="72" t="s">
        <v>96</v>
      </c>
      <c r="F202" s="88">
        <f>2.7-0.15+0.7-0.15</f>
        <v>3.1</v>
      </c>
      <c r="G202" s="72"/>
      <c r="H202" s="72"/>
      <c r="I202" s="72">
        <v>2</v>
      </c>
      <c r="J202" s="72">
        <v>2</v>
      </c>
      <c r="K202" s="72">
        <v>2</v>
      </c>
      <c r="L202" s="72">
        <v>2</v>
      </c>
      <c r="M202" s="72">
        <f t="shared" si="44"/>
        <v>24</v>
      </c>
      <c r="N202" s="72"/>
      <c r="O202" s="120">
        <f t="shared" si="45"/>
        <v>74.4</v>
      </c>
    </row>
    <row r="203" ht="41" customHeight="1" spans="1:16">
      <c r="A203" s="72"/>
      <c r="B203" s="69" t="s">
        <v>162</v>
      </c>
      <c r="C203" s="72" t="s">
        <v>289</v>
      </c>
      <c r="D203" s="72" t="s">
        <v>182</v>
      </c>
      <c r="E203" s="72" t="s">
        <v>96</v>
      </c>
      <c r="F203" s="88">
        <f>2.4+0.7-0.15</f>
        <v>2.95</v>
      </c>
      <c r="G203" s="72"/>
      <c r="H203" s="72">
        <v>2</v>
      </c>
      <c r="I203" s="72"/>
      <c r="J203" s="72"/>
      <c r="K203" s="72"/>
      <c r="L203" s="72"/>
      <c r="M203" s="72">
        <f t="shared" si="44"/>
        <v>2</v>
      </c>
      <c r="N203" s="72"/>
      <c r="O203" s="120">
        <f t="shared" si="45"/>
        <v>5.9</v>
      </c>
      <c r="P203" s="66" t="s">
        <v>290</v>
      </c>
    </row>
    <row r="204" ht="31" customHeight="1" spans="1:15">
      <c r="A204" s="72">
        <v>3</v>
      </c>
      <c r="B204" s="72" t="s">
        <v>154</v>
      </c>
      <c r="C204" s="72" t="s">
        <v>227</v>
      </c>
      <c r="D204" s="72" t="s">
        <v>202</v>
      </c>
      <c r="E204" s="72" t="s">
        <v>96</v>
      </c>
      <c r="F204" s="88">
        <f>7.6-0.03</f>
        <v>7.57</v>
      </c>
      <c r="G204" s="72"/>
      <c r="H204" s="72"/>
      <c r="I204" s="72">
        <v>1</v>
      </c>
      <c r="J204" s="72">
        <v>1</v>
      </c>
      <c r="K204" s="72">
        <v>1</v>
      </c>
      <c r="L204" s="72">
        <v>1</v>
      </c>
      <c r="M204" s="72">
        <f t="shared" ref="M204:M219" si="46">H204+I204+J204+K204*9+L204</f>
        <v>12</v>
      </c>
      <c r="N204" s="72"/>
      <c r="O204" s="120">
        <f t="shared" si="45"/>
        <v>90.84</v>
      </c>
    </row>
    <row r="205" ht="31" customHeight="1" spans="1:15">
      <c r="A205" s="72">
        <v>3</v>
      </c>
      <c r="B205" s="72" t="s">
        <v>154</v>
      </c>
      <c r="C205" s="72" t="s">
        <v>228</v>
      </c>
      <c r="D205" s="72" t="s">
        <v>203</v>
      </c>
      <c r="E205" s="72" t="s">
        <v>96</v>
      </c>
      <c r="F205" s="88">
        <f>2.8-0.03</f>
        <v>2.77</v>
      </c>
      <c r="G205" s="72"/>
      <c r="H205" s="72"/>
      <c r="I205" s="72">
        <v>1</v>
      </c>
      <c r="J205" s="72">
        <v>1</v>
      </c>
      <c r="K205" s="72">
        <v>1</v>
      </c>
      <c r="L205" s="72">
        <v>1</v>
      </c>
      <c r="M205" s="72">
        <f t="shared" si="46"/>
        <v>12</v>
      </c>
      <c r="N205" s="72"/>
      <c r="O205" s="120">
        <f t="shared" si="45"/>
        <v>33.24</v>
      </c>
    </row>
    <row r="206" ht="31" customHeight="1" spans="1:15">
      <c r="A206" s="72"/>
      <c r="B206" s="72" t="s">
        <v>154</v>
      </c>
      <c r="C206" s="72" t="s">
        <v>291</v>
      </c>
      <c r="D206" s="69" t="s">
        <v>203</v>
      </c>
      <c r="E206" s="72" t="s">
        <v>96</v>
      </c>
      <c r="F206" s="88">
        <f>3.9-0.03</f>
        <v>3.87</v>
      </c>
      <c r="G206" s="72"/>
      <c r="H206" s="72">
        <v>1</v>
      </c>
      <c r="I206" s="72"/>
      <c r="J206" s="72"/>
      <c r="K206" s="72"/>
      <c r="L206" s="72"/>
      <c r="M206" s="72">
        <f t="shared" si="46"/>
        <v>1</v>
      </c>
      <c r="N206" s="72"/>
      <c r="O206" s="120">
        <f t="shared" si="45"/>
        <v>3.87</v>
      </c>
    </row>
    <row r="207" ht="31" customHeight="1" spans="1:15">
      <c r="A207" s="72"/>
      <c r="B207" s="72" t="s">
        <v>154</v>
      </c>
      <c r="C207" s="72" t="s">
        <v>292</v>
      </c>
      <c r="D207" s="69" t="s">
        <v>203</v>
      </c>
      <c r="E207" s="72" t="s">
        <v>96</v>
      </c>
      <c r="F207" s="88">
        <f>3-0.03</f>
        <v>2.97</v>
      </c>
      <c r="G207" s="72"/>
      <c r="H207" s="72">
        <v>1</v>
      </c>
      <c r="I207" s="72"/>
      <c r="J207" s="72"/>
      <c r="K207" s="72"/>
      <c r="L207" s="72"/>
      <c r="M207" s="72">
        <f t="shared" si="46"/>
        <v>1</v>
      </c>
      <c r="N207" s="72"/>
      <c r="O207" s="120">
        <f t="shared" si="45"/>
        <v>2.97</v>
      </c>
    </row>
    <row r="208" ht="31" customHeight="1" spans="1:15">
      <c r="A208" s="72"/>
      <c r="B208" s="72" t="s">
        <v>154</v>
      </c>
      <c r="C208" s="72" t="s">
        <v>293</v>
      </c>
      <c r="D208" s="69" t="s">
        <v>203</v>
      </c>
      <c r="E208" s="72" t="s">
        <v>96</v>
      </c>
      <c r="F208" s="88">
        <f>2.7-0.03</f>
        <v>2.67</v>
      </c>
      <c r="G208" s="72"/>
      <c r="H208" s="72"/>
      <c r="I208" s="72">
        <v>2</v>
      </c>
      <c r="J208" s="72">
        <v>2</v>
      </c>
      <c r="K208" s="72">
        <v>2</v>
      </c>
      <c r="L208" s="72">
        <v>2</v>
      </c>
      <c r="M208" s="72">
        <f t="shared" si="46"/>
        <v>24</v>
      </c>
      <c r="N208" s="72"/>
      <c r="O208" s="120">
        <f t="shared" si="45"/>
        <v>64.08</v>
      </c>
    </row>
    <row r="209" ht="31" customHeight="1" spans="1:15">
      <c r="A209" s="72"/>
      <c r="B209" s="72" t="s">
        <v>154</v>
      </c>
      <c r="C209" s="72" t="s">
        <v>294</v>
      </c>
      <c r="D209" s="69" t="s">
        <v>203</v>
      </c>
      <c r="E209" s="72" t="s">
        <v>96</v>
      </c>
      <c r="F209" s="88">
        <f>2.6-0.03</f>
        <v>2.57</v>
      </c>
      <c r="G209" s="72"/>
      <c r="H209" s="72">
        <v>1</v>
      </c>
      <c r="I209" s="72"/>
      <c r="J209" s="72"/>
      <c r="K209" s="72"/>
      <c r="L209" s="72"/>
      <c r="M209" s="72">
        <f t="shared" si="46"/>
        <v>1</v>
      </c>
      <c r="N209" s="72"/>
      <c r="O209" s="120">
        <f t="shared" si="45"/>
        <v>2.57</v>
      </c>
    </row>
    <row r="210" ht="35" customHeight="1" spans="1:15">
      <c r="A210" s="72">
        <v>4</v>
      </c>
      <c r="B210" s="72" t="s">
        <v>154</v>
      </c>
      <c r="C210" s="72" t="s">
        <v>271</v>
      </c>
      <c r="D210" s="69" t="s">
        <v>203</v>
      </c>
      <c r="E210" s="72" t="s">
        <v>96</v>
      </c>
      <c r="F210" s="88">
        <f>1.5-0.03</f>
        <v>1.47</v>
      </c>
      <c r="G210" s="72"/>
      <c r="H210" s="72"/>
      <c r="I210" s="72">
        <v>2</v>
      </c>
      <c r="J210" s="72">
        <v>2</v>
      </c>
      <c r="K210" s="72">
        <v>2</v>
      </c>
      <c r="L210" s="72">
        <v>2</v>
      </c>
      <c r="M210" s="72">
        <f t="shared" si="46"/>
        <v>24</v>
      </c>
      <c r="N210" s="72"/>
      <c r="O210" s="120">
        <f t="shared" si="45"/>
        <v>35.28</v>
      </c>
    </row>
    <row r="211" ht="26" customHeight="1" spans="1:15">
      <c r="A211" s="72"/>
      <c r="B211" s="72" t="s">
        <v>154</v>
      </c>
      <c r="C211" s="72" t="s">
        <v>295</v>
      </c>
      <c r="D211" s="69" t="s">
        <v>203</v>
      </c>
      <c r="E211" s="72" t="s">
        <v>96</v>
      </c>
      <c r="F211" s="88">
        <f>1.05-0.03</f>
        <v>1.02</v>
      </c>
      <c r="G211" s="72"/>
      <c r="H211" s="72">
        <v>1</v>
      </c>
      <c r="I211" s="72"/>
      <c r="J211" s="72"/>
      <c r="K211" s="72"/>
      <c r="L211" s="72"/>
      <c r="M211" s="72">
        <f t="shared" si="46"/>
        <v>1</v>
      </c>
      <c r="N211" s="72"/>
      <c r="O211" s="120">
        <f t="shared" si="45"/>
        <v>1.02</v>
      </c>
    </row>
    <row r="212" ht="28" customHeight="1" spans="1:15">
      <c r="A212" s="72"/>
      <c r="B212" s="72" t="s">
        <v>154</v>
      </c>
      <c r="C212" s="72" t="s">
        <v>296</v>
      </c>
      <c r="D212" s="69" t="s">
        <v>203</v>
      </c>
      <c r="E212" s="72" t="s">
        <v>96</v>
      </c>
      <c r="F212" s="88">
        <f>1.5-0.03</f>
        <v>1.47</v>
      </c>
      <c r="G212" s="72"/>
      <c r="H212" s="72">
        <v>1</v>
      </c>
      <c r="I212" s="72"/>
      <c r="J212" s="72"/>
      <c r="K212" s="72"/>
      <c r="L212" s="72"/>
      <c r="M212" s="72">
        <f t="shared" si="46"/>
        <v>1</v>
      </c>
      <c r="N212" s="72"/>
      <c r="O212" s="120">
        <f t="shared" si="45"/>
        <v>1.47</v>
      </c>
    </row>
    <row r="213" ht="38" customHeight="1" spans="1:15">
      <c r="A213" s="72">
        <v>5</v>
      </c>
      <c r="B213" s="72" t="s">
        <v>157</v>
      </c>
      <c r="C213" s="70" t="s">
        <v>297</v>
      </c>
      <c r="D213" s="72" t="s">
        <v>159</v>
      </c>
      <c r="E213" s="69" t="s">
        <v>94</v>
      </c>
      <c r="F213" s="88">
        <f>0.97*2.27</f>
        <v>2.2019</v>
      </c>
      <c r="G213" s="72"/>
      <c r="H213" s="72"/>
      <c r="I213" s="72">
        <v>1</v>
      </c>
      <c r="J213" s="72"/>
      <c r="K213" s="72">
        <v>2</v>
      </c>
      <c r="L213" s="72"/>
      <c r="M213" s="72">
        <f t="shared" si="46"/>
        <v>19</v>
      </c>
      <c r="N213" s="72"/>
      <c r="O213" s="120">
        <f t="shared" si="45"/>
        <v>41.8361</v>
      </c>
    </row>
    <row r="214" ht="38" customHeight="1" spans="1:15">
      <c r="A214" s="72">
        <v>6</v>
      </c>
      <c r="B214" s="72" t="s">
        <v>157</v>
      </c>
      <c r="C214" s="70" t="s">
        <v>298</v>
      </c>
      <c r="D214" s="72" t="s">
        <v>161</v>
      </c>
      <c r="E214" s="69" t="s">
        <v>94</v>
      </c>
      <c r="F214" s="88">
        <f>0.97*1.97</f>
        <v>1.9109</v>
      </c>
      <c r="G214" s="72"/>
      <c r="H214" s="72"/>
      <c r="I214" s="72">
        <v>1</v>
      </c>
      <c r="J214" s="72">
        <v>2</v>
      </c>
      <c r="K214" s="72"/>
      <c r="L214" s="72">
        <v>2</v>
      </c>
      <c r="M214" s="72">
        <f t="shared" si="46"/>
        <v>5</v>
      </c>
      <c r="N214" s="72"/>
      <c r="O214" s="120">
        <f t="shared" si="45"/>
        <v>9.5545</v>
      </c>
    </row>
    <row r="215" ht="30" customHeight="1" spans="1:15">
      <c r="A215" s="72"/>
      <c r="B215" s="72" t="s">
        <v>157</v>
      </c>
      <c r="C215" s="70" t="s">
        <v>299</v>
      </c>
      <c r="D215" s="72" t="s">
        <v>159</v>
      </c>
      <c r="E215" s="69" t="s">
        <v>94</v>
      </c>
      <c r="F215" s="88">
        <f>0.97*2.27</f>
        <v>2.2019</v>
      </c>
      <c r="H215" s="72">
        <v>1</v>
      </c>
      <c r="I215" s="72"/>
      <c r="J215" s="72"/>
      <c r="K215" s="72"/>
      <c r="L215" s="72"/>
      <c r="M215" s="72">
        <f t="shared" si="46"/>
        <v>1</v>
      </c>
      <c r="N215" s="72"/>
      <c r="O215" s="120">
        <f t="shared" si="45"/>
        <v>2.2019</v>
      </c>
    </row>
    <row r="216" ht="30" customHeight="1" spans="1:15">
      <c r="A216" s="72"/>
      <c r="B216" s="72" t="s">
        <v>157</v>
      </c>
      <c r="C216" s="70" t="s">
        <v>300</v>
      </c>
      <c r="D216" s="72" t="s">
        <v>301</v>
      </c>
      <c r="E216" s="69" t="s">
        <v>94</v>
      </c>
      <c r="F216" s="88">
        <f>0.77*2.27</f>
        <v>1.7479</v>
      </c>
      <c r="G216" s="72"/>
      <c r="H216" s="72">
        <v>1</v>
      </c>
      <c r="I216" s="72">
        <v>1</v>
      </c>
      <c r="J216" s="72"/>
      <c r="K216" s="72">
        <v>1</v>
      </c>
      <c r="L216" s="72"/>
      <c r="M216" s="72">
        <f t="shared" si="46"/>
        <v>11</v>
      </c>
      <c r="N216" s="72"/>
      <c r="O216" s="120">
        <f t="shared" si="45"/>
        <v>19.2269</v>
      </c>
    </row>
    <row r="217" ht="30" customHeight="1" spans="1:15">
      <c r="A217" s="72"/>
      <c r="B217" s="72" t="s">
        <v>157</v>
      </c>
      <c r="C217" s="70" t="s">
        <v>302</v>
      </c>
      <c r="D217" s="72" t="s">
        <v>303</v>
      </c>
      <c r="E217" s="69" t="s">
        <v>94</v>
      </c>
      <c r="F217" s="88">
        <f>0.77*1.97</f>
        <v>1.5169</v>
      </c>
      <c r="G217" s="72"/>
      <c r="H217" s="72"/>
      <c r="I217" s="72"/>
      <c r="J217" s="72">
        <v>1</v>
      </c>
      <c r="K217" s="72"/>
      <c r="L217" s="72">
        <v>1</v>
      </c>
      <c r="M217" s="72">
        <f t="shared" si="46"/>
        <v>2</v>
      </c>
      <c r="N217" s="72"/>
      <c r="O217" s="120">
        <v>9.5545</v>
      </c>
    </row>
    <row r="218" ht="30" customHeight="1" spans="1:15">
      <c r="A218" s="72"/>
      <c r="B218" s="72" t="s">
        <v>157</v>
      </c>
      <c r="C218" s="70" t="s">
        <v>304</v>
      </c>
      <c r="D218" s="72" t="s">
        <v>159</v>
      </c>
      <c r="E218" s="69" t="s">
        <v>94</v>
      </c>
      <c r="F218" s="88">
        <f>0.97*2.27</f>
        <v>2.2019</v>
      </c>
      <c r="G218" s="72"/>
      <c r="H218" s="72">
        <v>1</v>
      </c>
      <c r="I218" s="72">
        <v>1</v>
      </c>
      <c r="J218" s="72"/>
      <c r="K218" s="72">
        <v>2</v>
      </c>
      <c r="L218" s="72"/>
      <c r="M218" s="72">
        <f t="shared" si="46"/>
        <v>20</v>
      </c>
      <c r="N218" s="72"/>
      <c r="O218" s="120">
        <f>F218*M218</f>
        <v>44.038</v>
      </c>
    </row>
    <row r="219" ht="30" customHeight="1" spans="1:15">
      <c r="A219" s="72"/>
      <c r="B219" s="72" t="s">
        <v>157</v>
      </c>
      <c r="C219" s="70" t="s">
        <v>305</v>
      </c>
      <c r="D219" s="72" t="s">
        <v>161</v>
      </c>
      <c r="E219" s="69" t="s">
        <v>94</v>
      </c>
      <c r="F219" s="88">
        <f>0.97*1.97</f>
        <v>1.9109</v>
      </c>
      <c r="G219" s="72"/>
      <c r="H219" s="72"/>
      <c r="I219" s="72">
        <v>1</v>
      </c>
      <c r="J219" s="72">
        <v>2</v>
      </c>
      <c r="K219" s="72"/>
      <c r="L219" s="72">
        <v>2</v>
      </c>
      <c r="M219" s="72">
        <f t="shared" si="46"/>
        <v>5</v>
      </c>
      <c r="N219" s="72"/>
      <c r="O219" s="120">
        <f>F219*M219</f>
        <v>9.5545</v>
      </c>
    </row>
    <row r="220" ht="24" customHeight="1" spans="1:15">
      <c r="A220" s="72">
        <v>1</v>
      </c>
      <c r="B220" s="72" t="s">
        <v>168</v>
      </c>
      <c r="C220" s="69" t="s">
        <v>183</v>
      </c>
      <c r="D220" s="72"/>
      <c r="E220" s="72" t="s">
        <v>96</v>
      </c>
      <c r="F220" s="72" t="s">
        <v>282</v>
      </c>
      <c r="G220" s="88">
        <f>1.5+2.23+2.16+2.53</f>
        <v>8.42</v>
      </c>
      <c r="H220" s="72">
        <f>2.64</f>
        <v>2.64</v>
      </c>
      <c r="I220" s="72">
        <f>2.66+2.6</f>
        <v>5.26</v>
      </c>
      <c r="J220" s="72">
        <f>2.82+2.63</f>
        <v>5.45</v>
      </c>
      <c r="K220" s="72">
        <f>2.66+2.6</f>
        <v>5.26</v>
      </c>
      <c r="L220" s="72">
        <v>1.35</v>
      </c>
      <c r="N220" s="72"/>
      <c r="O220" s="121">
        <f>G220+H220+I220+J220*10+K220+L220</f>
        <v>77.43</v>
      </c>
    </row>
    <row r="221" spans="1:15">
      <c r="A221" s="72"/>
      <c r="B221" s="72" t="s">
        <v>168</v>
      </c>
      <c r="C221" s="69" t="s">
        <v>183</v>
      </c>
      <c r="D221" s="72"/>
      <c r="E221" s="72" t="s">
        <v>96</v>
      </c>
      <c r="F221" s="72"/>
      <c r="G221" s="88">
        <f>1.35+2.23+2.27</f>
        <v>5.85</v>
      </c>
      <c r="H221" s="72">
        <f>2.608</f>
        <v>2.608</v>
      </c>
      <c r="I221" s="72">
        <f>2.624+2.575</f>
        <v>5.199</v>
      </c>
      <c r="J221" s="72">
        <f>2.624+2.575</f>
        <v>5.199</v>
      </c>
      <c r="K221" s="72">
        <f>2.66+2.17</f>
        <v>4.83</v>
      </c>
      <c r="L221" s="72">
        <v>1.35</v>
      </c>
      <c r="N221" s="72"/>
      <c r="O221" s="121">
        <f>G221+H221+I221+J221*10+K221+L221</f>
        <v>71.827</v>
      </c>
    </row>
    <row r="222" spans="1:15">
      <c r="A222" s="72"/>
      <c r="B222" s="72" t="s">
        <v>168</v>
      </c>
      <c r="C222" s="69" t="s">
        <v>241</v>
      </c>
      <c r="D222" s="72"/>
      <c r="E222" s="72" t="s">
        <v>96</v>
      </c>
      <c r="F222" s="72"/>
      <c r="G222" s="88">
        <v>1.68</v>
      </c>
      <c r="H222" s="72"/>
      <c r="I222" s="72"/>
      <c r="J222" s="72"/>
      <c r="K222" s="72"/>
      <c r="L222" s="72"/>
      <c r="N222" s="72"/>
      <c r="O222" s="121">
        <f>G222+H222+I222+J222*10+K222+L222</f>
        <v>1.68</v>
      </c>
    </row>
    <row r="223" ht="21" customHeight="1" spans="1:15">
      <c r="A223" s="72"/>
      <c r="B223" s="72" t="s">
        <v>170</v>
      </c>
      <c r="C223" s="72"/>
      <c r="D223" s="72" t="s">
        <v>171</v>
      </c>
      <c r="E223" s="72" t="s">
        <v>96</v>
      </c>
      <c r="F223" s="72"/>
      <c r="H223" s="72">
        <f>2.69+2.89</f>
        <v>5.58</v>
      </c>
      <c r="I223" s="72"/>
      <c r="J223" s="72"/>
      <c r="K223" s="72"/>
      <c r="L223" s="72"/>
      <c r="M223" s="72"/>
      <c r="N223" s="72"/>
      <c r="O223" s="121">
        <f>H223</f>
        <v>5.58</v>
      </c>
    </row>
    <row r="224" ht="26.1" customHeight="1" spans="1:15">
      <c r="A224" s="72" t="s">
        <v>306</v>
      </c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67"/>
    </row>
    <row r="225" spans="1:15">
      <c r="A225" s="72" t="s">
        <v>1</v>
      </c>
      <c r="B225" s="72" t="s">
        <v>137</v>
      </c>
      <c r="C225" s="72"/>
      <c r="D225" s="72" t="s">
        <v>51</v>
      </c>
      <c r="E225" s="72" t="s">
        <v>87</v>
      </c>
      <c r="F225" s="72"/>
      <c r="G225" s="72" t="s">
        <v>139</v>
      </c>
      <c r="H225" s="72" t="s">
        <v>140</v>
      </c>
      <c r="I225" s="72"/>
      <c r="J225" s="72"/>
      <c r="K225" s="72"/>
      <c r="L225" s="72"/>
      <c r="M225" s="72"/>
      <c r="N225" s="72"/>
      <c r="O225" s="85" t="s">
        <v>141</v>
      </c>
    </row>
    <row r="226" spans="1:15">
      <c r="A226" s="72"/>
      <c r="B226" s="72"/>
      <c r="C226" s="72"/>
      <c r="D226" s="72"/>
      <c r="E226" s="72"/>
      <c r="F226" s="72"/>
      <c r="G226" s="72"/>
      <c r="H226" s="72" t="s">
        <v>143</v>
      </c>
      <c r="I226" s="72" t="s">
        <v>144</v>
      </c>
      <c r="J226" s="72" t="s">
        <v>145</v>
      </c>
      <c r="K226" s="72" t="s">
        <v>146</v>
      </c>
      <c r="L226" s="72" t="s">
        <v>147</v>
      </c>
      <c r="M226" s="72" t="s">
        <v>148</v>
      </c>
      <c r="N226" s="72"/>
      <c r="O226" s="85"/>
    </row>
    <row r="227" ht="34" customHeight="1" spans="1:15">
      <c r="A227" s="72">
        <v>1</v>
      </c>
      <c r="B227" s="69" t="s">
        <v>151</v>
      </c>
      <c r="C227" s="72" t="s">
        <v>284</v>
      </c>
      <c r="D227" s="70" t="s">
        <v>153</v>
      </c>
      <c r="E227" s="72" t="s">
        <v>96</v>
      </c>
      <c r="F227" s="88">
        <f>2-0.03</f>
        <v>1.97</v>
      </c>
      <c r="G227" s="72"/>
      <c r="H227" s="72">
        <v>2</v>
      </c>
      <c r="I227" s="72">
        <v>2</v>
      </c>
      <c r="J227" s="72">
        <v>2</v>
      </c>
      <c r="K227" s="72">
        <v>2</v>
      </c>
      <c r="L227" s="72">
        <v>2</v>
      </c>
      <c r="M227" s="72">
        <f t="shared" ref="M227:M243" si="47">H227+I227+J227+K227*9+L227</f>
        <v>26</v>
      </c>
      <c r="N227" s="72"/>
      <c r="O227" s="120">
        <f t="shared" ref="O227:O243" si="48">F227*M227</f>
        <v>51.22</v>
      </c>
    </row>
    <row r="228" ht="48" customHeight="1" spans="1:15">
      <c r="A228" s="72">
        <v>1</v>
      </c>
      <c r="B228" s="69" t="s">
        <v>151</v>
      </c>
      <c r="C228" s="72" t="s">
        <v>285</v>
      </c>
      <c r="D228" s="70" t="s">
        <v>153</v>
      </c>
      <c r="E228" s="72" t="s">
        <v>96</v>
      </c>
      <c r="F228" s="88">
        <f>2.1-0.03</f>
        <v>2.07</v>
      </c>
      <c r="G228" s="72"/>
      <c r="H228" s="72">
        <v>2</v>
      </c>
      <c r="I228" s="72">
        <v>2</v>
      </c>
      <c r="J228" s="72">
        <v>2</v>
      </c>
      <c r="K228" s="72">
        <v>2</v>
      </c>
      <c r="L228" s="72">
        <v>2</v>
      </c>
      <c r="M228" s="72">
        <f t="shared" si="47"/>
        <v>26</v>
      </c>
      <c r="N228" s="72"/>
      <c r="O228" s="120">
        <f t="shared" si="48"/>
        <v>53.82</v>
      </c>
    </row>
    <row r="229" ht="41" customHeight="1" spans="1:15">
      <c r="A229" s="72">
        <v>2</v>
      </c>
      <c r="B229" s="69" t="s">
        <v>162</v>
      </c>
      <c r="C229" s="72" t="s">
        <v>287</v>
      </c>
      <c r="D229" s="72" t="s">
        <v>182</v>
      </c>
      <c r="E229" s="72" t="s">
        <v>96</v>
      </c>
      <c r="F229" s="88">
        <f>(0.8-0.15)*2+1.4</f>
        <v>2.7</v>
      </c>
      <c r="G229" s="72"/>
      <c r="H229" s="72"/>
      <c r="I229" s="72">
        <v>4</v>
      </c>
      <c r="J229" s="72">
        <v>4</v>
      </c>
      <c r="K229" s="72">
        <v>4</v>
      </c>
      <c r="L229" s="72">
        <v>4</v>
      </c>
      <c r="M229" s="72">
        <f t="shared" si="47"/>
        <v>48</v>
      </c>
      <c r="N229" s="72"/>
      <c r="O229" s="120">
        <f t="shared" si="48"/>
        <v>129.6</v>
      </c>
    </row>
    <row r="230" ht="27" spans="1:15">
      <c r="A230" s="72"/>
      <c r="B230" s="69" t="s">
        <v>162</v>
      </c>
      <c r="C230" s="72" t="s">
        <v>288</v>
      </c>
      <c r="D230" s="72" t="s">
        <v>182</v>
      </c>
      <c r="E230" s="72" t="s">
        <v>96</v>
      </c>
      <c r="F230" s="88">
        <f>(0.8-0.15)*2+1.1</f>
        <v>2.4</v>
      </c>
      <c r="G230" s="72"/>
      <c r="H230" s="72">
        <v>4</v>
      </c>
      <c r="I230" s="72"/>
      <c r="J230" s="72"/>
      <c r="K230" s="72"/>
      <c r="L230" s="72"/>
      <c r="M230" s="72">
        <f t="shared" si="47"/>
        <v>4</v>
      </c>
      <c r="N230" s="72"/>
      <c r="O230" s="120">
        <f t="shared" si="48"/>
        <v>9.6</v>
      </c>
    </row>
    <row r="231" ht="38" customHeight="1" spans="1:15">
      <c r="A231" s="72">
        <v>3</v>
      </c>
      <c r="B231" s="72" t="s">
        <v>154</v>
      </c>
      <c r="C231" s="72" t="s">
        <v>307</v>
      </c>
      <c r="D231" s="72" t="s">
        <v>202</v>
      </c>
      <c r="E231" s="72" t="s">
        <v>96</v>
      </c>
      <c r="F231" s="88">
        <f>7.7-0.03</f>
        <v>7.67</v>
      </c>
      <c r="G231" s="72"/>
      <c r="H231" s="72"/>
      <c r="I231" s="72">
        <v>2</v>
      </c>
      <c r="J231" s="72">
        <v>2</v>
      </c>
      <c r="K231" s="72">
        <v>2</v>
      </c>
      <c r="L231" s="72">
        <v>2</v>
      </c>
      <c r="M231" s="72">
        <f t="shared" si="47"/>
        <v>24</v>
      </c>
      <c r="N231" s="72"/>
      <c r="O231" s="120">
        <f t="shared" si="48"/>
        <v>184.08</v>
      </c>
    </row>
    <row r="232" ht="38" customHeight="1" spans="1:15">
      <c r="A232" s="72">
        <v>3</v>
      </c>
      <c r="B232" s="72" t="s">
        <v>154</v>
      </c>
      <c r="C232" s="72" t="s">
        <v>308</v>
      </c>
      <c r="D232" s="72" t="s">
        <v>203</v>
      </c>
      <c r="E232" s="72" t="s">
        <v>96</v>
      </c>
      <c r="F232" s="88">
        <f>2.8-0.03</f>
        <v>2.77</v>
      </c>
      <c r="G232" s="72"/>
      <c r="H232" s="72"/>
      <c r="I232" s="72">
        <v>2</v>
      </c>
      <c r="J232" s="72">
        <v>2</v>
      </c>
      <c r="K232" s="72">
        <v>2</v>
      </c>
      <c r="L232" s="72">
        <v>2</v>
      </c>
      <c r="M232" s="72">
        <f t="shared" si="47"/>
        <v>24</v>
      </c>
      <c r="N232" s="72"/>
      <c r="O232" s="120">
        <f t="shared" si="48"/>
        <v>66.48</v>
      </c>
    </row>
    <row r="233" ht="38" customHeight="1" spans="1:15">
      <c r="A233" s="72"/>
      <c r="B233" s="72" t="s">
        <v>154</v>
      </c>
      <c r="C233" s="72" t="s">
        <v>291</v>
      </c>
      <c r="D233" s="69" t="s">
        <v>203</v>
      </c>
      <c r="E233" s="72" t="s">
        <v>96</v>
      </c>
      <c r="F233" s="88">
        <f>4-0.03</f>
        <v>3.97</v>
      </c>
      <c r="G233" s="72"/>
      <c r="H233" s="72">
        <v>2</v>
      </c>
      <c r="I233" s="72"/>
      <c r="J233" s="72"/>
      <c r="K233" s="72"/>
      <c r="L233" s="72"/>
      <c r="M233" s="72">
        <f t="shared" si="47"/>
        <v>2</v>
      </c>
      <c r="N233" s="72"/>
      <c r="O233" s="120">
        <f t="shared" si="48"/>
        <v>7.94</v>
      </c>
    </row>
    <row r="234" ht="38" customHeight="1" spans="1:15">
      <c r="A234" s="105"/>
      <c r="B234" s="72" t="s">
        <v>154</v>
      </c>
      <c r="C234" s="72" t="s">
        <v>292</v>
      </c>
      <c r="D234" s="69" t="s">
        <v>203</v>
      </c>
      <c r="E234" s="72" t="s">
        <v>96</v>
      </c>
      <c r="F234" s="88">
        <f>3-0.03</f>
        <v>2.97</v>
      </c>
      <c r="G234" s="72"/>
      <c r="H234" s="72">
        <v>2</v>
      </c>
      <c r="I234" s="72"/>
      <c r="J234" s="72"/>
      <c r="K234" s="72"/>
      <c r="L234" s="72"/>
      <c r="M234" s="72">
        <f t="shared" si="47"/>
        <v>2</v>
      </c>
      <c r="N234" s="72"/>
      <c r="O234" s="120">
        <f t="shared" si="48"/>
        <v>5.94</v>
      </c>
    </row>
    <row r="235" ht="38" customHeight="1" spans="1:15">
      <c r="A235" s="105">
        <v>4</v>
      </c>
      <c r="B235" s="105" t="s">
        <v>154</v>
      </c>
      <c r="C235" s="105" t="s">
        <v>271</v>
      </c>
      <c r="D235" s="73" t="s">
        <v>203</v>
      </c>
      <c r="E235" s="105" t="s">
        <v>96</v>
      </c>
      <c r="F235" s="119">
        <f>1.5-0.03</f>
        <v>1.47</v>
      </c>
      <c r="H235" s="105"/>
      <c r="I235" s="105">
        <v>4</v>
      </c>
      <c r="J235" s="105">
        <v>4</v>
      </c>
      <c r="K235" s="105">
        <v>4</v>
      </c>
      <c r="L235" s="105">
        <v>4</v>
      </c>
      <c r="M235" s="105">
        <f t="shared" si="47"/>
        <v>48</v>
      </c>
      <c r="N235" s="105"/>
      <c r="O235" s="120">
        <f t="shared" si="48"/>
        <v>70.56</v>
      </c>
    </row>
    <row r="236" ht="60" customHeight="1" spans="1:15">
      <c r="A236" s="72"/>
      <c r="B236" s="72" t="s">
        <v>178</v>
      </c>
      <c r="C236" s="72" t="s">
        <v>309</v>
      </c>
      <c r="D236" s="69" t="s">
        <v>232</v>
      </c>
      <c r="E236" s="72" t="s">
        <v>96</v>
      </c>
      <c r="F236" s="88">
        <f>1.3-0.03</f>
        <v>1.27</v>
      </c>
      <c r="G236" s="72"/>
      <c r="H236" s="72">
        <v>2</v>
      </c>
      <c r="I236" s="72">
        <v>4</v>
      </c>
      <c r="J236" s="72">
        <v>4</v>
      </c>
      <c r="K236" s="72">
        <v>4</v>
      </c>
      <c r="L236" s="72">
        <v>4</v>
      </c>
      <c r="M236" s="72">
        <f t="shared" si="47"/>
        <v>50</v>
      </c>
      <c r="N236" s="72"/>
      <c r="O236" s="120">
        <f t="shared" si="48"/>
        <v>63.5</v>
      </c>
    </row>
    <row r="237" ht="27" spans="1:15">
      <c r="A237" s="72"/>
      <c r="B237" s="72" t="s">
        <v>178</v>
      </c>
      <c r="C237" s="72" t="s">
        <v>310</v>
      </c>
      <c r="D237" s="69" t="s">
        <v>232</v>
      </c>
      <c r="E237" s="72" t="s">
        <v>96</v>
      </c>
      <c r="F237" s="88">
        <f>0.8-0.15</f>
        <v>0.65</v>
      </c>
      <c r="H237" s="72">
        <v>2</v>
      </c>
      <c r="I237" s="72"/>
      <c r="J237" s="72"/>
      <c r="K237" s="72"/>
      <c r="L237" s="72"/>
      <c r="M237" s="72">
        <f t="shared" si="47"/>
        <v>2</v>
      </c>
      <c r="N237" s="72"/>
      <c r="O237" s="120">
        <f t="shared" si="48"/>
        <v>1.3</v>
      </c>
    </row>
    <row r="238" ht="33" customHeight="1" spans="1:15">
      <c r="A238" s="72"/>
      <c r="B238" s="72" t="s">
        <v>154</v>
      </c>
      <c r="C238" s="72" t="s">
        <v>295</v>
      </c>
      <c r="D238" s="69" t="s">
        <v>203</v>
      </c>
      <c r="E238" s="72" t="s">
        <v>96</v>
      </c>
      <c r="F238" s="88">
        <f>0.95-0.04</f>
        <v>0.91</v>
      </c>
      <c r="G238" s="72"/>
      <c r="H238" s="72">
        <v>2</v>
      </c>
      <c r="I238" s="72"/>
      <c r="J238" s="72"/>
      <c r="K238" s="72"/>
      <c r="L238" s="72"/>
      <c r="M238" s="72">
        <f t="shared" si="47"/>
        <v>2</v>
      </c>
      <c r="N238" s="72"/>
      <c r="O238" s="120">
        <f t="shared" si="48"/>
        <v>1.82</v>
      </c>
    </row>
    <row r="239" ht="33" customHeight="1" spans="1:15">
      <c r="A239" s="72"/>
      <c r="B239" s="72" t="s">
        <v>154</v>
      </c>
      <c r="C239" s="72" t="s">
        <v>296</v>
      </c>
      <c r="D239" s="69" t="s">
        <v>203</v>
      </c>
      <c r="E239" s="72" t="s">
        <v>96</v>
      </c>
      <c r="F239" s="88">
        <f>1.5-0.04</f>
        <v>1.46</v>
      </c>
      <c r="G239" s="72"/>
      <c r="H239" s="72">
        <v>2</v>
      </c>
      <c r="I239" s="72"/>
      <c r="J239" s="72"/>
      <c r="K239" s="72"/>
      <c r="L239" s="72"/>
      <c r="M239" s="72">
        <f t="shared" si="47"/>
        <v>2</v>
      </c>
      <c r="N239" s="72"/>
      <c r="O239" s="120">
        <f t="shared" si="48"/>
        <v>2.92</v>
      </c>
    </row>
    <row r="240" spans="1:15">
      <c r="A240" s="72">
        <v>5</v>
      </c>
      <c r="B240" s="72" t="s">
        <v>157</v>
      </c>
      <c r="C240" s="70" t="s">
        <v>234</v>
      </c>
      <c r="D240" s="72" t="s">
        <v>159</v>
      </c>
      <c r="E240" s="69" t="s">
        <v>94</v>
      </c>
      <c r="F240" s="88">
        <f>0.97*2.28</f>
        <v>2.2116</v>
      </c>
      <c r="G240" s="72"/>
      <c r="H240" s="72"/>
      <c r="I240" s="72">
        <v>3</v>
      </c>
      <c r="J240" s="72"/>
      <c r="K240" s="72">
        <v>5</v>
      </c>
      <c r="L240" s="72"/>
      <c r="M240" s="72">
        <f t="shared" si="47"/>
        <v>48</v>
      </c>
      <c r="N240" s="72"/>
      <c r="O240" s="120">
        <f t="shared" si="48"/>
        <v>106.1568</v>
      </c>
    </row>
    <row r="241" spans="1:15">
      <c r="A241" s="72">
        <v>6</v>
      </c>
      <c r="B241" s="72" t="s">
        <v>157</v>
      </c>
      <c r="C241" s="70" t="s">
        <v>235</v>
      </c>
      <c r="D241" s="72" t="s">
        <v>161</v>
      </c>
      <c r="E241" s="69" t="s">
        <v>94</v>
      </c>
      <c r="F241" s="88">
        <f>0.97*1.98</f>
        <v>1.9206</v>
      </c>
      <c r="G241" s="72"/>
      <c r="H241" s="72"/>
      <c r="I241" s="72"/>
      <c r="J241" s="72">
        <v>5</v>
      </c>
      <c r="K241" s="72"/>
      <c r="L241" s="72">
        <v>5</v>
      </c>
      <c r="M241" s="72">
        <f t="shared" si="47"/>
        <v>10</v>
      </c>
      <c r="N241" s="72"/>
      <c r="O241" s="120">
        <f t="shared" si="48"/>
        <v>19.206</v>
      </c>
    </row>
    <row r="242" spans="1:15">
      <c r="A242" s="72"/>
      <c r="B242" s="72" t="s">
        <v>157</v>
      </c>
      <c r="C242" s="70" t="s">
        <v>311</v>
      </c>
      <c r="D242" s="72" t="s">
        <v>159</v>
      </c>
      <c r="E242" s="69" t="s">
        <v>94</v>
      </c>
      <c r="F242" s="88">
        <f>0.97*2.28</f>
        <v>2.2116</v>
      </c>
      <c r="G242" s="72"/>
      <c r="H242" s="72">
        <v>3</v>
      </c>
      <c r="I242" s="72"/>
      <c r="J242" s="72"/>
      <c r="K242" s="72"/>
      <c r="L242" s="72"/>
      <c r="M242" s="72">
        <f t="shared" si="47"/>
        <v>3</v>
      </c>
      <c r="N242" s="72"/>
      <c r="O242" s="120">
        <f t="shared" si="48"/>
        <v>6.6348</v>
      </c>
    </row>
    <row r="243" spans="1:15">
      <c r="A243" s="72"/>
      <c r="B243" s="72" t="s">
        <v>157</v>
      </c>
      <c r="C243" s="70" t="s">
        <v>312</v>
      </c>
      <c r="D243" s="72" t="s">
        <v>161</v>
      </c>
      <c r="E243" s="69" t="s">
        <v>94</v>
      </c>
      <c r="F243" s="88">
        <f>0.97*1.98</f>
        <v>1.9206</v>
      </c>
      <c r="G243" s="72"/>
      <c r="H243" s="72">
        <v>0</v>
      </c>
      <c r="I243" s="72">
        <v>2</v>
      </c>
      <c r="J243" s="72"/>
      <c r="K243" s="72"/>
      <c r="L243" s="72"/>
      <c r="M243" s="72">
        <f t="shared" si="47"/>
        <v>2</v>
      </c>
      <c r="N243" s="72"/>
      <c r="O243" s="120">
        <f t="shared" si="48"/>
        <v>3.8412</v>
      </c>
    </row>
    <row r="244" spans="1:15">
      <c r="A244" s="72"/>
      <c r="B244" s="72"/>
      <c r="C244" s="72"/>
      <c r="D244" s="72"/>
      <c r="E244" s="72"/>
      <c r="F244" s="72"/>
      <c r="G244" s="189" t="s">
        <v>173</v>
      </c>
      <c r="H244" s="72" t="s">
        <v>143</v>
      </c>
      <c r="I244" s="72" t="s">
        <v>144</v>
      </c>
      <c r="J244" s="72" t="s">
        <v>237</v>
      </c>
      <c r="K244" s="72" t="s">
        <v>147</v>
      </c>
      <c r="L244" s="72" t="s">
        <v>238</v>
      </c>
      <c r="M244" s="72" t="s">
        <v>239</v>
      </c>
      <c r="N244" s="72"/>
      <c r="O244" s="85" t="s">
        <v>240</v>
      </c>
    </row>
    <row r="245" spans="1:15">
      <c r="A245" s="72">
        <v>1</v>
      </c>
      <c r="B245" s="72" t="s">
        <v>168</v>
      </c>
      <c r="C245" s="69" t="s">
        <v>183</v>
      </c>
      <c r="D245" s="72"/>
      <c r="E245" s="72" t="s">
        <v>96</v>
      </c>
      <c r="F245" s="72"/>
      <c r="G245" s="72">
        <f>2.52+2.84+2.4+0.125</f>
        <v>7.885</v>
      </c>
      <c r="H245" s="72">
        <f>2.6</f>
        <v>2.6</v>
      </c>
      <c r="I245" s="72">
        <f>2.66+2.518</f>
        <v>5.178</v>
      </c>
      <c r="J245" s="72">
        <f>2.518*2</f>
        <v>5.036</v>
      </c>
      <c r="K245" s="72">
        <f>2.518+2.587</f>
        <v>5.105</v>
      </c>
      <c r="L245" s="72">
        <f>1.35</f>
        <v>1.35</v>
      </c>
      <c r="M245" s="72">
        <f>G245+H245+I245+J245*10+K245+L245</f>
        <v>72.478</v>
      </c>
      <c r="N245" s="72"/>
      <c r="O245" s="120">
        <f>M245*2</f>
        <v>144.956</v>
      </c>
    </row>
    <row r="246" spans="1:15">
      <c r="A246" s="72">
        <v>2</v>
      </c>
      <c r="B246" s="72" t="s">
        <v>168</v>
      </c>
      <c r="C246" s="69" t="s">
        <v>241</v>
      </c>
      <c r="D246" s="72"/>
      <c r="E246" s="72" t="s">
        <v>96</v>
      </c>
      <c r="F246" s="72"/>
      <c r="G246" s="88">
        <v>1.59</v>
      </c>
      <c r="H246" s="72"/>
      <c r="I246" s="72"/>
      <c r="J246" s="72"/>
      <c r="K246" s="72"/>
      <c r="L246" s="72"/>
      <c r="M246" s="72">
        <f>G246+H246+I246+J246*10+K246+L246</f>
        <v>1.59</v>
      </c>
      <c r="N246" s="72"/>
      <c r="O246" s="120">
        <f>M246*2</f>
        <v>3.18</v>
      </c>
    </row>
    <row r="247" ht="21.95" customHeight="1" spans="1:15">
      <c r="A247" s="72"/>
      <c r="B247" s="72" t="s">
        <v>170</v>
      </c>
      <c r="C247" s="72"/>
      <c r="D247" s="72" t="s">
        <v>171</v>
      </c>
      <c r="E247" s="72" t="s">
        <v>96</v>
      </c>
      <c r="F247" s="72"/>
      <c r="G247" s="88">
        <f>2.57</f>
        <v>2.57</v>
      </c>
      <c r="H247" s="72"/>
      <c r="I247" s="72"/>
      <c r="J247" s="72"/>
      <c r="K247" s="72"/>
      <c r="L247" s="72"/>
      <c r="M247" s="72"/>
      <c r="N247" s="72"/>
      <c r="O247" s="121">
        <f>G247*2</f>
        <v>5.14</v>
      </c>
    </row>
    <row r="248" ht="24" customHeight="1" spans="1:15">
      <c r="A248" s="72" t="s">
        <v>313</v>
      </c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85"/>
    </row>
    <row r="249" spans="1:15">
      <c r="A249" s="72"/>
      <c r="B249" s="72" t="s">
        <v>137</v>
      </c>
      <c r="C249" s="72"/>
      <c r="D249" s="72" t="s">
        <v>51</v>
      </c>
      <c r="E249" s="72" t="s">
        <v>87</v>
      </c>
      <c r="F249" s="72"/>
      <c r="G249" s="72" t="s">
        <v>139</v>
      </c>
      <c r="H249" s="72" t="s">
        <v>140</v>
      </c>
      <c r="I249" s="72"/>
      <c r="J249" s="72"/>
      <c r="K249" s="72"/>
      <c r="L249" s="72"/>
      <c r="M249" s="72"/>
      <c r="N249" s="72"/>
      <c r="O249" s="85" t="s">
        <v>141</v>
      </c>
    </row>
    <row r="250" spans="1:15">
      <c r="A250" s="72"/>
      <c r="B250" s="72"/>
      <c r="C250" s="72"/>
      <c r="D250" s="72"/>
      <c r="E250" s="72"/>
      <c r="F250" s="72"/>
      <c r="G250" s="72"/>
      <c r="H250" s="72" t="s">
        <v>143</v>
      </c>
      <c r="I250" s="72" t="s">
        <v>144</v>
      </c>
      <c r="J250" s="72" t="s">
        <v>145</v>
      </c>
      <c r="K250" s="72" t="s">
        <v>146</v>
      </c>
      <c r="L250" s="72" t="s">
        <v>147</v>
      </c>
      <c r="M250" s="72" t="s">
        <v>148</v>
      </c>
      <c r="N250" s="72"/>
      <c r="O250" s="85"/>
    </row>
    <row r="251" ht="27" customHeight="1" spans="1:15">
      <c r="A251" s="72">
        <v>1</v>
      </c>
      <c r="B251" s="69" t="s">
        <v>151</v>
      </c>
      <c r="C251" s="72" t="s">
        <v>314</v>
      </c>
      <c r="D251" s="70" t="s">
        <v>153</v>
      </c>
      <c r="E251" s="72" t="s">
        <v>96</v>
      </c>
      <c r="F251" s="88">
        <f>2-0.03</f>
        <v>1.97</v>
      </c>
      <c r="G251" s="72"/>
      <c r="H251" s="72">
        <v>2</v>
      </c>
      <c r="I251" s="72">
        <v>2</v>
      </c>
      <c r="J251" s="72">
        <v>2</v>
      </c>
      <c r="K251" s="72">
        <v>2</v>
      </c>
      <c r="L251" s="72">
        <v>2</v>
      </c>
      <c r="M251" s="72">
        <f t="shared" ref="M251:M259" si="49">H251+I251+J251+K251*9+L251</f>
        <v>26</v>
      </c>
      <c r="N251" s="72"/>
      <c r="O251" s="120">
        <f t="shared" ref="O251:O257" si="50">F251*M251</f>
        <v>51.22</v>
      </c>
    </row>
    <row r="252" ht="32" customHeight="1" spans="1:15">
      <c r="A252" s="72"/>
      <c r="B252" s="69" t="s">
        <v>151</v>
      </c>
      <c r="C252" s="72" t="s">
        <v>315</v>
      </c>
      <c r="D252" s="70" t="s">
        <v>153</v>
      </c>
      <c r="E252" s="72" t="s">
        <v>96</v>
      </c>
      <c r="F252" s="88">
        <f>2.1-0.03</f>
        <v>2.07</v>
      </c>
      <c r="G252" s="72"/>
      <c r="H252" s="72">
        <v>2</v>
      </c>
      <c r="I252" s="72">
        <v>2</v>
      </c>
      <c r="J252" s="72">
        <v>2</v>
      </c>
      <c r="K252" s="72">
        <v>2</v>
      </c>
      <c r="L252" s="72">
        <v>2</v>
      </c>
      <c r="M252" s="72">
        <f t="shared" si="49"/>
        <v>26</v>
      </c>
      <c r="N252" s="72"/>
      <c r="O252" s="120">
        <f t="shared" si="50"/>
        <v>53.82</v>
      </c>
    </row>
    <row r="253" ht="33" customHeight="1" spans="1:15">
      <c r="A253" s="72">
        <v>3</v>
      </c>
      <c r="B253" s="69" t="s">
        <v>162</v>
      </c>
      <c r="C253" s="72" t="s">
        <v>316</v>
      </c>
      <c r="D253" s="72" t="s">
        <v>182</v>
      </c>
      <c r="E253" s="72" t="s">
        <v>96</v>
      </c>
      <c r="F253" s="88">
        <f>1.5-0.1+(0.8-0.15)*2</f>
        <v>2.7</v>
      </c>
      <c r="G253" s="72"/>
      <c r="H253" s="72"/>
      <c r="I253" s="72">
        <v>2</v>
      </c>
      <c r="J253" s="72">
        <v>2</v>
      </c>
      <c r="K253" s="72">
        <v>2</v>
      </c>
      <c r="L253" s="72">
        <v>2</v>
      </c>
      <c r="M253" s="72">
        <f t="shared" si="49"/>
        <v>24</v>
      </c>
      <c r="N253" s="72"/>
      <c r="O253" s="120">
        <f t="shared" si="50"/>
        <v>64.8</v>
      </c>
    </row>
    <row r="254" ht="33" customHeight="1" spans="1:15">
      <c r="A254" s="72"/>
      <c r="B254" s="69" t="s">
        <v>162</v>
      </c>
      <c r="C254" s="72" t="s">
        <v>226</v>
      </c>
      <c r="D254" s="72" t="s">
        <v>182</v>
      </c>
      <c r="E254" s="72" t="s">
        <v>96</v>
      </c>
      <c r="F254" s="88">
        <f>2.4-0.1+(0.8-0.15)*2</f>
        <v>3.6</v>
      </c>
      <c r="G254" s="72"/>
      <c r="H254" s="72"/>
      <c r="I254" s="72">
        <v>2</v>
      </c>
      <c r="J254" s="72">
        <v>2</v>
      </c>
      <c r="K254" s="72">
        <v>2</v>
      </c>
      <c r="L254" s="72">
        <v>2</v>
      </c>
      <c r="M254" s="72">
        <f t="shared" si="49"/>
        <v>24</v>
      </c>
      <c r="N254" s="72"/>
      <c r="O254" s="120">
        <f t="shared" si="50"/>
        <v>86.4</v>
      </c>
    </row>
    <row r="255" ht="34" customHeight="1" spans="1:15">
      <c r="A255" s="72">
        <v>4</v>
      </c>
      <c r="B255" s="69" t="s">
        <v>162</v>
      </c>
      <c r="C255" s="72" t="s">
        <v>317</v>
      </c>
      <c r="D255" s="72" t="s">
        <v>182</v>
      </c>
      <c r="E255" s="72" t="s">
        <v>96</v>
      </c>
      <c r="F255" s="88">
        <f>1.5-0.1+(0.8-0.15)*2</f>
        <v>2.7</v>
      </c>
      <c r="G255" s="72"/>
      <c r="H255" s="72">
        <v>2</v>
      </c>
      <c r="I255" s="72"/>
      <c r="J255" s="72"/>
      <c r="K255" s="72"/>
      <c r="L255" s="72"/>
      <c r="M255" s="72">
        <f t="shared" si="49"/>
        <v>2</v>
      </c>
      <c r="N255" s="72"/>
      <c r="O255" s="120">
        <f t="shared" si="50"/>
        <v>5.4</v>
      </c>
    </row>
    <row r="256" ht="34" customHeight="1" spans="1:15">
      <c r="A256" s="72"/>
      <c r="B256" s="69" t="s">
        <v>162</v>
      </c>
      <c r="C256" s="72" t="s">
        <v>318</v>
      </c>
      <c r="D256" s="72" t="s">
        <v>182</v>
      </c>
      <c r="E256" s="72" t="s">
        <v>96</v>
      </c>
      <c r="F256" s="88">
        <f>1.2-0.1+(0.8-0.15)*2</f>
        <v>2.4</v>
      </c>
      <c r="G256" s="72"/>
      <c r="H256" s="72">
        <v>2</v>
      </c>
      <c r="I256" s="72"/>
      <c r="J256" s="72"/>
      <c r="K256" s="72"/>
      <c r="L256" s="72"/>
      <c r="M256" s="72">
        <f t="shared" si="49"/>
        <v>2</v>
      </c>
      <c r="N256" s="72"/>
      <c r="O256" s="120">
        <f t="shared" si="50"/>
        <v>4.8</v>
      </c>
    </row>
    <row r="257" ht="34" customHeight="1" spans="1:15">
      <c r="A257" s="72"/>
      <c r="B257" s="69" t="s">
        <v>162</v>
      </c>
      <c r="C257" s="72" t="s">
        <v>319</v>
      </c>
      <c r="D257" s="72" t="s">
        <v>182</v>
      </c>
      <c r="E257" s="72" t="s">
        <v>96</v>
      </c>
      <c r="F257" s="88">
        <f>1.2-0.15+(0.8-0.15)</f>
        <v>1.7</v>
      </c>
      <c r="G257" s="72"/>
      <c r="H257" s="72">
        <v>2</v>
      </c>
      <c r="I257" s="72"/>
      <c r="J257" s="72"/>
      <c r="K257" s="72"/>
      <c r="L257" s="72"/>
      <c r="M257" s="72">
        <f t="shared" si="49"/>
        <v>2</v>
      </c>
      <c r="N257" s="72"/>
      <c r="O257" s="120">
        <f t="shared" si="50"/>
        <v>3.4</v>
      </c>
    </row>
    <row r="258" ht="38" customHeight="1" spans="1:15">
      <c r="A258" s="72">
        <v>5</v>
      </c>
      <c r="B258" s="72" t="s">
        <v>154</v>
      </c>
      <c r="C258" s="72" t="s">
        <v>227</v>
      </c>
      <c r="D258" s="72" t="s">
        <v>202</v>
      </c>
      <c r="E258" s="72" t="s">
        <v>96</v>
      </c>
      <c r="F258" s="88">
        <f>6.2-0.03</f>
        <v>6.17</v>
      </c>
      <c r="G258" s="72"/>
      <c r="H258" s="72"/>
      <c r="I258" s="72"/>
      <c r="J258" s="72">
        <v>2</v>
      </c>
      <c r="K258" s="72">
        <v>2</v>
      </c>
      <c r="L258" s="72">
        <v>2</v>
      </c>
      <c r="M258" s="72">
        <f t="shared" si="49"/>
        <v>22</v>
      </c>
      <c r="N258" s="72"/>
      <c r="O258" s="120">
        <f t="shared" ref="O258:O265" si="51">F258*M258</f>
        <v>135.74</v>
      </c>
    </row>
    <row r="259" ht="38" customHeight="1" spans="1:15">
      <c r="A259" s="72"/>
      <c r="B259" s="72" t="s">
        <v>154</v>
      </c>
      <c r="C259" s="72" t="s">
        <v>228</v>
      </c>
      <c r="D259" s="72" t="s">
        <v>202</v>
      </c>
      <c r="E259" s="72" t="s">
        <v>96</v>
      </c>
      <c r="F259" s="88">
        <f>4.3-0.03</f>
        <v>4.27</v>
      </c>
      <c r="G259" s="72"/>
      <c r="H259" s="72"/>
      <c r="I259" s="72"/>
      <c r="J259" s="72">
        <v>2</v>
      </c>
      <c r="K259" s="72">
        <v>2</v>
      </c>
      <c r="L259" s="72">
        <v>2</v>
      </c>
      <c r="M259" s="72">
        <f t="shared" si="49"/>
        <v>22</v>
      </c>
      <c r="N259" s="72"/>
      <c r="O259" s="120">
        <f t="shared" si="51"/>
        <v>93.94</v>
      </c>
    </row>
    <row r="260" ht="38" customHeight="1" spans="1:15">
      <c r="A260" s="72">
        <v>13</v>
      </c>
      <c r="B260" s="72" t="s">
        <v>154</v>
      </c>
      <c r="C260" s="72" t="s">
        <v>320</v>
      </c>
      <c r="D260" s="72" t="s">
        <v>202</v>
      </c>
      <c r="E260" s="72" t="s">
        <v>96</v>
      </c>
      <c r="F260" s="88">
        <f>6.2-0.03</f>
        <v>6.17</v>
      </c>
      <c r="G260" s="72"/>
      <c r="H260" s="72"/>
      <c r="I260" s="72">
        <v>2</v>
      </c>
      <c r="J260" s="72"/>
      <c r="K260" s="72"/>
      <c r="L260" s="72"/>
      <c r="M260" s="72">
        <f t="shared" ref="M260:M265" si="52">H260+I260+J260+K260*9+L260</f>
        <v>2</v>
      </c>
      <c r="N260" s="72"/>
      <c r="O260" s="120">
        <f t="shared" si="51"/>
        <v>12.34</v>
      </c>
    </row>
    <row r="261" ht="38" customHeight="1" spans="1:15">
      <c r="A261" s="72"/>
      <c r="B261" s="72" t="s">
        <v>154</v>
      </c>
      <c r="C261" s="72" t="s">
        <v>321</v>
      </c>
      <c r="D261" s="72" t="s">
        <v>202</v>
      </c>
      <c r="E261" s="72" t="s">
        <v>96</v>
      </c>
      <c r="F261" s="88">
        <f>4.3-0.03</f>
        <v>4.27</v>
      </c>
      <c r="G261" s="72"/>
      <c r="H261" s="72"/>
      <c r="I261" s="72">
        <v>2</v>
      </c>
      <c r="J261" s="72"/>
      <c r="K261" s="72"/>
      <c r="L261" s="72"/>
      <c r="M261" s="72">
        <f t="shared" si="52"/>
        <v>2</v>
      </c>
      <c r="N261" s="72"/>
      <c r="O261" s="120">
        <f t="shared" si="51"/>
        <v>8.54</v>
      </c>
    </row>
    <row r="262" ht="38" customHeight="1" spans="1:15">
      <c r="A262" s="72"/>
      <c r="B262" s="72" t="s">
        <v>154</v>
      </c>
      <c r="C262" s="72" t="s">
        <v>291</v>
      </c>
      <c r="D262" s="69" t="s">
        <v>203</v>
      </c>
      <c r="E262" s="72" t="s">
        <v>96</v>
      </c>
      <c r="F262" s="88">
        <f>2.8-0.03</f>
        <v>2.77</v>
      </c>
      <c r="G262" s="72"/>
      <c r="H262" s="72">
        <v>2</v>
      </c>
      <c r="I262" s="72"/>
      <c r="J262" s="72"/>
      <c r="K262" s="72"/>
      <c r="L262" s="72"/>
      <c r="M262" s="72">
        <f t="shared" si="52"/>
        <v>2</v>
      </c>
      <c r="N262" s="72"/>
      <c r="O262" s="120">
        <f t="shared" si="51"/>
        <v>5.54</v>
      </c>
    </row>
    <row r="263" ht="38" customHeight="1" spans="1:15">
      <c r="A263" s="72"/>
      <c r="B263" s="72" t="s">
        <v>154</v>
      </c>
      <c r="C263" s="72" t="s">
        <v>292</v>
      </c>
      <c r="D263" s="69" t="s">
        <v>203</v>
      </c>
      <c r="E263" s="72" t="s">
        <v>96</v>
      </c>
      <c r="F263" s="88">
        <f>3-0.03</f>
        <v>2.97</v>
      </c>
      <c r="G263" s="72"/>
      <c r="H263" s="72">
        <v>2</v>
      </c>
      <c r="I263" s="72"/>
      <c r="J263" s="72"/>
      <c r="K263" s="72"/>
      <c r="L263" s="72"/>
      <c r="M263" s="72">
        <f t="shared" si="52"/>
        <v>2</v>
      </c>
      <c r="N263" s="72"/>
      <c r="O263" s="120">
        <f t="shared" si="51"/>
        <v>5.94</v>
      </c>
    </row>
    <row r="264" ht="41" customHeight="1" spans="1:15">
      <c r="A264" s="72">
        <v>6</v>
      </c>
      <c r="B264" s="72" t="s">
        <v>154</v>
      </c>
      <c r="C264" s="72" t="s">
        <v>229</v>
      </c>
      <c r="D264" s="69" t="s">
        <v>203</v>
      </c>
      <c r="E264" s="72" t="s">
        <v>96</v>
      </c>
      <c r="F264" s="88">
        <f>1.5-0.03</f>
        <v>1.47</v>
      </c>
      <c r="G264" s="72"/>
      <c r="H264" s="72"/>
      <c r="I264" s="72">
        <v>2</v>
      </c>
      <c r="J264" s="72">
        <v>2</v>
      </c>
      <c r="K264" s="72">
        <v>2</v>
      </c>
      <c r="L264" s="72">
        <v>2</v>
      </c>
      <c r="M264" s="72">
        <f t="shared" si="52"/>
        <v>24</v>
      </c>
      <c r="N264" s="72"/>
      <c r="O264" s="120">
        <f t="shared" si="51"/>
        <v>35.28</v>
      </c>
    </row>
    <row r="265" ht="36" customHeight="1" spans="1:15">
      <c r="A265" s="72"/>
      <c r="B265" s="72" t="s">
        <v>154</v>
      </c>
      <c r="C265" s="72" t="s">
        <v>230</v>
      </c>
      <c r="D265" s="69" t="s">
        <v>203</v>
      </c>
      <c r="E265" s="72" t="s">
        <v>96</v>
      </c>
      <c r="F265" s="88">
        <f>2.7-0.03</f>
        <v>2.67</v>
      </c>
      <c r="G265" s="72"/>
      <c r="H265" s="72"/>
      <c r="I265" s="72">
        <v>2</v>
      </c>
      <c r="J265" s="72">
        <v>2</v>
      </c>
      <c r="K265" s="72">
        <v>2</v>
      </c>
      <c r="L265" s="72">
        <v>2</v>
      </c>
      <c r="M265" s="72">
        <f t="shared" si="52"/>
        <v>24</v>
      </c>
      <c r="N265" s="72"/>
      <c r="O265" s="120">
        <f t="shared" si="51"/>
        <v>64.08</v>
      </c>
    </row>
    <row r="266" ht="27" spans="1:16">
      <c r="A266" s="72">
        <v>7</v>
      </c>
      <c r="B266" s="72" t="s">
        <v>178</v>
      </c>
      <c r="C266" s="72" t="s">
        <v>322</v>
      </c>
      <c r="D266" s="69" t="s">
        <v>232</v>
      </c>
      <c r="E266" s="72" t="s">
        <v>96</v>
      </c>
      <c r="F266" s="88"/>
      <c r="G266" s="72"/>
      <c r="H266" s="72"/>
      <c r="I266" s="72"/>
      <c r="J266" s="72"/>
      <c r="K266" s="72"/>
      <c r="L266" s="72"/>
      <c r="M266" s="72">
        <f t="shared" ref="M266:M276" si="53">H266+I266+J266+K266*9+L266</f>
        <v>0</v>
      </c>
      <c r="N266" s="72"/>
      <c r="O266" s="120">
        <f>G266*M266</f>
        <v>0</v>
      </c>
      <c r="P266" s="66" t="s">
        <v>323</v>
      </c>
    </row>
    <row r="267" ht="27" spans="1:16">
      <c r="A267" s="72">
        <v>8</v>
      </c>
      <c r="B267" s="72" t="s">
        <v>154</v>
      </c>
      <c r="C267" s="72" t="s">
        <v>324</v>
      </c>
      <c r="D267" s="69" t="s">
        <v>203</v>
      </c>
      <c r="E267" s="72" t="s">
        <v>96</v>
      </c>
      <c r="F267" s="88"/>
      <c r="G267" s="72"/>
      <c r="H267" s="72"/>
      <c r="I267" s="72"/>
      <c r="J267" s="72"/>
      <c r="K267" s="72"/>
      <c r="L267" s="72"/>
      <c r="M267" s="72">
        <f t="shared" si="53"/>
        <v>0</v>
      </c>
      <c r="N267" s="72"/>
      <c r="O267" s="120">
        <f>G267*M267</f>
        <v>0</v>
      </c>
      <c r="P267" s="66" t="s">
        <v>323</v>
      </c>
    </row>
    <row r="268" ht="30" customHeight="1" spans="1:16">
      <c r="A268" s="72">
        <v>9</v>
      </c>
      <c r="B268" s="72" t="s">
        <v>154</v>
      </c>
      <c r="C268" s="72" t="s">
        <v>325</v>
      </c>
      <c r="D268" s="69" t="s">
        <v>203</v>
      </c>
      <c r="E268" s="72" t="s">
        <v>96</v>
      </c>
      <c r="F268" s="88"/>
      <c r="G268" s="72"/>
      <c r="H268" s="72"/>
      <c r="I268" s="72"/>
      <c r="J268" s="72"/>
      <c r="K268" s="72"/>
      <c r="L268" s="72"/>
      <c r="M268" s="72">
        <f t="shared" si="53"/>
        <v>0</v>
      </c>
      <c r="N268" s="72"/>
      <c r="O268" s="120">
        <f>G268*M268</f>
        <v>0</v>
      </c>
      <c r="P268" s="66" t="s">
        <v>323</v>
      </c>
    </row>
    <row r="269" ht="27" spans="1:16">
      <c r="A269" s="72">
        <v>10</v>
      </c>
      <c r="B269" s="72" t="s">
        <v>178</v>
      </c>
      <c r="C269" s="72" t="s">
        <v>326</v>
      </c>
      <c r="D269" s="69" t="s">
        <v>232</v>
      </c>
      <c r="E269" s="72" t="s">
        <v>96</v>
      </c>
      <c r="F269" s="88"/>
      <c r="G269" s="72"/>
      <c r="H269" s="72"/>
      <c r="I269" s="72"/>
      <c r="J269" s="72"/>
      <c r="K269" s="72"/>
      <c r="L269" s="72"/>
      <c r="M269" s="72">
        <f t="shared" si="53"/>
        <v>0</v>
      </c>
      <c r="N269" s="72"/>
      <c r="O269" s="120">
        <f>G269*M269</f>
        <v>0</v>
      </c>
      <c r="P269" s="66" t="s">
        <v>323</v>
      </c>
    </row>
    <row r="270" ht="30" customHeight="1" spans="1:15">
      <c r="A270" s="72">
        <v>11</v>
      </c>
      <c r="B270" s="72" t="s">
        <v>154</v>
      </c>
      <c r="C270" s="72" t="s">
        <v>295</v>
      </c>
      <c r="D270" s="69" t="s">
        <v>203</v>
      </c>
      <c r="E270" s="72" t="s">
        <v>96</v>
      </c>
      <c r="F270" s="88">
        <f>1.5-0.03</f>
        <v>1.47</v>
      </c>
      <c r="G270" s="72"/>
      <c r="H270" s="72">
        <v>2</v>
      </c>
      <c r="I270" s="72"/>
      <c r="J270" s="72"/>
      <c r="K270" s="72"/>
      <c r="L270" s="72"/>
      <c r="M270" s="72">
        <f t="shared" si="53"/>
        <v>2</v>
      </c>
      <c r="N270" s="72"/>
      <c r="O270" s="120">
        <f t="shared" ref="O270:O275" si="54">F270*M270</f>
        <v>2.94</v>
      </c>
    </row>
    <row r="271" ht="30" customHeight="1" spans="1:15">
      <c r="A271" s="72">
        <v>12</v>
      </c>
      <c r="B271" s="72" t="s">
        <v>154</v>
      </c>
      <c r="C271" s="72" t="s">
        <v>296</v>
      </c>
      <c r="D271" s="69" t="s">
        <v>203</v>
      </c>
      <c r="E271" s="72" t="s">
        <v>96</v>
      </c>
      <c r="F271" s="88">
        <f>2.7-0.03</f>
        <v>2.67</v>
      </c>
      <c r="G271" s="72"/>
      <c r="H271" s="72">
        <v>2</v>
      </c>
      <c r="I271" s="72"/>
      <c r="J271" s="72"/>
      <c r="K271" s="72"/>
      <c r="L271" s="72"/>
      <c r="M271" s="72">
        <f t="shared" si="53"/>
        <v>2</v>
      </c>
      <c r="N271" s="72"/>
      <c r="O271" s="120">
        <f t="shared" si="54"/>
        <v>5.34</v>
      </c>
    </row>
    <row r="272" ht="30" customHeight="1" spans="1:15">
      <c r="A272" s="72">
        <v>14</v>
      </c>
      <c r="B272" s="72" t="s">
        <v>157</v>
      </c>
      <c r="C272" s="70" t="s">
        <v>327</v>
      </c>
      <c r="D272" s="72" t="s">
        <v>159</v>
      </c>
      <c r="E272" s="69" t="s">
        <v>94</v>
      </c>
      <c r="F272" s="88">
        <f>0.97*2.28</f>
        <v>2.2116</v>
      </c>
      <c r="G272" s="72"/>
      <c r="H272" s="72">
        <v>3</v>
      </c>
      <c r="I272" s="72">
        <v>3</v>
      </c>
      <c r="J272" s="72"/>
      <c r="K272" s="72">
        <v>3</v>
      </c>
      <c r="L272" s="72"/>
      <c r="M272" s="72">
        <f t="shared" si="53"/>
        <v>33</v>
      </c>
      <c r="N272" s="72"/>
      <c r="O272" s="120">
        <f t="shared" si="54"/>
        <v>72.9828</v>
      </c>
    </row>
    <row r="273" ht="24" customHeight="1" spans="1:15">
      <c r="A273" s="72">
        <v>15</v>
      </c>
      <c r="B273" s="72" t="s">
        <v>157</v>
      </c>
      <c r="C273" s="70" t="s">
        <v>328</v>
      </c>
      <c r="D273" s="72" t="s">
        <v>161</v>
      </c>
      <c r="E273" s="69" t="s">
        <v>94</v>
      </c>
      <c r="F273" s="88">
        <f>0.97*1.98</f>
        <v>1.9206</v>
      </c>
      <c r="G273" s="72"/>
      <c r="H273" s="72"/>
      <c r="I273" s="72"/>
      <c r="J273" s="72">
        <v>3</v>
      </c>
      <c r="K273" s="72"/>
      <c r="L273" s="72">
        <v>3</v>
      </c>
      <c r="M273" s="72">
        <f t="shared" si="53"/>
        <v>6</v>
      </c>
      <c r="N273" s="72"/>
      <c r="O273" s="120">
        <f t="shared" si="54"/>
        <v>11.5236</v>
      </c>
    </row>
    <row r="274" ht="26" customHeight="1" spans="1:15">
      <c r="A274" s="72"/>
      <c r="B274" s="72" t="s">
        <v>157</v>
      </c>
      <c r="C274" s="70" t="s">
        <v>312</v>
      </c>
      <c r="D274" s="72" t="s">
        <v>159</v>
      </c>
      <c r="E274" s="69" t="s">
        <v>94</v>
      </c>
      <c r="F274" s="88">
        <f>0.97*2.28</f>
        <v>2.2116</v>
      </c>
      <c r="G274" s="72"/>
      <c r="H274" s="72"/>
      <c r="I274" s="72"/>
      <c r="J274" s="72"/>
      <c r="K274" s="72">
        <v>2</v>
      </c>
      <c r="L274" s="72"/>
      <c r="M274" s="72">
        <f t="shared" si="53"/>
        <v>18</v>
      </c>
      <c r="N274" s="72"/>
      <c r="O274" s="120">
        <f t="shared" si="54"/>
        <v>39.8088</v>
      </c>
    </row>
    <row r="275" ht="27" customHeight="1" spans="1:15">
      <c r="A275" s="72"/>
      <c r="B275" s="72" t="s">
        <v>157</v>
      </c>
      <c r="C275" s="70" t="s">
        <v>312</v>
      </c>
      <c r="D275" s="72" t="s">
        <v>161</v>
      </c>
      <c r="E275" s="69" t="s">
        <v>94</v>
      </c>
      <c r="F275" s="88">
        <f>0.97*1.98</f>
        <v>1.9206</v>
      </c>
      <c r="G275" s="72"/>
      <c r="H275" s="72"/>
      <c r="I275" s="72">
        <v>2</v>
      </c>
      <c r="J275" s="72">
        <v>2</v>
      </c>
      <c r="K275" s="72"/>
      <c r="L275" s="72">
        <v>2</v>
      </c>
      <c r="M275" s="72">
        <f t="shared" si="53"/>
        <v>6</v>
      </c>
      <c r="N275" s="72"/>
      <c r="O275" s="120">
        <f t="shared" si="54"/>
        <v>11.5236</v>
      </c>
    </row>
    <row r="276" ht="24" customHeight="1" spans="1:15">
      <c r="A276" s="72">
        <v>18</v>
      </c>
      <c r="B276" s="72"/>
      <c r="C276" s="72"/>
      <c r="D276" s="72"/>
      <c r="E276" s="72"/>
      <c r="F276" s="72"/>
      <c r="G276" s="189" t="s">
        <v>173</v>
      </c>
      <c r="H276" s="72" t="s">
        <v>143</v>
      </c>
      <c r="I276" s="72" t="s">
        <v>144</v>
      </c>
      <c r="J276" s="72" t="s">
        <v>237</v>
      </c>
      <c r="K276" s="72" t="s">
        <v>147</v>
      </c>
      <c r="L276" s="72" t="s">
        <v>238</v>
      </c>
      <c r="M276" s="72" t="s">
        <v>239</v>
      </c>
      <c r="N276" s="72"/>
      <c r="O276" s="69" t="s">
        <v>240</v>
      </c>
    </row>
    <row r="277" spans="1:15">
      <c r="A277" s="72">
        <v>19</v>
      </c>
      <c r="B277" s="72" t="s">
        <v>168</v>
      </c>
      <c r="C277" s="69"/>
      <c r="D277" s="72" t="s">
        <v>96</v>
      </c>
      <c r="E277" s="72"/>
      <c r="F277" s="72"/>
      <c r="G277" s="88">
        <f>2.57+2.8+2.195</f>
        <v>7.565</v>
      </c>
      <c r="H277" s="88">
        <v>2.6</v>
      </c>
      <c r="I277" s="72">
        <f>2.582+2.624</f>
        <v>5.206</v>
      </c>
      <c r="J277" s="72">
        <f>2.582+2.624</f>
        <v>5.206</v>
      </c>
      <c r="K277" s="72">
        <f>2.66+2.61+0.2*2</f>
        <v>5.67</v>
      </c>
      <c r="L277" s="72">
        <v>1.38</v>
      </c>
      <c r="M277" s="72">
        <f>G277+H277+I277+J277*10+K277+L277</f>
        <v>74.481</v>
      </c>
      <c r="N277" s="72"/>
      <c r="O277" s="120">
        <f>M277*2</f>
        <v>148.962</v>
      </c>
    </row>
    <row r="278" spans="1:15">
      <c r="A278" s="72">
        <v>20</v>
      </c>
      <c r="B278" s="72" t="s">
        <v>168</v>
      </c>
      <c r="C278" s="69" t="s">
        <v>241</v>
      </c>
      <c r="D278" s="72" t="s">
        <v>96</v>
      </c>
      <c r="E278" s="72"/>
      <c r="F278" s="72"/>
      <c r="G278" s="88">
        <v>1.65</v>
      </c>
      <c r="H278" s="72"/>
      <c r="I278" s="72"/>
      <c r="J278" s="72"/>
      <c r="K278" s="72"/>
      <c r="L278" s="72"/>
      <c r="M278" s="72">
        <f>G278+H278+I278+J278*10+K278+L278</f>
        <v>1.65</v>
      </c>
      <c r="N278" s="72"/>
      <c r="O278" s="120">
        <f>M278*2</f>
        <v>3.3</v>
      </c>
    </row>
    <row r="279" spans="1:15">
      <c r="A279" s="72">
        <v>21</v>
      </c>
      <c r="B279" s="72" t="s">
        <v>170</v>
      </c>
      <c r="C279" s="72"/>
      <c r="D279" s="72" t="s">
        <v>171</v>
      </c>
      <c r="E279" s="72" t="s">
        <v>96</v>
      </c>
      <c r="F279" s="72"/>
      <c r="G279" s="72"/>
      <c r="H279" s="88">
        <f>2.89</f>
        <v>2.89</v>
      </c>
      <c r="I279" s="72"/>
      <c r="J279" s="72"/>
      <c r="K279" s="72"/>
      <c r="L279" s="72"/>
      <c r="M279" s="72">
        <f>G279+H279+I279+J279*10+K279+L279</f>
        <v>2.89</v>
      </c>
      <c r="N279" s="72"/>
      <c r="O279" s="120">
        <f>M279*2</f>
        <v>5.78</v>
      </c>
    </row>
    <row r="280" ht="23.1" customHeight="1" spans="1:15">
      <c r="A280" s="122" t="s">
        <v>329</v>
      </c>
      <c r="B280" s="123"/>
      <c r="C280" s="123"/>
      <c r="D280" s="124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69"/>
    </row>
    <row r="281" ht="27" spans="1:15">
      <c r="A281" s="69">
        <v>1</v>
      </c>
      <c r="B281" s="69" t="s">
        <v>151</v>
      </c>
      <c r="C281" s="72" t="s">
        <v>264</v>
      </c>
      <c r="D281" s="70" t="s">
        <v>153</v>
      </c>
      <c r="E281" s="69" t="s">
        <v>96</v>
      </c>
      <c r="F281" s="88">
        <v>1.765</v>
      </c>
      <c r="G281" s="72"/>
      <c r="H281" s="72">
        <v>0</v>
      </c>
      <c r="I281" s="72">
        <v>2</v>
      </c>
      <c r="J281" s="72">
        <v>2</v>
      </c>
      <c r="K281" s="72">
        <v>2</v>
      </c>
      <c r="L281" s="72">
        <v>2</v>
      </c>
      <c r="M281" s="72">
        <f>H281+I281+J281+K281*9+L281</f>
        <v>24</v>
      </c>
      <c r="N281" s="72"/>
      <c r="O281" s="120">
        <f>F281*M281</f>
        <v>42.36</v>
      </c>
    </row>
    <row r="282" s="66" customFormat="1" ht="27" spans="1:15">
      <c r="A282" s="69">
        <v>2</v>
      </c>
      <c r="B282" s="69" t="s">
        <v>151</v>
      </c>
      <c r="C282" s="72" t="s">
        <v>330</v>
      </c>
      <c r="D282" s="70" t="s">
        <v>153</v>
      </c>
      <c r="E282" s="69" t="s">
        <v>96</v>
      </c>
      <c r="F282" s="88">
        <v>1.8</v>
      </c>
      <c r="G282" s="72"/>
      <c r="H282" s="72">
        <v>0</v>
      </c>
      <c r="I282" s="72">
        <v>0</v>
      </c>
      <c r="J282" s="72">
        <v>0</v>
      </c>
      <c r="K282" s="72">
        <v>0</v>
      </c>
      <c r="L282" s="72">
        <v>0</v>
      </c>
      <c r="M282" s="72">
        <f t="shared" ref="M282:M287" si="55">H282+I282+J282+K282*9+L282</f>
        <v>0</v>
      </c>
      <c r="N282" s="72"/>
      <c r="O282" s="120">
        <f t="shared" ref="O282:O304" si="56">F282*M282</f>
        <v>0</v>
      </c>
    </row>
    <row r="283" ht="27" spans="1:15">
      <c r="A283" s="69">
        <v>3</v>
      </c>
      <c r="B283" s="69" t="s">
        <v>151</v>
      </c>
      <c r="C283" s="72" t="s">
        <v>286</v>
      </c>
      <c r="D283" s="70" t="s">
        <v>153</v>
      </c>
      <c r="E283" s="69" t="s">
        <v>96</v>
      </c>
      <c r="F283" s="88">
        <v>1.77</v>
      </c>
      <c r="G283" s="72"/>
      <c r="H283" s="72">
        <v>0</v>
      </c>
      <c r="I283" s="72">
        <v>2</v>
      </c>
      <c r="J283" s="72">
        <v>2</v>
      </c>
      <c r="K283" s="72">
        <v>2</v>
      </c>
      <c r="L283" s="72">
        <v>2</v>
      </c>
      <c r="M283" s="72">
        <f t="shared" si="55"/>
        <v>24</v>
      </c>
      <c r="N283" s="72"/>
      <c r="O283" s="120">
        <f t="shared" si="56"/>
        <v>42.48</v>
      </c>
    </row>
    <row r="284" ht="27" spans="1:15">
      <c r="A284" s="69">
        <v>4</v>
      </c>
      <c r="B284" s="69" t="s">
        <v>162</v>
      </c>
      <c r="C284" s="72" t="s">
        <v>287</v>
      </c>
      <c r="D284" s="72" t="s">
        <v>182</v>
      </c>
      <c r="E284" s="69" t="s">
        <v>96</v>
      </c>
      <c r="F284" s="88">
        <f>1.4+0.65*2</f>
        <v>2.7</v>
      </c>
      <c r="G284" s="72"/>
      <c r="H284" s="72">
        <v>0</v>
      </c>
      <c r="I284" s="72">
        <v>2</v>
      </c>
      <c r="J284" s="72">
        <v>2</v>
      </c>
      <c r="K284" s="72">
        <v>2</v>
      </c>
      <c r="L284" s="72">
        <v>2</v>
      </c>
      <c r="M284" s="72">
        <f t="shared" si="55"/>
        <v>24</v>
      </c>
      <c r="N284" s="72"/>
      <c r="O284" s="120">
        <f t="shared" si="56"/>
        <v>64.8</v>
      </c>
    </row>
    <row r="285" ht="27" spans="1:16">
      <c r="A285" s="69">
        <v>5</v>
      </c>
      <c r="B285" s="69" t="s">
        <v>162</v>
      </c>
      <c r="C285" s="72" t="s">
        <v>288</v>
      </c>
      <c r="D285" s="72" t="s">
        <v>182</v>
      </c>
      <c r="E285" s="69" t="s">
        <v>96</v>
      </c>
      <c r="F285" s="72"/>
      <c r="G285" s="72"/>
      <c r="H285" s="125">
        <f>6*0</f>
        <v>0</v>
      </c>
      <c r="I285" s="72">
        <v>0</v>
      </c>
      <c r="J285" s="72">
        <v>0</v>
      </c>
      <c r="K285" s="72">
        <v>0</v>
      </c>
      <c r="L285" s="72">
        <v>0</v>
      </c>
      <c r="M285" s="72">
        <f t="shared" si="55"/>
        <v>0</v>
      </c>
      <c r="N285" s="72"/>
      <c r="O285" s="120">
        <f>G285*M285</f>
        <v>0</v>
      </c>
      <c r="P285" s="66" t="s">
        <v>331</v>
      </c>
    </row>
    <row r="286" ht="27" spans="1:15">
      <c r="A286" s="69">
        <v>6</v>
      </c>
      <c r="B286" s="69" t="s">
        <v>162</v>
      </c>
      <c r="C286" s="72" t="s">
        <v>289</v>
      </c>
      <c r="D286" s="72" t="s">
        <v>182</v>
      </c>
      <c r="E286" s="69" t="s">
        <v>96</v>
      </c>
      <c r="F286" s="88">
        <f>2.7-0.15+0.7-0.15</f>
        <v>3.1</v>
      </c>
      <c r="G286" s="72"/>
      <c r="H286" s="72"/>
      <c r="I286" s="72">
        <v>2</v>
      </c>
      <c r="J286" s="72">
        <v>2</v>
      </c>
      <c r="K286" s="72">
        <v>2</v>
      </c>
      <c r="L286" s="72">
        <v>2</v>
      </c>
      <c r="M286" s="72">
        <f t="shared" si="55"/>
        <v>24</v>
      </c>
      <c r="N286" s="72"/>
      <c r="O286" s="120">
        <f t="shared" si="56"/>
        <v>74.4</v>
      </c>
    </row>
    <row r="287" ht="43" customHeight="1" spans="1:16">
      <c r="A287" s="69">
        <v>6</v>
      </c>
      <c r="B287" s="69" t="s">
        <v>162</v>
      </c>
      <c r="C287" s="72" t="s">
        <v>289</v>
      </c>
      <c r="D287" s="72" t="s">
        <v>182</v>
      </c>
      <c r="E287" s="69" t="s">
        <v>96</v>
      </c>
      <c r="F287" s="88"/>
      <c r="G287" s="72"/>
      <c r="H287" s="72">
        <v>1</v>
      </c>
      <c r="I287" s="72"/>
      <c r="J287" s="72"/>
      <c r="K287" s="72"/>
      <c r="L287" s="72"/>
      <c r="M287" s="72">
        <f t="shared" si="55"/>
        <v>1</v>
      </c>
      <c r="N287" s="72"/>
      <c r="O287" s="120">
        <f t="shared" si="56"/>
        <v>0</v>
      </c>
      <c r="P287" s="66" t="s">
        <v>332</v>
      </c>
    </row>
    <row r="288" ht="27" spans="1:15">
      <c r="A288" s="69">
        <v>7</v>
      </c>
      <c r="B288" s="69" t="s">
        <v>154</v>
      </c>
      <c r="C288" s="69" t="s">
        <v>268</v>
      </c>
      <c r="D288" s="69" t="s">
        <v>202</v>
      </c>
      <c r="E288" s="69" t="s">
        <v>96</v>
      </c>
      <c r="F288" s="77">
        <f>4.85-0.03</f>
        <v>4.82</v>
      </c>
      <c r="G288" s="72"/>
      <c r="H288" s="69">
        <v>0</v>
      </c>
      <c r="I288" s="69">
        <v>0</v>
      </c>
      <c r="J288" s="69">
        <v>2</v>
      </c>
      <c r="K288" s="69">
        <v>2</v>
      </c>
      <c r="L288" s="69">
        <v>2</v>
      </c>
      <c r="M288" s="70">
        <f t="shared" ref="M288:M304" si="57">H288+I288+J288+K288*9+L288</f>
        <v>22</v>
      </c>
      <c r="N288" s="72"/>
      <c r="O288" s="120">
        <f t="shared" si="56"/>
        <v>106.04</v>
      </c>
    </row>
    <row r="289" ht="27" spans="1:15">
      <c r="A289" s="69">
        <v>8</v>
      </c>
      <c r="B289" s="69" t="s">
        <v>154</v>
      </c>
      <c r="C289" s="69" t="s">
        <v>271</v>
      </c>
      <c r="D289" s="69" t="s">
        <v>203</v>
      </c>
      <c r="E289" s="69" t="s">
        <v>96</v>
      </c>
      <c r="F289" s="77">
        <f>1.5-0.04</f>
        <v>1.46</v>
      </c>
      <c r="G289" s="72"/>
      <c r="H289" s="69">
        <v>0</v>
      </c>
      <c r="I289" s="69">
        <v>2</v>
      </c>
      <c r="J289" s="69">
        <v>2</v>
      </c>
      <c r="K289" s="69">
        <v>2</v>
      </c>
      <c r="L289" s="69">
        <v>2</v>
      </c>
      <c r="M289" s="70">
        <f t="shared" si="57"/>
        <v>24</v>
      </c>
      <c r="N289" s="72"/>
      <c r="O289" s="120">
        <f t="shared" si="56"/>
        <v>35.04</v>
      </c>
    </row>
    <row r="290" ht="27" spans="1:15">
      <c r="A290" s="69">
        <v>9</v>
      </c>
      <c r="B290" s="72" t="s">
        <v>178</v>
      </c>
      <c r="C290" s="69" t="s">
        <v>322</v>
      </c>
      <c r="D290" s="69" t="s">
        <v>232</v>
      </c>
      <c r="E290" s="69" t="s">
        <v>96</v>
      </c>
      <c r="F290" s="77">
        <f>1.3-0.03</f>
        <v>1.27</v>
      </c>
      <c r="G290" s="72"/>
      <c r="H290" s="69">
        <v>0</v>
      </c>
      <c r="I290" s="69">
        <v>2</v>
      </c>
      <c r="J290" s="69">
        <v>2</v>
      </c>
      <c r="K290" s="69">
        <v>2</v>
      </c>
      <c r="L290" s="69">
        <v>2</v>
      </c>
      <c r="M290" s="70">
        <f t="shared" si="57"/>
        <v>24</v>
      </c>
      <c r="N290" s="72"/>
      <c r="O290" s="120">
        <f t="shared" si="56"/>
        <v>30.48</v>
      </c>
    </row>
    <row r="291" ht="31.5" customHeight="1" spans="1:16">
      <c r="A291" s="69">
        <v>10</v>
      </c>
      <c r="B291" s="69" t="s">
        <v>154</v>
      </c>
      <c r="C291" s="69" t="s">
        <v>325</v>
      </c>
      <c r="D291" s="69" t="s">
        <v>203</v>
      </c>
      <c r="E291" s="69" t="s">
        <v>96</v>
      </c>
      <c r="F291" s="77"/>
      <c r="G291" s="72"/>
      <c r="H291" s="69">
        <f>1*0</f>
        <v>0</v>
      </c>
      <c r="I291" s="69">
        <v>0</v>
      </c>
      <c r="J291" s="69">
        <v>0</v>
      </c>
      <c r="K291" s="69">
        <v>0</v>
      </c>
      <c r="L291" s="69">
        <v>0</v>
      </c>
      <c r="M291" s="70">
        <f t="shared" si="57"/>
        <v>0</v>
      </c>
      <c r="N291" s="72"/>
      <c r="O291" s="120">
        <f t="shared" si="56"/>
        <v>0</v>
      </c>
      <c r="P291" s="66" t="s">
        <v>333</v>
      </c>
    </row>
    <row r="292" ht="27" spans="1:15">
      <c r="A292" s="69">
        <v>11</v>
      </c>
      <c r="B292" s="72" t="s">
        <v>178</v>
      </c>
      <c r="C292" s="69" t="s">
        <v>326</v>
      </c>
      <c r="D292" s="69" t="s">
        <v>232</v>
      </c>
      <c r="E292" s="69" t="s">
        <v>96</v>
      </c>
      <c r="F292" s="77">
        <f>1.3-0.03</f>
        <v>1.27</v>
      </c>
      <c r="G292" s="72"/>
      <c r="H292" s="69">
        <v>2</v>
      </c>
      <c r="I292" s="69">
        <v>0</v>
      </c>
      <c r="J292" s="69">
        <v>0</v>
      </c>
      <c r="K292" s="69">
        <v>0</v>
      </c>
      <c r="L292" s="69">
        <v>0</v>
      </c>
      <c r="M292" s="70">
        <f t="shared" si="57"/>
        <v>2</v>
      </c>
      <c r="N292" s="72"/>
      <c r="O292" s="120">
        <f t="shared" si="56"/>
        <v>2.54</v>
      </c>
    </row>
    <row r="293" ht="29" customHeight="1" spans="1:15">
      <c r="A293" s="69">
        <v>12</v>
      </c>
      <c r="B293" s="69" t="s">
        <v>154</v>
      </c>
      <c r="C293" s="69" t="s">
        <v>295</v>
      </c>
      <c r="D293" s="69" t="s">
        <v>203</v>
      </c>
      <c r="E293" s="69" t="s">
        <v>96</v>
      </c>
      <c r="F293" s="77">
        <f>1.15-0.03</f>
        <v>1.12</v>
      </c>
      <c r="G293" s="72"/>
      <c r="H293" s="69">
        <v>1</v>
      </c>
      <c r="I293" s="69">
        <v>0</v>
      </c>
      <c r="J293" s="69">
        <v>0</v>
      </c>
      <c r="K293" s="69">
        <v>0</v>
      </c>
      <c r="L293" s="69">
        <v>0</v>
      </c>
      <c r="M293" s="70">
        <f t="shared" si="57"/>
        <v>1</v>
      </c>
      <c r="N293" s="72"/>
      <c r="O293" s="120">
        <f t="shared" si="56"/>
        <v>1.12</v>
      </c>
    </row>
    <row r="294" ht="29" customHeight="1" spans="1:15">
      <c r="A294" s="69">
        <v>13</v>
      </c>
      <c r="B294" s="69" t="s">
        <v>154</v>
      </c>
      <c r="C294" s="69" t="s">
        <v>296</v>
      </c>
      <c r="D294" s="69" t="s">
        <v>203</v>
      </c>
      <c r="E294" s="69" t="s">
        <v>96</v>
      </c>
      <c r="F294" s="77">
        <f>1.5-0.03</f>
        <v>1.47</v>
      </c>
      <c r="G294" s="72"/>
      <c r="H294" s="69">
        <v>1</v>
      </c>
      <c r="I294" s="69">
        <v>0</v>
      </c>
      <c r="J294" s="69">
        <v>0</v>
      </c>
      <c r="K294" s="69">
        <v>0</v>
      </c>
      <c r="L294" s="69">
        <v>0</v>
      </c>
      <c r="M294" s="70">
        <f t="shared" si="57"/>
        <v>1</v>
      </c>
      <c r="N294" s="72"/>
      <c r="O294" s="120">
        <f t="shared" si="56"/>
        <v>1.47</v>
      </c>
    </row>
    <row r="295" ht="27" spans="1:15">
      <c r="A295" s="69">
        <v>14</v>
      </c>
      <c r="B295" s="69" t="s">
        <v>154</v>
      </c>
      <c r="C295" s="69" t="s">
        <v>272</v>
      </c>
      <c r="D295" s="69" t="s">
        <v>334</v>
      </c>
      <c r="E295" s="69" t="s">
        <v>96</v>
      </c>
      <c r="F295" s="77">
        <f>4.85-0.03</f>
        <v>4.82</v>
      </c>
      <c r="G295" s="72"/>
      <c r="H295" s="69">
        <v>0</v>
      </c>
      <c r="I295" s="69">
        <v>2</v>
      </c>
      <c r="J295" s="69">
        <v>0</v>
      </c>
      <c r="K295" s="69">
        <v>0</v>
      </c>
      <c r="L295" s="69">
        <v>0</v>
      </c>
      <c r="M295" s="70">
        <f t="shared" si="57"/>
        <v>2</v>
      </c>
      <c r="N295" s="72"/>
      <c r="O295" s="120">
        <f t="shared" si="56"/>
        <v>9.64</v>
      </c>
    </row>
    <row r="296" s="66" customFormat="1" ht="24" customHeight="1" spans="1:15">
      <c r="A296" s="69">
        <v>15</v>
      </c>
      <c r="B296" s="69" t="s">
        <v>154</v>
      </c>
      <c r="C296" s="69" t="s">
        <v>294</v>
      </c>
      <c r="D296" s="69" t="s">
        <v>203</v>
      </c>
      <c r="E296" s="69" t="s">
        <v>96</v>
      </c>
      <c r="F296" s="69">
        <v>2.4</v>
      </c>
      <c r="G296" s="72"/>
      <c r="H296" s="69">
        <v>0</v>
      </c>
      <c r="I296" s="69">
        <v>0</v>
      </c>
      <c r="J296" s="69">
        <v>0</v>
      </c>
      <c r="K296" s="69">
        <v>0</v>
      </c>
      <c r="L296" s="69">
        <v>0</v>
      </c>
      <c r="M296" s="70">
        <f t="shared" si="57"/>
        <v>0</v>
      </c>
      <c r="N296" s="72"/>
      <c r="O296" s="120">
        <f t="shared" si="56"/>
        <v>0</v>
      </c>
    </row>
    <row r="297" ht="27" spans="1:15">
      <c r="A297" s="69">
        <v>16</v>
      </c>
      <c r="B297" s="69" t="s">
        <v>154</v>
      </c>
      <c r="C297" s="69" t="s">
        <v>293</v>
      </c>
      <c r="D297" s="69" t="s">
        <v>203</v>
      </c>
      <c r="E297" s="69" t="s">
        <v>96</v>
      </c>
      <c r="F297" s="77">
        <f>2.66</f>
        <v>2.66</v>
      </c>
      <c r="G297" s="72"/>
      <c r="H297" s="69">
        <v>0</v>
      </c>
      <c r="I297" s="69">
        <v>0</v>
      </c>
      <c r="J297" s="69">
        <v>2</v>
      </c>
      <c r="K297" s="69">
        <v>2</v>
      </c>
      <c r="L297" s="69">
        <v>2</v>
      </c>
      <c r="M297" s="70">
        <f t="shared" si="57"/>
        <v>22</v>
      </c>
      <c r="N297" s="72"/>
      <c r="O297" s="120">
        <f t="shared" si="56"/>
        <v>58.52</v>
      </c>
    </row>
    <row r="298" ht="27" spans="1:16">
      <c r="A298" s="69">
        <v>17</v>
      </c>
      <c r="B298" s="69" t="s">
        <v>154</v>
      </c>
      <c r="C298" s="69" t="s">
        <v>335</v>
      </c>
      <c r="D298" s="69" t="s">
        <v>336</v>
      </c>
      <c r="E298" s="69" t="s">
        <v>96</v>
      </c>
      <c r="F298" s="77">
        <f>2.7-0.04</f>
        <v>2.66</v>
      </c>
      <c r="G298" s="72"/>
      <c r="H298" s="69">
        <v>0</v>
      </c>
      <c r="I298" s="69">
        <v>1</v>
      </c>
      <c r="J298" s="69">
        <v>0</v>
      </c>
      <c r="K298" s="69">
        <v>0</v>
      </c>
      <c r="L298" s="69">
        <v>0</v>
      </c>
      <c r="M298" s="70">
        <f t="shared" si="57"/>
        <v>1</v>
      </c>
      <c r="N298" s="72"/>
      <c r="O298" s="120">
        <f t="shared" si="56"/>
        <v>2.66</v>
      </c>
      <c r="P298" s="66" t="s">
        <v>337</v>
      </c>
    </row>
    <row r="299" spans="1:15">
      <c r="A299" s="69">
        <v>18</v>
      </c>
      <c r="B299" s="69" t="s">
        <v>157</v>
      </c>
      <c r="C299" s="70" t="s">
        <v>234</v>
      </c>
      <c r="D299" s="70" t="s">
        <v>159</v>
      </c>
      <c r="E299" s="69" t="s">
        <v>94</v>
      </c>
      <c r="F299" s="77">
        <f>0.97*2.28</f>
        <v>2.2116</v>
      </c>
      <c r="G299" s="72"/>
      <c r="H299" s="69">
        <v>0</v>
      </c>
      <c r="I299" s="69">
        <v>2</v>
      </c>
      <c r="J299" s="69"/>
      <c r="K299" s="69">
        <v>3</v>
      </c>
      <c r="L299" s="69"/>
      <c r="M299" s="70">
        <f t="shared" si="57"/>
        <v>29</v>
      </c>
      <c r="N299" s="72"/>
      <c r="O299" s="120">
        <f t="shared" si="56"/>
        <v>64.1364</v>
      </c>
    </row>
    <row r="300" spans="1:15">
      <c r="A300" s="69">
        <v>19</v>
      </c>
      <c r="B300" s="69" t="s">
        <v>157</v>
      </c>
      <c r="C300" s="70" t="s">
        <v>235</v>
      </c>
      <c r="D300" s="70" t="s">
        <v>161</v>
      </c>
      <c r="E300" s="69" t="s">
        <v>94</v>
      </c>
      <c r="F300" s="77">
        <f>0.97*1.98</f>
        <v>1.9206</v>
      </c>
      <c r="G300" s="69"/>
      <c r="H300" s="69">
        <v>0</v>
      </c>
      <c r="I300" s="69">
        <v>0</v>
      </c>
      <c r="J300" s="69">
        <v>3</v>
      </c>
      <c r="K300" s="69"/>
      <c r="L300" s="69">
        <v>3</v>
      </c>
      <c r="M300" s="70">
        <f t="shared" si="57"/>
        <v>6</v>
      </c>
      <c r="N300" s="72"/>
      <c r="O300" s="120">
        <f t="shared" si="56"/>
        <v>11.5236</v>
      </c>
    </row>
    <row r="301" spans="1:16">
      <c r="A301" s="69">
        <v>20</v>
      </c>
      <c r="B301" s="69" t="s">
        <v>157</v>
      </c>
      <c r="C301" s="70" t="s">
        <v>311</v>
      </c>
      <c r="D301" s="70" t="s">
        <v>159</v>
      </c>
      <c r="E301" s="69" t="s">
        <v>94</v>
      </c>
      <c r="F301" s="126">
        <f>0.97*2.065</f>
        <v>2.00305</v>
      </c>
      <c r="G301" s="69"/>
      <c r="H301" s="69">
        <v>2</v>
      </c>
      <c r="I301" s="69">
        <v>0</v>
      </c>
      <c r="J301" s="69"/>
      <c r="K301" s="69"/>
      <c r="L301" s="69"/>
      <c r="M301" s="70">
        <f t="shared" si="57"/>
        <v>2</v>
      </c>
      <c r="N301" s="72"/>
      <c r="O301" s="120">
        <f t="shared" si="56"/>
        <v>4.0061</v>
      </c>
      <c r="P301" s="66" t="s">
        <v>338</v>
      </c>
    </row>
    <row r="302" ht="24" customHeight="1" spans="1:15">
      <c r="A302" s="69">
        <v>21</v>
      </c>
      <c r="B302" s="69" t="s">
        <v>157</v>
      </c>
      <c r="C302" s="70" t="s">
        <v>312</v>
      </c>
      <c r="D302" s="70" t="s">
        <v>161</v>
      </c>
      <c r="E302" s="69" t="s">
        <v>94</v>
      </c>
      <c r="F302" s="77">
        <v>1.9206</v>
      </c>
      <c r="G302" s="69"/>
      <c r="H302" s="69">
        <v>0</v>
      </c>
      <c r="I302" s="69">
        <v>1</v>
      </c>
      <c r="J302" s="69"/>
      <c r="K302" s="69"/>
      <c r="L302" s="69"/>
      <c r="M302" s="70">
        <f t="shared" si="57"/>
        <v>1</v>
      </c>
      <c r="N302" s="72"/>
      <c r="O302" s="120">
        <f t="shared" si="56"/>
        <v>1.9206</v>
      </c>
    </row>
    <row r="303" spans="1:15">
      <c r="A303" s="69">
        <v>22</v>
      </c>
      <c r="B303" s="69" t="s">
        <v>157</v>
      </c>
      <c r="C303" s="70" t="s">
        <v>304</v>
      </c>
      <c r="D303" s="70" t="s">
        <v>159</v>
      </c>
      <c r="E303" s="69" t="s">
        <v>94</v>
      </c>
      <c r="F303" s="126">
        <f>0.97*2.065</f>
        <v>2.00305</v>
      </c>
      <c r="G303" s="72"/>
      <c r="H303" s="69">
        <v>2</v>
      </c>
      <c r="I303" s="69">
        <v>2</v>
      </c>
      <c r="J303" s="69"/>
      <c r="K303" s="69">
        <v>3</v>
      </c>
      <c r="L303" s="69"/>
      <c r="M303" s="70">
        <f t="shared" si="57"/>
        <v>31</v>
      </c>
      <c r="N303" s="72"/>
      <c r="O303" s="120">
        <f t="shared" si="56"/>
        <v>62.09455</v>
      </c>
    </row>
    <row r="304" spans="1:15">
      <c r="A304" s="69">
        <v>23</v>
      </c>
      <c r="B304" s="69" t="s">
        <v>157</v>
      </c>
      <c r="C304" s="70" t="s">
        <v>305</v>
      </c>
      <c r="D304" s="70" t="s">
        <v>161</v>
      </c>
      <c r="E304" s="69" t="s">
        <v>94</v>
      </c>
      <c r="F304" s="77">
        <v>1.9206</v>
      </c>
      <c r="G304" s="72"/>
      <c r="H304" s="69">
        <v>0</v>
      </c>
      <c r="I304" s="69">
        <v>0</v>
      </c>
      <c r="J304" s="69">
        <v>3</v>
      </c>
      <c r="K304" s="69"/>
      <c r="L304" s="69">
        <v>3</v>
      </c>
      <c r="M304" s="70">
        <f t="shared" si="57"/>
        <v>6</v>
      </c>
      <c r="N304" s="72"/>
      <c r="O304" s="120">
        <f t="shared" si="56"/>
        <v>11.5236</v>
      </c>
    </row>
    <row r="305" ht="33" customHeight="1" spans="1:15">
      <c r="A305" s="69">
        <v>25</v>
      </c>
      <c r="B305" s="72" t="s">
        <v>168</v>
      </c>
      <c r="C305" s="69" t="s">
        <v>183</v>
      </c>
      <c r="D305" s="69"/>
      <c r="E305" s="69" t="s">
        <v>96</v>
      </c>
      <c r="F305" s="69"/>
      <c r="G305" s="77">
        <f>1.5+2.23+2.27+0.2*1</f>
        <v>6.2</v>
      </c>
      <c r="H305" s="77">
        <v>2.63</v>
      </c>
      <c r="I305" s="69">
        <f>2.66+2.6+0.2*1</f>
        <v>5.46</v>
      </c>
      <c r="J305" s="69">
        <f>2.66+2.6+0.2</f>
        <v>5.46</v>
      </c>
      <c r="K305" s="69">
        <f>2.66+2.6+0.2</f>
        <v>5.46</v>
      </c>
      <c r="L305" s="129">
        <v>1.36</v>
      </c>
      <c r="M305" s="72"/>
      <c r="N305" s="72"/>
      <c r="O305" s="121">
        <f>G305+H305+I305+J305*10+K305+L305</f>
        <v>75.71</v>
      </c>
    </row>
    <row r="306" ht="33" customHeight="1" spans="1:15">
      <c r="A306" s="69">
        <v>26</v>
      </c>
      <c r="B306" s="72" t="s">
        <v>168</v>
      </c>
      <c r="C306" s="69" t="s">
        <v>241</v>
      </c>
      <c r="D306" s="69"/>
      <c r="E306" s="69" t="s">
        <v>96</v>
      </c>
      <c r="F306" s="69"/>
      <c r="G306" s="77">
        <v>1.68</v>
      </c>
      <c r="H306" s="69"/>
      <c r="I306" s="69"/>
      <c r="J306" s="69"/>
      <c r="K306" s="69"/>
      <c r="L306" s="69"/>
      <c r="M306" s="72"/>
      <c r="N306" s="72"/>
      <c r="O306" s="121">
        <f>G306+H306+I306+J306*10+K306+L306</f>
        <v>1.68</v>
      </c>
    </row>
    <row r="307" ht="33" customHeight="1" spans="1:15">
      <c r="A307" s="69">
        <v>27</v>
      </c>
      <c r="B307" s="72" t="s">
        <v>168</v>
      </c>
      <c r="C307" s="69" t="s">
        <v>183</v>
      </c>
      <c r="D307" s="69"/>
      <c r="E307" s="69" t="s">
        <v>96</v>
      </c>
      <c r="F307" s="69"/>
      <c r="G307" s="77">
        <f>1.496+0.3+2.23+2.158+2.592</f>
        <v>8.776</v>
      </c>
      <c r="H307" s="77">
        <f>2.635</f>
        <v>2.635</v>
      </c>
      <c r="I307" s="77">
        <f t="shared" ref="I307:K307" si="58">2.694+2.635</f>
        <v>5.329</v>
      </c>
      <c r="J307" s="77">
        <f t="shared" si="58"/>
        <v>5.329</v>
      </c>
      <c r="K307" s="77">
        <f t="shared" si="58"/>
        <v>5.329</v>
      </c>
      <c r="L307" s="69">
        <v>1.36</v>
      </c>
      <c r="M307" s="72"/>
      <c r="N307" s="72"/>
      <c r="O307" s="121">
        <f>G307+H307+I307+J307*10+K307+L307</f>
        <v>76.719</v>
      </c>
    </row>
    <row r="308" ht="33" customHeight="1" spans="1:15">
      <c r="A308" s="69">
        <v>29</v>
      </c>
      <c r="B308" s="72" t="s">
        <v>170</v>
      </c>
      <c r="C308" s="72"/>
      <c r="D308" s="72" t="s">
        <v>171</v>
      </c>
      <c r="E308" s="69" t="s">
        <v>96</v>
      </c>
      <c r="F308" s="69"/>
      <c r="G308" s="69"/>
      <c r="H308" s="88">
        <f>2.894+2.694</f>
        <v>5.588</v>
      </c>
      <c r="I308" s="72"/>
      <c r="J308" s="72"/>
      <c r="K308" s="72"/>
      <c r="L308" s="72"/>
      <c r="M308" s="72"/>
      <c r="N308" s="72"/>
      <c r="O308" s="121">
        <f>G308+H308+I308+J308*10+K308+L308</f>
        <v>5.588</v>
      </c>
    </row>
    <row r="309" ht="36" customHeight="1" spans="1:15">
      <c r="A309" s="127" t="s">
        <v>339</v>
      </c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01"/>
      <c r="O309" s="101"/>
    </row>
    <row r="310" ht="29.1" customHeight="1" spans="1:15">
      <c r="A310" s="72" t="s">
        <v>1</v>
      </c>
      <c r="B310" s="72" t="s">
        <v>137</v>
      </c>
      <c r="C310" s="72"/>
      <c r="D310" s="72" t="s">
        <v>51</v>
      </c>
      <c r="E310" s="72" t="s">
        <v>87</v>
      </c>
      <c r="F310" s="72"/>
      <c r="G310" s="72"/>
      <c r="H310" s="72"/>
      <c r="I310" s="72"/>
      <c r="J310" s="72"/>
      <c r="K310" s="72"/>
      <c r="L310" s="72"/>
      <c r="M310" s="72"/>
      <c r="N310" s="72"/>
      <c r="O310" s="101"/>
    </row>
    <row r="311" ht="30" customHeight="1" spans="1:16">
      <c r="A311" s="69">
        <v>1</v>
      </c>
      <c r="B311" s="72" t="s">
        <v>170</v>
      </c>
      <c r="C311" s="72"/>
      <c r="D311" s="72" t="s">
        <v>171</v>
      </c>
      <c r="E311" s="69" t="s">
        <v>96</v>
      </c>
      <c r="F311" s="69"/>
      <c r="G311" s="88">
        <f>2*2+2.2+5.25</f>
        <v>11.45</v>
      </c>
      <c r="H311" s="72"/>
      <c r="I311" s="72"/>
      <c r="J311" s="72"/>
      <c r="K311" s="72"/>
      <c r="L311" s="72"/>
      <c r="M311" s="72"/>
      <c r="N311" s="72"/>
      <c r="O311" s="86">
        <f>G311+H311+I311+J311+K311+L311+M311+N311</f>
        <v>11.45</v>
      </c>
      <c r="P311" s="66" t="s">
        <v>340</v>
      </c>
    </row>
    <row r="312" ht="27" customHeight="1" spans="1:16">
      <c r="A312" s="69">
        <v>2</v>
      </c>
      <c r="B312" s="72" t="s">
        <v>341</v>
      </c>
      <c r="C312" s="72"/>
      <c r="D312" s="72"/>
      <c r="E312" s="69" t="s">
        <v>96</v>
      </c>
      <c r="F312" s="69"/>
      <c r="G312" s="72">
        <f>(3.69*1.2+1.3*1.2+(2.115+2.065)*1.2+1.82*1.2+1.425+2.86*1.2)*0</f>
        <v>0</v>
      </c>
      <c r="H312" s="72">
        <f>((2.22+2.22)*1.2+1.3*1.2*5+1.2+2.34*1.2+1.25)*0</f>
        <v>0</v>
      </c>
      <c r="I312" s="72">
        <v>0</v>
      </c>
      <c r="J312" s="72"/>
      <c r="K312" s="72"/>
      <c r="L312" s="72"/>
      <c r="M312" s="72"/>
      <c r="N312" s="72"/>
      <c r="O312" s="72">
        <f>G312+H312+I312+J312+K312+L312+M312+N312</f>
        <v>0</v>
      </c>
      <c r="P312" s="66" t="s">
        <v>342</v>
      </c>
    </row>
    <row r="313" ht="33" customHeight="1" spans="1:16">
      <c r="A313" s="69">
        <v>3</v>
      </c>
      <c r="B313" s="72" t="s">
        <v>343</v>
      </c>
      <c r="C313" s="72"/>
      <c r="D313" s="72" t="s">
        <v>344</v>
      </c>
      <c r="E313" s="69" t="s">
        <v>96</v>
      </c>
      <c r="F313" s="69"/>
      <c r="G313" s="72">
        <f>(4.355+7.55+4.7+6.6+1.85)*0</f>
        <v>0</v>
      </c>
      <c r="H313" s="72"/>
      <c r="I313" s="72"/>
      <c r="J313" s="72"/>
      <c r="K313" s="72"/>
      <c r="L313" s="72"/>
      <c r="M313" s="72"/>
      <c r="N313" s="72"/>
      <c r="O313" s="72">
        <f>G313+H313+I313+J313+K313+L313+M313+N313</f>
        <v>0</v>
      </c>
      <c r="P313" s="66" t="s">
        <v>342</v>
      </c>
    </row>
    <row r="314" ht="30" customHeight="1" spans="1:15">
      <c r="A314" s="69">
        <v>4</v>
      </c>
      <c r="B314" s="72" t="s">
        <v>345</v>
      </c>
      <c r="C314" s="72"/>
      <c r="D314" s="72" t="s">
        <v>346</v>
      </c>
      <c r="E314" s="69" t="s">
        <v>96</v>
      </c>
      <c r="F314" s="69"/>
      <c r="G314" s="88">
        <f>7.7+1.7</f>
        <v>9.4</v>
      </c>
      <c r="H314" s="88">
        <f>6+5.6+6</f>
        <v>17.6</v>
      </c>
      <c r="I314" s="88">
        <v>5.87</v>
      </c>
      <c r="J314" s="88">
        <v>7.06</v>
      </c>
      <c r="K314" s="84">
        <f>7.5*3</f>
        <v>22.5</v>
      </c>
      <c r="L314" s="88">
        <f>6.75+14.1</f>
        <v>20.85</v>
      </c>
      <c r="M314" s="84">
        <v>4.6</v>
      </c>
      <c r="N314" s="72"/>
      <c r="O314" s="86">
        <f>G314+H314+J314+I314+K314+L314+M314+N314</f>
        <v>87.88</v>
      </c>
    </row>
    <row r="315" ht="123" customHeight="1" spans="1:15">
      <c r="A315" s="69">
        <v>5</v>
      </c>
      <c r="B315" s="72" t="s">
        <v>347</v>
      </c>
      <c r="C315" s="72"/>
      <c r="D315" s="72" t="s">
        <v>348</v>
      </c>
      <c r="E315" s="69" t="s">
        <v>96</v>
      </c>
      <c r="F315" s="69"/>
      <c r="G315" s="88">
        <f>6.4+4.1+5.5+7.43+6.85+4.7</f>
        <v>34.98</v>
      </c>
      <c r="H315" s="72"/>
      <c r="I315" s="72"/>
      <c r="J315" s="72"/>
      <c r="K315" s="72"/>
      <c r="L315" s="72"/>
      <c r="M315" s="72"/>
      <c r="N315" s="72"/>
      <c r="O315" s="86">
        <f t="shared" ref="O315:O317" si="59">G315+H315+J315+I315+K315+L315+M315+N315</f>
        <v>34.98</v>
      </c>
    </row>
    <row r="316" ht="27" customHeight="1" spans="1:15">
      <c r="A316" s="69">
        <v>6</v>
      </c>
      <c r="B316" s="72" t="s">
        <v>345</v>
      </c>
      <c r="C316" s="72"/>
      <c r="D316" s="72" t="s">
        <v>349</v>
      </c>
      <c r="E316" s="69" t="s">
        <v>96</v>
      </c>
      <c r="F316" s="69"/>
      <c r="G316" s="88">
        <f>1.88+3.1+2.2</f>
        <v>7.18</v>
      </c>
      <c r="H316" s="88">
        <v>2.5</v>
      </c>
      <c r="I316" s="88">
        <v>1.67</v>
      </c>
      <c r="J316" s="88">
        <f>3.28+2.68</f>
        <v>5.96</v>
      </c>
      <c r="K316" s="88">
        <f>2.72*2</f>
        <v>5.44</v>
      </c>
      <c r="L316" s="88">
        <f>2.91*0.95</f>
        <v>2.7645</v>
      </c>
      <c r="M316" s="88">
        <f>2.9+3.27</f>
        <v>6.17</v>
      </c>
      <c r="N316" s="88">
        <f>1.9+1</f>
        <v>2.9</v>
      </c>
      <c r="O316" s="86">
        <f t="shared" si="59"/>
        <v>34.5845</v>
      </c>
    </row>
    <row r="317" ht="24" customHeight="1" spans="1:16">
      <c r="A317" s="69"/>
      <c r="B317" s="69" t="s">
        <v>350</v>
      </c>
      <c r="C317" s="69"/>
      <c r="D317" s="70"/>
      <c r="E317" s="69" t="s">
        <v>96</v>
      </c>
      <c r="F317" s="69"/>
      <c r="G317" s="88">
        <v>4.5</v>
      </c>
      <c r="H317" s="88">
        <f>3.4*2</f>
        <v>6.8</v>
      </c>
      <c r="I317" s="88">
        <v>5.15</v>
      </c>
      <c r="J317" s="88">
        <f>3.2+2.43+3.13+4.9</f>
        <v>13.66</v>
      </c>
      <c r="K317" s="72"/>
      <c r="L317" s="72"/>
      <c r="M317" s="72"/>
      <c r="N317" s="72"/>
      <c r="O317" s="86">
        <f t="shared" si="59"/>
        <v>30.11</v>
      </c>
      <c r="P317" s="66" t="s">
        <v>351</v>
      </c>
    </row>
    <row r="318" ht="30" customHeight="1" spans="1:15">
      <c r="A318" s="69" t="s">
        <v>352</v>
      </c>
      <c r="B318" s="69"/>
      <c r="C318" s="69"/>
      <c r="D318" s="70"/>
      <c r="E318" s="69"/>
      <c r="F318" s="69"/>
      <c r="G318" s="72"/>
      <c r="H318" s="72"/>
      <c r="I318" s="72"/>
      <c r="J318" s="72"/>
      <c r="K318" s="72"/>
      <c r="L318" s="72"/>
      <c r="M318" s="72"/>
      <c r="N318" s="72"/>
      <c r="O318" s="72"/>
    </row>
    <row r="319" ht="28" customHeight="1" spans="1:15">
      <c r="A319" s="69">
        <v>1</v>
      </c>
      <c r="B319" s="69" t="s">
        <v>353</v>
      </c>
      <c r="C319" s="69"/>
      <c r="D319" s="70" t="s">
        <v>354</v>
      </c>
      <c r="E319" s="69" t="s">
        <v>96</v>
      </c>
      <c r="F319" s="69"/>
      <c r="G319" s="72">
        <f>2.244+0.05+2.43+0.05+2.36+0.05+2.3+1.41</f>
        <v>10.894</v>
      </c>
      <c r="H319" s="72"/>
      <c r="I319" s="72"/>
      <c r="J319" s="72"/>
      <c r="K319" s="72"/>
      <c r="L319" s="72"/>
      <c r="M319" s="72"/>
      <c r="N319" s="72"/>
      <c r="O319" s="72">
        <f>G319</f>
        <v>10.894</v>
      </c>
    </row>
    <row r="320" ht="22" customHeight="1" spans="1:15">
      <c r="A320" s="69">
        <v>2</v>
      </c>
      <c r="B320" s="69" t="s">
        <v>355</v>
      </c>
      <c r="C320" s="69"/>
      <c r="D320" s="70" t="s">
        <v>354</v>
      </c>
      <c r="E320" s="69" t="s">
        <v>96</v>
      </c>
      <c r="F320" s="69"/>
      <c r="G320" s="72">
        <f>2.57+0.06+2.738+0.7+2.74+0.09+2.79+1.41</f>
        <v>13.098</v>
      </c>
      <c r="H320" s="72"/>
      <c r="I320" s="72"/>
      <c r="J320" s="72"/>
      <c r="K320" s="72"/>
      <c r="L320" s="72"/>
      <c r="M320" s="72"/>
      <c r="N320" s="72"/>
      <c r="O320" s="72">
        <f>G320</f>
        <v>13.098</v>
      </c>
    </row>
    <row r="321" ht="22" customHeight="1" spans="1:15">
      <c r="A321" s="69">
        <v>3</v>
      </c>
      <c r="B321" s="69" t="s">
        <v>356</v>
      </c>
      <c r="C321" s="69"/>
      <c r="D321" s="70" t="s">
        <v>354</v>
      </c>
      <c r="E321" s="69" t="s">
        <v>96</v>
      </c>
      <c r="F321" s="69"/>
      <c r="G321" s="72">
        <f>2.244+0.05+2.435+0.05+2.367+0.05+2.307</f>
        <v>9.503</v>
      </c>
      <c r="H321" s="72"/>
      <c r="I321" s="72"/>
      <c r="J321" s="72"/>
      <c r="K321" s="72"/>
      <c r="L321" s="72"/>
      <c r="M321" s="72"/>
      <c r="N321" s="72"/>
      <c r="O321" s="72">
        <f>G321</f>
        <v>9.503</v>
      </c>
    </row>
    <row r="322" ht="22" customHeight="1" spans="1:15">
      <c r="A322" s="69"/>
      <c r="B322" s="69" t="s">
        <v>132</v>
      </c>
      <c r="C322" s="69"/>
      <c r="D322" s="70"/>
      <c r="E322" s="69"/>
      <c r="F322" s="69"/>
      <c r="G322" s="72"/>
      <c r="H322" s="72"/>
      <c r="I322" s="72"/>
      <c r="J322" s="72"/>
      <c r="K322" s="72"/>
      <c r="L322" s="72"/>
      <c r="M322" s="72"/>
      <c r="N322" s="72"/>
      <c r="O322" s="72">
        <f>SUBTOTAL(9,O319:O321)</f>
        <v>33.495</v>
      </c>
    </row>
    <row r="323" spans="1:15">
      <c r="A323" s="69"/>
      <c r="B323" s="69"/>
      <c r="C323" s="69"/>
      <c r="D323" s="70"/>
      <c r="E323" s="69"/>
      <c r="F323" s="69"/>
      <c r="G323" s="72"/>
      <c r="H323" s="72"/>
      <c r="I323" s="72"/>
      <c r="J323" s="72"/>
      <c r="K323" s="72"/>
      <c r="L323" s="72"/>
      <c r="M323" s="72"/>
      <c r="N323" s="72"/>
      <c r="O323" s="72"/>
    </row>
    <row r="324" spans="1:15">
      <c r="A324" s="69"/>
      <c r="B324" s="69"/>
      <c r="C324" s="69"/>
      <c r="D324" s="70"/>
      <c r="E324" s="69"/>
      <c r="F324" s="69"/>
      <c r="G324" s="72"/>
      <c r="H324" s="72"/>
      <c r="I324" s="72"/>
      <c r="J324" s="72"/>
      <c r="K324" s="72"/>
      <c r="L324" s="72"/>
      <c r="M324" s="72"/>
      <c r="N324" s="72"/>
      <c r="O324" s="72"/>
    </row>
  </sheetData>
  <autoFilter xmlns:etc="http://www.wps.cn/officeDocument/2017/etCustomData" ref="A3:P321" etc:filterBottomFollowUsedRange="0">
    <filterColumn colId="14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92D050"/>
                <bgColor rgb="FF92D050"/>
              </patternFill>
            </fill>
          </dxf>
        </dxfs>
      </extLst>
    </filterColumn>
    <extLst/>
  </autoFilter>
  <mergeCells count="92">
    <mergeCell ref="A1:O1"/>
    <mergeCell ref="A4:D4"/>
    <mergeCell ref="H15:M15"/>
    <mergeCell ref="H27:M27"/>
    <mergeCell ref="E39:N39"/>
    <mergeCell ref="E51:N51"/>
    <mergeCell ref="H63:M63"/>
    <mergeCell ref="G77:M77"/>
    <mergeCell ref="E88:N88"/>
    <mergeCell ref="G100:M100"/>
    <mergeCell ref="E111:N111"/>
    <mergeCell ref="A122:D122"/>
    <mergeCell ref="H140:M140"/>
    <mergeCell ref="A153:C153"/>
    <mergeCell ref="G154:M154"/>
    <mergeCell ref="A167:D167"/>
    <mergeCell ref="E168:N168"/>
    <mergeCell ref="H195:M195"/>
    <mergeCell ref="A280:D280"/>
    <mergeCell ref="A318:B318"/>
    <mergeCell ref="A2:A3"/>
    <mergeCell ref="A15:A16"/>
    <mergeCell ref="A27:A28"/>
    <mergeCell ref="A39:A40"/>
    <mergeCell ref="A51:A52"/>
    <mergeCell ref="A63:A64"/>
    <mergeCell ref="A77:A78"/>
    <mergeCell ref="A88:A89"/>
    <mergeCell ref="A100:A101"/>
    <mergeCell ref="A111:A112"/>
    <mergeCell ref="A140:A141"/>
    <mergeCell ref="A154:A155"/>
    <mergeCell ref="A168:A169"/>
    <mergeCell ref="A195:A196"/>
    <mergeCell ref="B2:B3"/>
    <mergeCell ref="B39:B40"/>
    <mergeCell ref="B51:B52"/>
    <mergeCell ref="B77:B78"/>
    <mergeCell ref="B88:B89"/>
    <mergeCell ref="B100:B101"/>
    <mergeCell ref="B111:B112"/>
    <mergeCell ref="B154:B155"/>
    <mergeCell ref="B168:B169"/>
    <mergeCell ref="C2:C3"/>
    <mergeCell ref="C39:C40"/>
    <mergeCell ref="C51:C52"/>
    <mergeCell ref="C77:C78"/>
    <mergeCell ref="C88:C89"/>
    <mergeCell ref="C100:C101"/>
    <mergeCell ref="C111:C112"/>
    <mergeCell ref="C154:C155"/>
    <mergeCell ref="C168:C169"/>
    <mergeCell ref="D2:D3"/>
    <mergeCell ref="D15:D16"/>
    <mergeCell ref="D27:D28"/>
    <mergeCell ref="D39:D40"/>
    <mergeCell ref="D51:D52"/>
    <mergeCell ref="D63:D64"/>
    <mergeCell ref="D77:D78"/>
    <mergeCell ref="D88:D89"/>
    <mergeCell ref="D100:D101"/>
    <mergeCell ref="D111:D112"/>
    <mergeCell ref="D140:D141"/>
    <mergeCell ref="D154:D155"/>
    <mergeCell ref="D168:D169"/>
    <mergeCell ref="D195:D196"/>
    <mergeCell ref="E2:E3"/>
    <mergeCell ref="E15:E16"/>
    <mergeCell ref="E27:E28"/>
    <mergeCell ref="E63:E64"/>
    <mergeCell ref="E77:E78"/>
    <mergeCell ref="E100:E101"/>
    <mergeCell ref="E140:E141"/>
    <mergeCell ref="E154:E155"/>
    <mergeCell ref="E195:E196"/>
    <mergeCell ref="F2:F3"/>
    <mergeCell ref="G63:G64"/>
    <mergeCell ref="G140:G141"/>
    <mergeCell ref="G195:G196"/>
    <mergeCell ref="O2:O3"/>
    <mergeCell ref="O15:O16"/>
    <mergeCell ref="O27:O28"/>
    <mergeCell ref="O63:O64"/>
    <mergeCell ref="O140:O141"/>
    <mergeCell ref="O195:O196"/>
    <mergeCell ref="O225:O226"/>
    <mergeCell ref="O249:O250"/>
    <mergeCell ref="B15:C16"/>
    <mergeCell ref="B27:C28"/>
    <mergeCell ref="B63:C64"/>
    <mergeCell ref="B140:C141"/>
    <mergeCell ref="B195:C196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0"/>
  <sheetViews>
    <sheetView workbookViewId="0">
      <selection activeCell="L182" sqref="$A1:$XFD1048576"/>
    </sheetView>
  </sheetViews>
  <sheetFormatPr defaultColWidth="9" defaultRowHeight="13.5"/>
  <cols>
    <col min="1" max="1" width="4.63333333333333" style="29" customWidth="1"/>
    <col min="2" max="2" width="9" style="29"/>
    <col min="3" max="3" width="10.25" style="29" customWidth="1"/>
    <col min="4" max="4" width="11.1333333333333" style="29" customWidth="1"/>
    <col min="5" max="5" width="12.75" style="29" customWidth="1"/>
    <col min="6" max="6" width="9" style="29"/>
    <col min="7" max="7" width="14.6333333333333" style="29" customWidth="1"/>
    <col min="8" max="8" width="13.3833333333333" style="29" customWidth="1"/>
    <col min="9" max="9" width="12.1333333333333" style="29" customWidth="1"/>
    <col min="10" max="10" width="14.75" style="29" customWidth="1"/>
    <col min="11" max="16384" width="9" style="29"/>
  </cols>
  <sheetData>
    <row r="1" ht="33.95" customHeight="1" spans="1:10">
      <c r="A1" s="30" t="s">
        <v>357</v>
      </c>
      <c r="B1" s="31"/>
      <c r="C1" s="31"/>
      <c r="D1" s="31"/>
      <c r="E1" s="31"/>
      <c r="F1" s="31"/>
      <c r="G1" s="31"/>
      <c r="H1" s="31"/>
      <c r="I1" s="31"/>
      <c r="J1" s="31"/>
    </row>
    <row r="2" ht="21" customHeight="1" spans="1:10">
      <c r="A2" s="32" t="s">
        <v>358</v>
      </c>
      <c r="B2" s="33"/>
      <c r="C2" s="34"/>
      <c r="D2" s="35" t="e">
        <f>结算明细表!#REF!</f>
        <v>#REF!</v>
      </c>
      <c r="E2" s="36"/>
      <c r="F2" s="37" t="s">
        <v>359</v>
      </c>
      <c r="G2" s="38"/>
      <c r="H2" s="39">
        <v>740</v>
      </c>
      <c r="I2" s="62">
        <v>2000</v>
      </c>
      <c r="J2" s="36"/>
    </row>
    <row r="3" ht="21" customHeight="1" spans="1:10">
      <c r="A3" s="32" t="s">
        <v>360</v>
      </c>
      <c r="B3" s="33"/>
      <c r="C3" s="34"/>
      <c r="D3" s="40">
        <v>0.74</v>
      </c>
      <c r="E3" s="40">
        <v>2</v>
      </c>
      <c r="F3" s="41" t="s">
        <v>361</v>
      </c>
      <c r="G3" s="41"/>
      <c r="H3" s="32">
        <f>D3*E3</f>
        <v>1.48</v>
      </c>
      <c r="I3" s="33"/>
      <c r="J3" s="34"/>
    </row>
    <row r="4" ht="21" customHeight="1" spans="1:10">
      <c r="A4" s="41" t="s">
        <v>1</v>
      </c>
      <c r="B4" s="41" t="s">
        <v>362</v>
      </c>
      <c r="C4" s="41"/>
      <c r="D4" s="41" t="s">
        <v>363</v>
      </c>
      <c r="E4" s="41"/>
      <c r="F4" s="41" t="s">
        <v>87</v>
      </c>
      <c r="G4" s="41" t="s">
        <v>364</v>
      </c>
      <c r="H4" s="41" t="s">
        <v>365</v>
      </c>
      <c r="I4" s="41" t="s">
        <v>54</v>
      </c>
      <c r="J4" s="41" t="s">
        <v>6</v>
      </c>
    </row>
    <row r="5" ht="21" customHeight="1" spans="1:10">
      <c r="A5" s="41"/>
      <c r="B5" s="41"/>
      <c r="C5" s="41"/>
      <c r="D5" s="41"/>
      <c r="E5" s="41"/>
      <c r="F5" s="41"/>
      <c r="G5" s="41"/>
      <c r="H5" s="41"/>
      <c r="I5" s="41"/>
      <c r="J5" s="41"/>
    </row>
    <row r="6" ht="21" customHeight="1" spans="1:10">
      <c r="A6" s="42">
        <v>1</v>
      </c>
      <c r="B6" s="43" t="s">
        <v>366</v>
      </c>
      <c r="C6" s="43"/>
      <c r="D6" s="43"/>
      <c r="E6" s="43"/>
      <c r="F6" s="43" t="s">
        <v>367</v>
      </c>
      <c r="G6" s="43">
        <v>1.48</v>
      </c>
      <c r="H6" s="44">
        <v>25</v>
      </c>
      <c r="I6" s="44">
        <f>G6*H6</f>
        <v>37</v>
      </c>
      <c r="J6" s="44" t="s">
        <v>368</v>
      </c>
    </row>
    <row r="7" ht="21" customHeight="1" spans="1:10">
      <c r="A7" s="42"/>
      <c r="B7" s="43" t="s">
        <v>369</v>
      </c>
      <c r="C7" s="43"/>
      <c r="D7" s="43"/>
      <c r="E7" s="43"/>
      <c r="F7" s="43" t="s">
        <v>367</v>
      </c>
      <c r="G7" s="43">
        <v>1.48</v>
      </c>
      <c r="H7" s="44">
        <v>30</v>
      </c>
      <c r="I7" s="44">
        <f t="shared" ref="I7:I18" si="0">G7*H7</f>
        <v>44.4</v>
      </c>
      <c r="J7" s="44" t="s">
        <v>368</v>
      </c>
    </row>
    <row r="8" ht="27" customHeight="1" spans="1:10">
      <c r="A8" s="42">
        <v>2</v>
      </c>
      <c r="B8" s="45" t="s">
        <v>370</v>
      </c>
      <c r="C8" s="46"/>
      <c r="D8" s="47" t="s">
        <v>371</v>
      </c>
      <c r="E8" s="47"/>
      <c r="F8" s="42" t="s">
        <v>372</v>
      </c>
      <c r="G8" s="43">
        <v>1.73</v>
      </c>
      <c r="H8" s="44">
        <v>22.3</v>
      </c>
      <c r="I8" s="44">
        <f t="shared" si="0"/>
        <v>38.579</v>
      </c>
      <c r="J8" s="44" t="s">
        <v>368</v>
      </c>
    </row>
    <row r="9" ht="27" customHeight="1" spans="1:10">
      <c r="A9" s="42"/>
      <c r="B9" s="48"/>
      <c r="C9" s="49"/>
      <c r="D9" s="47" t="s">
        <v>373</v>
      </c>
      <c r="E9" s="47"/>
      <c r="F9" s="42" t="s">
        <v>372</v>
      </c>
      <c r="G9" s="43">
        <v>2.32</v>
      </c>
      <c r="H9" s="44">
        <v>22.3</v>
      </c>
      <c r="I9" s="44">
        <f t="shared" si="0"/>
        <v>51.736</v>
      </c>
      <c r="J9" s="44" t="s">
        <v>368</v>
      </c>
    </row>
    <row r="10" ht="27" customHeight="1" spans="1:10">
      <c r="A10" s="42"/>
      <c r="B10" s="48"/>
      <c r="C10" s="49"/>
      <c r="D10" s="47" t="s">
        <v>374</v>
      </c>
      <c r="E10" s="47"/>
      <c r="F10" s="42" t="s">
        <v>372</v>
      </c>
      <c r="G10" s="43">
        <v>0.67</v>
      </c>
      <c r="H10" s="44">
        <v>22.5</v>
      </c>
      <c r="I10" s="44">
        <f t="shared" si="0"/>
        <v>15.075</v>
      </c>
      <c r="J10" s="44" t="s">
        <v>368</v>
      </c>
    </row>
    <row r="11" ht="21" customHeight="1" spans="1:10">
      <c r="A11" s="42"/>
      <c r="B11" s="50"/>
      <c r="C11" s="51"/>
      <c r="D11" s="52" t="s">
        <v>375</v>
      </c>
      <c r="E11" s="53"/>
      <c r="F11" s="42" t="s">
        <v>372</v>
      </c>
      <c r="G11" s="43">
        <v>2.85</v>
      </c>
      <c r="H11" s="44">
        <v>22.3</v>
      </c>
      <c r="I11" s="44">
        <f t="shared" si="0"/>
        <v>63.555</v>
      </c>
      <c r="J11" s="44" t="s">
        <v>368</v>
      </c>
    </row>
    <row r="12" ht="21" customHeight="1" spans="1:10">
      <c r="A12" s="42"/>
      <c r="B12" s="43" t="s">
        <v>376</v>
      </c>
      <c r="C12" s="43"/>
      <c r="D12" s="47" t="s">
        <v>377</v>
      </c>
      <c r="E12" s="47"/>
      <c r="F12" s="43" t="s">
        <v>378</v>
      </c>
      <c r="G12" s="43">
        <v>1.48</v>
      </c>
      <c r="H12" s="44">
        <v>5.7</v>
      </c>
      <c r="I12" s="44">
        <f t="shared" si="0"/>
        <v>8.436</v>
      </c>
      <c r="J12" s="44" t="s">
        <v>368</v>
      </c>
    </row>
    <row r="13" ht="21" customHeight="1" spans="1:10">
      <c r="A13" s="42">
        <v>3</v>
      </c>
      <c r="B13" s="54" t="s">
        <v>379</v>
      </c>
      <c r="C13" s="54"/>
      <c r="D13" s="55" t="s">
        <v>380</v>
      </c>
      <c r="E13" s="47"/>
      <c r="F13" s="43" t="s">
        <v>381</v>
      </c>
      <c r="G13" s="43">
        <v>0</v>
      </c>
      <c r="H13" s="44">
        <v>0</v>
      </c>
      <c r="I13" s="44">
        <f t="shared" si="0"/>
        <v>0</v>
      </c>
      <c r="J13" s="44" t="s">
        <v>368</v>
      </c>
    </row>
    <row r="14" ht="21" customHeight="1" spans="1:10">
      <c r="A14" s="42"/>
      <c r="B14" s="54"/>
      <c r="C14" s="54"/>
      <c r="D14" s="55" t="s">
        <v>382</v>
      </c>
      <c r="E14" s="47"/>
      <c r="F14" s="43" t="s">
        <v>381</v>
      </c>
      <c r="G14" s="43">
        <v>0</v>
      </c>
      <c r="H14" s="44">
        <v>0</v>
      </c>
      <c r="I14" s="44">
        <f t="shared" si="0"/>
        <v>0</v>
      </c>
      <c r="J14" s="44" t="s">
        <v>368</v>
      </c>
    </row>
    <row r="15" ht="21" customHeight="1" spans="1:10">
      <c r="A15" s="42">
        <v>4</v>
      </c>
      <c r="B15" s="54"/>
      <c r="C15" s="54"/>
      <c r="D15" s="43" t="s">
        <v>383</v>
      </c>
      <c r="E15" s="43"/>
      <c r="F15" s="42" t="s">
        <v>94</v>
      </c>
      <c r="G15" s="43">
        <v>1.48</v>
      </c>
      <c r="H15" s="44">
        <v>20.5</v>
      </c>
      <c r="I15" s="44">
        <f t="shared" si="0"/>
        <v>30.34</v>
      </c>
      <c r="J15" s="44" t="s">
        <v>368</v>
      </c>
    </row>
    <row r="16" ht="21" customHeight="1" spans="1:10">
      <c r="A16" s="42"/>
      <c r="B16" s="54"/>
      <c r="C16" s="54"/>
      <c r="D16" s="43" t="s">
        <v>384</v>
      </c>
      <c r="E16" s="43"/>
      <c r="F16" s="56" t="s">
        <v>367</v>
      </c>
      <c r="G16" s="43">
        <v>0</v>
      </c>
      <c r="H16" s="44">
        <v>0</v>
      </c>
      <c r="I16" s="44">
        <f t="shared" si="0"/>
        <v>0</v>
      </c>
      <c r="J16" s="44" t="s">
        <v>368</v>
      </c>
    </row>
    <row r="17" ht="21" customHeight="1" spans="1:10">
      <c r="A17" s="42"/>
      <c r="B17" s="54"/>
      <c r="C17" s="54"/>
      <c r="D17" s="43"/>
      <c r="E17" s="43"/>
      <c r="F17" s="42"/>
      <c r="G17" s="43"/>
      <c r="H17" s="44"/>
      <c r="I17" s="44">
        <f t="shared" si="0"/>
        <v>0</v>
      </c>
      <c r="J17" s="44" t="s">
        <v>368</v>
      </c>
    </row>
    <row r="18" ht="25.5" customHeight="1" spans="1:10">
      <c r="A18" s="42">
        <v>5</v>
      </c>
      <c r="B18" s="43" t="s">
        <v>385</v>
      </c>
      <c r="C18" s="43"/>
      <c r="D18" s="43"/>
      <c r="E18" s="43"/>
      <c r="F18" s="43" t="s">
        <v>367</v>
      </c>
      <c r="G18" s="43">
        <v>1.48</v>
      </c>
      <c r="H18" s="44">
        <v>3</v>
      </c>
      <c r="I18" s="44">
        <f t="shared" si="0"/>
        <v>4.44</v>
      </c>
      <c r="J18" s="44" t="s">
        <v>368</v>
      </c>
    </row>
    <row r="19" ht="16.5" customHeight="1" spans="1:10">
      <c r="A19" s="42">
        <v>6</v>
      </c>
      <c r="B19" s="43" t="s">
        <v>386</v>
      </c>
      <c r="C19" s="43"/>
      <c r="D19" s="56" t="s">
        <v>387</v>
      </c>
      <c r="E19" s="43"/>
      <c r="F19" s="43" t="s">
        <v>367</v>
      </c>
      <c r="G19" s="57">
        <f>I6+I7+I8+I9+I10+I11+I12+I15+I18</f>
        <v>293.561</v>
      </c>
      <c r="H19" s="58"/>
      <c r="I19" s="63"/>
      <c r="J19" s="64"/>
    </row>
    <row r="20" ht="44.1" customHeight="1" spans="1:10">
      <c r="A20" s="42">
        <v>7</v>
      </c>
      <c r="B20" s="43" t="s">
        <v>388</v>
      </c>
      <c r="C20" s="43"/>
      <c r="D20" s="59" t="s">
        <v>389</v>
      </c>
      <c r="E20" s="60">
        <v>0.05</v>
      </c>
      <c r="F20" s="43" t="s">
        <v>367</v>
      </c>
      <c r="G20" s="43">
        <f>G19*E20</f>
        <v>14.67805</v>
      </c>
      <c r="H20" s="43"/>
      <c r="I20" s="43"/>
      <c r="J20" s="64" t="s">
        <v>390</v>
      </c>
    </row>
    <row r="21" ht="26.1" customHeight="1" spans="1:10">
      <c r="A21" s="61">
        <v>8</v>
      </c>
      <c r="B21" s="61" t="s">
        <v>391</v>
      </c>
      <c r="C21" s="61"/>
      <c r="D21" s="61" t="s">
        <v>392</v>
      </c>
      <c r="E21" s="61"/>
      <c r="F21" s="43" t="s">
        <v>367</v>
      </c>
      <c r="G21" s="61">
        <f>G19+G20</f>
        <v>308.23905</v>
      </c>
      <c r="H21" s="61"/>
      <c r="I21" s="61"/>
      <c r="J21" s="65">
        <f>G21/H3</f>
        <v>208.269628378378</v>
      </c>
    </row>
    <row r="23" ht="14.25" spans="1:10">
      <c r="A23" s="32" t="s">
        <v>358</v>
      </c>
      <c r="B23" s="33"/>
      <c r="C23" s="34"/>
      <c r="D23" s="35" t="s">
        <v>393</v>
      </c>
      <c r="E23" s="36"/>
      <c r="F23" s="37" t="s">
        <v>359</v>
      </c>
      <c r="G23" s="38"/>
      <c r="H23" s="39">
        <v>740</v>
      </c>
      <c r="I23" s="62">
        <v>2300</v>
      </c>
      <c r="J23" s="36"/>
    </row>
    <row r="24" spans="1:10">
      <c r="A24" s="32" t="s">
        <v>360</v>
      </c>
      <c r="B24" s="33"/>
      <c r="C24" s="34"/>
      <c r="D24" s="40">
        <v>0.74</v>
      </c>
      <c r="E24" s="40">
        <v>2.3</v>
      </c>
      <c r="F24" s="41" t="s">
        <v>361</v>
      </c>
      <c r="G24" s="41"/>
      <c r="H24" s="32">
        <f>D24*E24</f>
        <v>1.702</v>
      </c>
      <c r="I24" s="33"/>
      <c r="J24" s="34"/>
    </row>
    <row r="25" spans="1:10">
      <c r="A25" s="41" t="s">
        <v>1</v>
      </c>
      <c r="B25" s="41" t="s">
        <v>362</v>
      </c>
      <c r="C25" s="41"/>
      <c r="D25" s="41" t="s">
        <v>363</v>
      </c>
      <c r="E25" s="41"/>
      <c r="F25" s="41" t="s">
        <v>87</v>
      </c>
      <c r="G25" s="41" t="s">
        <v>364</v>
      </c>
      <c r="H25" s="41" t="s">
        <v>365</v>
      </c>
      <c r="I25" s="41" t="s">
        <v>54</v>
      </c>
      <c r="J25" s="41" t="s">
        <v>6</v>
      </c>
    </row>
    <row r="26" spans="1:10">
      <c r="A26" s="41"/>
      <c r="B26" s="41"/>
      <c r="C26" s="41"/>
      <c r="D26" s="41"/>
      <c r="E26" s="41"/>
      <c r="F26" s="41"/>
      <c r="G26" s="41"/>
      <c r="H26" s="41"/>
      <c r="I26" s="41"/>
      <c r="J26" s="41"/>
    </row>
    <row r="27" spans="1:10">
      <c r="A27" s="42">
        <v>1</v>
      </c>
      <c r="B27" s="43" t="s">
        <v>366</v>
      </c>
      <c r="C27" s="43"/>
      <c r="D27" s="43"/>
      <c r="E27" s="43"/>
      <c r="F27" s="43" t="s">
        <v>367</v>
      </c>
      <c r="G27" s="43">
        <v>1.702</v>
      </c>
      <c r="H27" s="44">
        <v>25</v>
      </c>
      <c r="I27" s="44">
        <f t="shared" ref="I27:I39" si="1">G27*H27</f>
        <v>42.55</v>
      </c>
      <c r="J27" s="44" t="s">
        <v>368</v>
      </c>
    </row>
    <row r="28" spans="1:10">
      <c r="A28" s="42"/>
      <c r="B28" s="43" t="s">
        <v>369</v>
      </c>
      <c r="C28" s="43"/>
      <c r="D28" s="43"/>
      <c r="E28" s="43"/>
      <c r="F28" s="43" t="s">
        <v>367</v>
      </c>
      <c r="G28" s="43">
        <v>1.702</v>
      </c>
      <c r="H28" s="44">
        <v>30</v>
      </c>
      <c r="I28" s="44">
        <f t="shared" si="1"/>
        <v>51.06</v>
      </c>
      <c r="J28" s="44" t="s">
        <v>368</v>
      </c>
    </row>
    <row r="29" ht="24" customHeight="1" spans="1:10">
      <c r="A29" s="42">
        <v>2</v>
      </c>
      <c r="B29" s="45" t="s">
        <v>370</v>
      </c>
      <c r="C29" s="46"/>
      <c r="D29" s="47" t="s">
        <v>371</v>
      </c>
      <c r="E29" s="47"/>
      <c r="F29" s="42" t="s">
        <v>372</v>
      </c>
      <c r="G29" s="43">
        <v>2.27</v>
      </c>
      <c r="H29" s="44">
        <v>22.3</v>
      </c>
      <c r="I29" s="44">
        <f t="shared" si="1"/>
        <v>50.621</v>
      </c>
      <c r="J29" s="44" t="s">
        <v>368</v>
      </c>
    </row>
    <row r="30" ht="20" customHeight="1" spans="1:10">
      <c r="A30" s="42"/>
      <c r="B30" s="48"/>
      <c r="C30" s="49"/>
      <c r="D30" s="47" t="s">
        <v>373</v>
      </c>
      <c r="E30" s="47"/>
      <c r="F30" s="42" t="s">
        <v>372</v>
      </c>
      <c r="G30" s="43">
        <v>2.52</v>
      </c>
      <c r="H30" s="44">
        <v>22.3</v>
      </c>
      <c r="I30" s="44">
        <f t="shared" si="1"/>
        <v>56.196</v>
      </c>
      <c r="J30" s="44" t="s">
        <v>368</v>
      </c>
    </row>
    <row r="31" ht="21" customHeight="1" spans="1:10">
      <c r="A31" s="42"/>
      <c r="B31" s="48"/>
      <c r="C31" s="49"/>
      <c r="D31" s="47" t="s">
        <v>374</v>
      </c>
      <c r="E31" s="47"/>
      <c r="F31" s="42" t="s">
        <v>372</v>
      </c>
      <c r="G31" s="43">
        <v>0.76</v>
      </c>
      <c r="H31" s="44">
        <v>22.5</v>
      </c>
      <c r="I31" s="44">
        <f t="shared" si="1"/>
        <v>17.1</v>
      </c>
      <c r="J31" s="44" t="s">
        <v>368</v>
      </c>
    </row>
    <row r="32" ht="21" customHeight="1" spans="1:10">
      <c r="A32" s="42"/>
      <c r="B32" s="50"/>
      <c r="C32" s="51"/>
      <c r="D32" s="52" t="s">
        <v>375</v>
      </c>
      <c r="E32" s="53"/>
      <c r="F32" s="42" t="s">
        <v>372</v>
      </c>
      <c r="G32" s="43">
        <v>3.23</v>
      </c>
      <c r="H32" s="44">
        <v>22.3</v>
      </c>
      <c r="I32" s="44">
        <f t="shared" si="1"/>
        <v>72.029</v>
      </c>
      <c r="J32" s="44" t="s">
        <v>368</v>
      </c>
    </row>
    <row r="33" ht="27" customHeight="1" spans="1:10">
      <c r="A33" s="42"/>
      <c r="B33" s="43" t="s">
        <v>376</v>
      </c>
      <c r="C33" s="43"/>
      <c r="D33" s="47" t="s">
        <v>377</v>
      </c>
      <c r="E33" s="47"/>
      <c r="F33" s="43" t="s">
        <v>378</v>
      </c>
      <c r="G33" s="43">
        <v>1.702</v>
      </c>
      <c r="H33" s="44">
        <v>5.7</v>
      </c>
      <c r="I33" s="44">
        <f t="shared" si="1"/>
        <v>9.7014</v>
      </c>
      <c r="J33" s="44" t="s">
        <v>368</v>
      </c>
    </row>
    <row r="34" spans="1:10">
      <c r="A34" s="42">
        <v>3</v>
      </c>
      <c r="B34" s="54" t="s">
        <v>379</v>
      </c>
      <c r="C34" s="54"/>
      <c r="D34" s="55" t="s">
        <v>380</v>
      </c>
      <c r="E34" s="47"/>
      <c r="F34" s="43" t="s">
        <v>381</v>
      </c>
      <c r="G34" s="43">
        <v>0</v>
      </c>
      <c r="H34" s="44">
        <v>0</v>
      </c>
      <c r="I34" s="44">
        <f t="shared" si="1"/>
        <v>0</v>
      </c>
      <c r="J34" s="44" t="s">
        <v>368</v>
      </c>
    </row>
    <row r="35" spans="1:10">
      <c r="A35" s="42"/>
      <c r="B35" s="54"/>
      <c r="C35" s="54"/>
      <c r="D35" s="55" t="s">
        <v>382</v>
      </c>
      <c r="E35" s="47"/>
      <c r="F35" s="43" t="s">
        <v>381</v>
      </c>
      <c r="G35" s="43">
        <v>0</v>
      </c>
      <c r="H35" s="44">
        <v>0</v>
      </c>
      <c r="I35" s="44">
        <f t="shared" si="1"/>
        <v>0</v>
      </c>
      <c r="J35" s="44" t="s">
        <v>368</v>
      </c>
    </row>
    <row r="36" spans="1:10">
      <c r="A36" s="42">
        <v>4</v>
      </c>
      <c r="B36" s="54"/>
      <c r="C36" s="54"/>
      <c r="D36" s="43" t="s">
        <v>383</v>
      </c>
      <c r="E36" s="43"/>
      <c r="F36" s="42" t="s">
        <v>94</v>
      </c>
      <c r="G36" s="43">
        <v>1.702</v>
      </c>
      <c r="H36" s="44">
        <v>20.5</v>
      </c>
      <c r="I36" s="44">
        <f t="shared" si="1"/>
        <v>34.891</v>
      </c>
      <c r="J36" s="44" t="s">
        <v>368</v>
      </c>
    </row>
    <row r="37" spans="1:10">
      <c r="A37" s="42"/>
      <c r="B37" s="54"/>
      <c r="C37" s="54"/>
      <c r="D37" s="43" t="s">
        <v>384</v>
      </c>
      <c r="E37" s="43"/>
      <c r="F37" s="56" t="s">
        <v>367</v>
      </c>
      <c r="G37" s="43">
        <v>0</v>
      </c>
      <c r="H37" s="44">
        <v>0</v>
      </c>
      <c r="I37" s="44">
        <f t="shared" si="1"/>
        <v>0</v>
      </c>
      <c r="J37" s="44" t="s">
        <v>368</v>
      </c>
    </row>
    <row r="38" spans="1:10">
      <c r="A38" s="42"/>
      <c r="B38" s="54"/>
      <c r="C38" s="54"/>
      <c r="D38" s="43"/>
      <c r="E38" s="43"/>
      <c r="F38" s="42"/>
      <c r="G38" s="43"/>
      <c r="H38" s="44"/>
      <c r="I38" s="44">
        <f t="shared" si="1"/>
        <v>0</v>
      </c>
      <c r="J38" s="44" t="s">
        <v>368</v>
      </c>
    </row>
    <row r="39" spans="1:10">
      <c r="A39" s="42">
        <v>5</v>
      </c>
      <c r="B39" s="43" t="s">
        <v>385</v>
      </c>
      <c r="C39" s="43"/>
      <c r="D39" s="43"/>
      <c r="E39" s="43"/>
      <c r="F39" s="43" t="s">
        <v>367</v>
      </c>
      <c r="G39" s="43">
        <v>1.7</v>
      </c>
      <c r="H39" s="44">
        <v>3</v>
      </c>
      <c r="I39" s="44">
        <f t="shared" si="1"/>
        <v>5.1</v>
      </c>
      <c r="J39" s="44" t="s">
        <v>368</v>
      </c>
    </row>
    <row r="40" spans="1:10">
      <c r="A40" s="42">
        <v>6</v>
      </c>
      <c r="B40" s="43" t="s">
        <v>386</v>
      </c>
      <c r="C40" s="43"/>
      <c r="D40" s="56" t="s">
        <v>387</v>
      </c>
      <c r="E40" s="43"/>
      <c r="F40" s="43" t="s">
        <v>367</v>
      </c>
      <c r="G40" s="57">
        <f>I27+I28+I29+I30+I31+I32+I33+I36+I39</f>
        <v>339.2484</v>
      </c>
      <c r="H40" s="58"/>
      <c r="I40" s="63"/>
      <c r="J40" s="64"/>
    </row>
    <row r="41" ht="36" spans="1:10">
      <c r="A41" s="42">
        <v>7</v>
      </c>
      <c r="B41" s="43" t="s">
        <v>388</v>
      </c>
      <c r="C41" s="43"/>
      <c r="D41" s="59" t="s">
        <v>389</v>
      </c>
      <c r="E41" s="60">
        <v>0.05</v>
      </c>
      <c r="F41" s="43" t="s">
        <v>367</v>
      </c>
      <c r="G41" s="43">
        <f>G40*E41</f>
        <v>16.96242</v>
      </c>
      <c r="H41" s="43"/>
      <c r="I41" s="43"/>
      <c r="J41" s="64" t="s">
        <v>390</v>
      </c>
    </row>
    <row r="42" spans="1:10">
      <c r="A42" s="61">
        <v>8</v>
      </c>
      <c r="B42" s="61" t="s">
        <v>391</v>
      </c>
      <c r="C42" s="61"/>
      <c r="D42" s="61" t="s">
        <v>392</v>
      </c>
      <c r="E42" s="61"/>
      <c r="F42" s="43" t="s">
        <v>367</v>
      </c>
      <c r="G42" s="61">
        <f>G40+G41</f>
        <v>356.21082</v>
      </c>
      <c r="H42" s="61"/>
      <c r="I42" s="61"/>
      <c r="J42" s="65">
        <f>G42/H24</f>
        <v>209.28955346651</v>
      </c>
    </row>
    <row r="44" ht="14.25" spans="1:10">
      <c r="A44" s="32" t="s">
        <v>358</v>
      </c>
      <c r="B44" s="33"/>
      <c r="C44" s="34"/>
      <c r="D44" s="35" t="s">
        <v>394</v>
      </c>
      <c r="E44" s="36"/>
      <c r="F44" s="37" t="s">
        <v>359</v>
      </c>
      <c r="G44" s="38"/>
      <c r="H44" s="39">
        <v>740</v>
      </c>
      <c r="I44" s="62">
        <v>2400</v>
      </c>
      <c r="J44" s="36"/>
    </row>
    <row r="45" spans="1:10">
      <c r="A45" s="32" t="s">
        <v>360</v>
      </c>
      <c r="B45" s="33"/>
      <c r="C45" s="34"/>
      <c r="D45" s="40">
        <v>0.74</v>
      </c>
      <c r="E45" s="40">
        <v>2.4</v>
      </c>
      <c r="F45" s="41" t="s">
        <v>361</v>
      </c>
      <c r="G45" s="41"/>
      <c r="H45" s="32">
        <f>D45*E45</f>
        <v>1.776</v>
      </c>
      <c r="I45" s="33"/>
      <c r="J45" s="34"/>
    </row>
    <row r="46" spans="1:10">
      <c r="A46" s="41" t="s">
        <v>1</v>
      </c>
      <c r="B46" s="41" t="s">
        <v>362</v>
      </c>
      <c r="C46" s="41"/>
      <c r="D46" s="41" t="s">
        <v>363</v>
      </c>
      <c r="E46" s="41"/>
      <c r="F46" s="41" t="s">
        <v>87</v>
      </c>
      <c r="G46" s="41" t="s">
        <v>364</v>
      </c>
      <c r="H46" s="41" t="s">
        <v>365</v>
      </c>
      <c r="I46" s="41" t="s">
        <v>54</v>
      </c>
      <c r="J46" s="41" t="s">
        <v>6</v>
      </c>
    </row>
    <row r="47" spans="1:10">
      <c r="A47" s="41"/>
      <c r="B47" s="41"/>
      <c r="C47" s="41"/>
      <c r="D47" s="41"/>
      <c r="E47" s="41"/>
      <c r="F47" s="41"/>
      <c r="G47" s="41"/>
      <c r="H47" s="41"/>
      <c r="I47" s="41"/>
      <c r="J47" s="41"/>
    </row>
    <row r="48" spans="1:10">
      <c r="A48" s="42">
        <v>1</v>
      </c>
      <c r="B48" s="43" t="s">
        <v>366</v>
      </c>
      <c r="C48" s="43"/>
      <c r="D48" s="43"/>
      <c r="E48" s="43"/>
      <c r="F48" s="43" t="s">
        <v>367</v>
      </c>
      <c r="G48" s="43">
        <v>1.78</v>
      </c>
      <c r="H48" s="44">
        <v>25</v>
      </c>
      <c r="I48" s="44">
        <f>G48*H48</f>
        <v>44.5</v>
      </c>
      <c r="J48" s="44" t="s">
        <v>368</v>
      </c>
    </row>
    <row r="49" spans="1:10">
      <c r="A49" s="42"/>
      <c r="B49" s="43" t="s">
        <v>369</v>
      </c>
      <c r="C49" s="43"/>
      <c r="D49" s="43"/>
      <c r="E49" s="43"/>
      <c r="F49" s="43" t="s">
        <v>367</v>
      </c>
      <c r="G49" s="43">
        <v>1.78</v>
      </c>
      <c r="H49" s="44">
        <v>30</v>
      </c>
      <c r="I49" s="44">
        <f t="shared" ref="I49:I60" si="2">G49*H49</f>
        <v>53.4</v>
      </c>
      <c r="J49" s="44" t="s">
        <v>368</v>
      </c>
    </row>
    <row r="50" spans="1:10">
      <c r="A50" s="42">
        <v>2</v>
      </c>
      <c r="B50" s="45" t="s">
        <v>370</v>
      </c>
      <c r="C50" s="46"/>
      <c r="D50" s="47" t="s">
        <v>371</v>
      </c>
      <c r="E50" s="47"/>
      <c r="F50" s="42" t="s">
        <v>372</v>
      </c>
      <c r="G50" s="43">
        <v>2.33</v>
      </c>
      <c r="H50" s="44">
        <v>22.3</v>
      </c>
      <c r="I50" s="44">
        <f t="shared" si="2"/>
        <v>51.959</v>
      </c>
      <c r="J50" s="44" t="s">
        <v>368</v>
      </c>
    </row>
    <row r="51" spans="1:10">
      <c r="A51" s="42"/>
      <c r="B51" s="48"/>
      <c r="C51" s="49"/>
      <c r="D51" s="47" t="s">
        <v>373</v>
      </c>
      <c r="E51" s="47"/>
      <c r="F51" s="42" t="s">
        <v>372</v>
      </c>
      <c r="G51" s="43">
        <v>2.58</v>
      </c>
      <c r="H51" s="44">
        <v>22.3</v>
      </c>
      <c r="I51" s="44">
        <f t="shared" si="2"/>
        <v>57.534</v>
      </c>
      <c r="J51" s="44" t="s">
        <v>368</v>
      </c>
    </row>
    <row r="52" spans="1:10">
      <c r="A52" s="42"/>
      <c r="B52" s="48"/>
      <c r="C52" s="49"/>
      <c r="D52" s="47" t="s">
        <v>374</v>
      </c>
      <c r="E52" s="47"/>
      <c r="F52" s="42" t="s">
        <v>372</v>
      </c>
      <c r="G52" s="43">
        <v>0.79</v>
      </c>
      <c r="H52" s="44">
        <v>22.5</v>
      </c>
      <c r="I52" s="44">
        <f t="shared" si="2"/>
        <v>17.775</v>
      </c>
      <c r="J52" s="44" t="s">
        <v>368</v>
      </c>
    </row>
    <row r="53" spans="1:10">
      <c r="A53" s="42"/>
      <c r="B53" s="50"/>
      <c r="C53" s="51"/>
      <c r="D53" s="52" t="s">
        <v>375</v>
      </c>
      <c r="E53" s="53"/>
      <c r="F53" s="42" t="s">
        <v>372</v>
      </c>
      <c r="G53" s="43">
        <v>3.36</v>
      </c>
      <c r="H53" s="44">
        <v>22.3</v>
      </c>
      <c r="I53" s="44">
        <f t="shared" si="2"/>
        <v>74.928</v>
      </c>
      <c r="J53" s="44" t="s">
        <v>368</v>
      </c>
    </row>
    <row r="54" spans="1:10">
      <c r="A54" s="42"/>
      <c r="B54" s="43" t="s">
        <v>376</v>
      </c>
      <c r="C54" s="43"/>
      <c r="D54" s="47" t="s">
        <v>377</v>
      </c>
      <c r="E54" s="47"/>
      <c r="F54" s="43" t="s">
        <v>378</v>
      </c>
      <c r="G54" s="43">
        <v>1.78</v>
      </c>
      <c r="H54" s="44">
        <v>5.7</v>
      </c>
      <c r="I54" s="44">
        <f t="shared" si="2"/>
        <v>10.146</v>
      </c>
      <c r="J54" s="44" t="s">
        <v>368</v>
      </c>
    </row>
    <row r="55" spans="1:10">
      <c r="A55" s="42">
        <v>3</v>
      </c>
      <c r="B55" s="54" t="s">
        <v>379</v>
      </c>
      <c r="C55" s="54"/>
      <c r="D55" s="55" t="s">
        <v>380</v>
      </c>
      <c r="E55" s="47"/>
      <c r="F55" s="43" t="s">
        <v>381</v>
      </c>
      <c r="G55" s="43">
        <v>0</v>
      </c>
      <c r="H55" s="44">
        <v>0</v>
      </c>
      <c r="I55" s="44">
        <f t="shared" si="2"/>
        <v>0</v>
      </c>
      <c r="J55" s="44" t="s">
        <v>368</v>
      </c>
    </row>
    <row r="56" spans="1:10">
      <c r="A56" s="42"/>
      <c r="B56" s="54"/>
      <c r="C56" s="54"/>
      <c r="D56" s="55" t="s">
        <v>382</v>
      </c>
      <c r="E56" s="47"/>
      <c r="F56" s="43" t="s">
        <v>381</v>
      </c>
      <c r="G56" s="43">
        <v>0</v>
      </c>
      <c r="H56" s="44">
        <v>0</v>
      </c>
      <c r="I56" s="44">
        <f t="shared" si="2"/>
        <v>0</v>
      </c>
      <c r="J56" s="44" t="s">
        <v>368</v>
      </c>
    </row>
    <row r="57" spans="1:10">
      <c r="A57" s="42">
        <v>4</v>
      </c>
      <c r="B57" s="54"/>
      <c r="C57" s="54"/>
      <c r="D57" s="43" t="s">
        <v>383</v>
      </c>
      <c r="E57" s="43"/>
      <c r="F57" s="42" t="s">
        <v>94</v>
      </c>
      <c r="G57" s="43">
        <v>1.78</v>
      </c>
      <c r="H57" s="44">
        <v>20.5</v>
      </c>
      <c r="I57" s="44">
        <f t="shared" si="2"/>
        <v>36.49</v>
      </c>
      <c r="J57" s="44" t="s">
        <v>368</v>
      </c>
    </row>
    <row r="58" spans="1:10">
      <c r="A58" s="42"/>
      <c r="B58" s="54"/>
      <c r="C58" s="54"/>
      <c r="D58" s="43" t="s">
        <v>384</v>
      </c>
      <c r="E58" s="43"/>
      <c r="F58" s="56" t="s">
        <v>367</v>
      </c>
      <c r="G58" s="43">
        <v>0</v>
      </c>
      <c r="H58" s="44">
        <v>0</v>
      </c>
      <c r="I58" s="44">
        <f t="shared" si="2"/>
        <v>0</v>
      </c>
      <c r="J58" s="44" t="s">
        <v>368</v>
      </c>
    </row>
    <row r="59" spans="1:10">
      <c r="A59" s="42"/>
      <c r="B59" s="54"/>
      <c r="C59" s="54"/>
      <c r="D59" s="43"/>
      <c r="E59" s="43"/>
      <c r="F59" s="42"/>
      <c r="G59" s="43"/>
      <c r="H59" s="44"/>
      <c r="I59" s="44">
        <f t="shared" si="2"/>
        <v>0</v>
      </c>
      <c r="J59" s="44" t="s">
        <v>368</v>
      </c>
    </row>
    <row r="60" spans="1:10">
      <c r="A60" s="42">
        <v>5</v>
      </c>
      <c r="B60" s="43" t="s">
        <v>385</v>
      </c>
      <c r="C60" s="43"/>
      <c r="D60" s="43"/>
      <c r="E60" s="43"/>
      <c r="F60" s="43" t="s">
        <v>367</v>
      </c>
      <c r="G60" s="43">
        <v>1.78</v>
      </c>
      <c r="H60" s="44">
        <v>3</v>
      </c>
      <c r="I60" s="44">
        <f t="shared" si="2"/>
        <v>5.34</v>
      </c>
      <c r="J60" s="44" t="s">
        <v>368</v>
      </c>
    </row>
    <row r="61" spans="1:10">
      <c r="A61" s="42">
        <v>6</v>
      </c>
      <c r="B61" s="43" t="s">
        <v>386</v>
      </c>
      <c r="C61" s="43"/>
      <c r="D61" s="56" t="s">
        <v>387</v>
      </c>
      <c r="E61" s="43"/>
      <c r="F61" s="43" t="s">
        <v>367</v>
      </c>
      <c r="G61" s="57">
        <f>I48+I49+I50+I51+I52+I53+I54+I57+I60</f>
        <v>352.072</v>
      </c>
      <c r="H61" s="58"/>
      <c r="I61" s="63"/>
      <c r="J61" s="64"/>
    </row>
    <row r="62" ht="36" spans="1:10">
      <c r="A62" s="42">
        <v>7</v>
      </c>
      <c r="B62" s="43" t="s">
        <v>388</v>
      </c>
      <c r="C62" s="43"/>
      <c r="D62" s="59" t="s">
        <v>389</v>
      </c>
      <c r="E62" s="60">
        <v>0.05</v>
      </c>
      <c r="F62" s="43" t="s">
        <v>367</v>
      </c>
      <c r="G62" s="43">
        <f>G61*E62</f>
        <v>17.6036</v>
      </c>
      <c r="H62" s="43"/>
      <c r="I62" s="43"/>
      <c r="J62" s="64" t="s">
        <v>390</v>
      </c>
    </row>
    <row r="63" spans="1:10">
      <c r="A63" s="61">
        <v>8</v>
      </c>
      <c r="B63" s="61" t="s">
        <v>391</v>
      </c>
      <c r="C63" s="61"/>
      <c r="D63" s="61" t="s">
        <v>392</v>
      </c>
      <c r="E63" s="61"/>
      <c r="F63" s="43" t="s">
        <v>367</v>
      </c>
      <c r="G63" s="61">
        <f>G61+G62</f>
        <v>369.6756</v>
      </c>
      <c r="H63" s="61"/>
      <c r="I63" s="61"/>
      <c r="J63" s="65">
        <f>G63/H45</f>
        <v>208.150675675676</v>
      </c>
    </row>
    <row r="65" ht="14.25" spans="1:10">
      <c r="A65" s="32" t="s">
        <v>358</v>
      </c>
      <c r="B65" s="33"/>
      <c r="C65" s="34"/>
      <c r="D65" s="35" t="s">
        <v>395</v>
      </c>
      <c r="E65" s="36"/>
      <c r="F65" s="37" t="s">
        <v>359</v>
      </c>
      <c r="G65" s="38"/>
      <c r="H65" s="39">
        <v>750</v>
      </c>
      <c r="I65" s="62">
        <v>2000</v>
      </c>
      <c r="J65" s="36"/>
    </row>
    <row r="66" spans="1:10">
      <c r="A66" s="32" t="s">
        <v>360</v>
      </c>
      <c r="B66" s="33"/>
      <c r="C66" s="34"/>
      <c r="D66" s="40">
        <v>0.75</v>
      </c>
      <c r="E66" s="40">
        <v>2</v>
      </c>
      <c r="F66" s="41" t="s">
        <v>361</v>
      </c>
      <c r="G66" s="41"/>
      <c r="H66" s="32">
        <f>D66*E66</f>
        <v>1.5</v>
      </c>
      <c r="I66" s="33"/>
      <c r="J66" s="34"/>
    </row>
    <row r="67" spans="1:10">
      <c r="A67" s="41" t="s">
        <v>1</v>
      </c>
      <c r="B67" s="41" t="s">
        <v>362</v>
      </c>
      <c r="C67" s="41"/>
      <c r="D67" s="41" t="s">
        <v>363</v>
      </c>
      <c r="E67" s="41"/>
      <c r="F67" s="41" t="s">
        <v>87</v>
      </c>
      <c r="G67" s="41" t="s">
        <v>364</v>
      </c>
      <c r="H67" s="41" t="s">
        <v>365</v>
      </c>
      <c r="I67" s="41" t="s">
        <v>54</v>
      </c>
      <c r="J67" s="41" t="s">
        <v>6</v>
      </c>
    </row>
    <row r="68" spans="1:10">
      <c r="A68" s="41"/>
      <c r="B68" s="41"/>
      <c r="C68" s="41"/>
      <c r="D68" s="41"/>
      <c r="E68" s="41"/>
      <c r="F68" s="41"/>
      <c r="G68" s="41"/>
      <c r="H68" s="41"/>
      <c r="I68" s="41"/>
      <c r="J68" s="41"/>
    </row>
    <row r="69" spans="1:10">
      <c r="A69" s="42">
        <v>1</v>
      </c>
      <c r="B69" s="43" t="s">
        <v>366</v>
      </c>
      <c r="C69" s="43"/>
      <c r="D69" s="43"/>
      <c r="E69" s="43"/>
      <c r="F69" s="43" t="s">
        <v>367</v>
      </c>
      <c r="G69" s="43">
        <v>1.5</v>
      </c>
      <c r="H69" s="44">
        <v>25</v>
      </c>
      <c r="I69" s="44">
        <f>G69*H69</f>
        <v>37.5</v>
      </c>
      <c r="J69" s="44" t="s">
        <v>368</v>
      </c>
    </row>
    <row r="70" spans="1:10">
      <c r="A70" s="42"/>
      <c r="B70" s="43" t="s">
        <v>369</v>
      </c>
      <c r="C70" s="43"/>
      <c r="D70" s="43"/>
      <c r="E70" s="43"/>
      <c r="F70" s="43" t="s">
        <v>367</v>
      </c>
      <c r="G70" s="43">
        <v>1.5</v>
      </c>
      <c r="H70" s="44">
        <v>30</v>
      </c>
      <c r="I70" s="44">
        <f t="shared" ref="I70:I81" si="3">G70*H70</f>
        <v>45</v>
      </c>
      <c r="J70" s="44" t="s">
        <v>368</v>
      </c>
    </row>
    <row r="71" spans="1:10">
      <c r="A71" s="42">
        <v>2</v>
      </c>
      <c r="B71" s="45" t="s">
        <v>370</v>
      </c>
      <c r="C71" s="46"/>
      <c r="D71" s="47" t="s">
        <v>371</v>
      </c>
      <c r="E71" s="47"/>
      <c r="F71" s="42" t="s">
        <v>372</v>
      </c>
      <c r="G71" s="43">
        <v>2.08</v>
      </c>
      <c r="H71" s="44">
        <v>22.3</v>
      </c>
      <c r="I71" s="44">
        <f t="shared" si="3"/>
        <v>46.384</v>
      </c>
      <c r="J71" s="44" t="s">
        <v>368</v>
      </c>
    </row>
    <row r="72" spans="1:10">
      <c r="A72" s="42"/>
      <c r="B72" s="48"/>
      <c r="C72" s="49"/>
      <c r="D72" s="47" t="s">
        <v>373</v>
      </c>
      <c r="E72" s="47"/>
      <c r="F72" s="42" t="s">
        <v>372</v>
      </c>
      <c r="G72" s="43">
        <v>2.3</v>
      </c>
      <c r="H72" s="44">
        <v>22.3</v>
      </c>
      <c r="I72" s="44">
        <f t="shared" si="3"/>
        <v>51.29</v>
      </c>
      <c r="J72" s="44" t="s">
        <v>368</v>
      </c>
    </row>
    <row r="73" spans="1:10">
      <c r="A73" s="42"/>
      <c r="B73" s="48"/>
      <c r="C73" s="49"/>
      <c r="D73" s="47" t="s">
        <v>374</v>
      </c>
      <c r="E73" s="47"/>
      <c r="F73" s="42" t="s">
        <v>372</v>
      </c>
      <c r="G73" s="43">
        <v>0.65</v>
      </c>
      <c r="H73" s="44">
        <v>22.5</v>
      </c>
      <c r="I73" s="44">
        <f t="shared" si="3"/>
        <v>14.625</v>
      </c>
      <c r="J73" s="44" t="s">
        <v>368</v>
      </c>
    </row>
    <row r="74" spans="1:10">
      <c r="A74" s="42"/>
      <c r="B74" s="50"/>
      <c r="C74" s="51"/>
      <c r="D74" s="52" t="s">
        <v>375</v>
      </c>
      <c r="E74" s="53"/>
      <c r="F74" s="42" t="s">
        <v>372</v>
      </c>
      <c r="G74" s="43">
        <v>2.9</v>
      </c>
      <c r="H74" s="44">
        <v>22.3</v>
      </c>
      <c r="I74" s="44">
        <f t="shared" si="3"/>
        <v>64.67</v>
      </c>
      <c r="J74" s="44" t="s">
        <v>368</v>
      </c>
    </row>
    <row r="75" spans="1:10">
      <c r="A75" s="42"/>
      <c r="B75" s="43" t="s">
        <v>376</v>
      </c>
      <c r="C75" s="43"/>
      <c r="D75" s="47" t="s">
        <v>377</v>
      </c>
      <c r="E75" s="47"/>
      <c r="F75" s="43" t="s">
        <v>378</v>
      </c>
      <c r="G75" s="43">
        <v>1.5</v>
      </c>
      <c r="H75" s="44">
        <v>5.7</v>
      </c>
      <c r="I75" s="44">
        <f t="shared" si="3"/>
        <v>8.55</v>
      </c>
      <c r="J75" s="44" t="s">
        <v>368</v>
      </c>
    </row>
    <row r="76" spans="1:10">
      <c r="A76" s="42">
        <v>3</v>
      </c>
      <c r="B76" s="54" t="s">
        <v>379</v>
      </c>
      <c r="C76" s="54"/>
      <c r="D76" s="55" t="s">
        <v>380</v>
      </c>
      <c r="E76" s="47"/>
      <c r="F76" s="43" t="s">
        <v>381</v>
      </c>
      <c r="G76" s="43">
        <v>0</v>
      </c>
      <c r="H76" s="44">
        <v>0</v>
      </c>
      <c r="I76" s="44">
        <f t="shared" si="3"/>
        <v>0</v>
      </c>
      <c r="J76" s="44" t="s">
        <v>368</v>
      </c>
    </row>
    <row r="77" spans="1:10">
      <c r="A77" s="42"/>
      <c r="B77" s="54"/>
      <c r="C77" s="54"/>
      <c r="D77" s="55" t="s">
        <v>382</v>
      </c>
      <c r="E77" s="47"/>
      <c r="F77" s="43" t="s">
        <v>381</v>
      </c>
      <c r="G77" s="43">
        <v>0</v>
      </c>
      <c r="H77" s="44">
        <v>0</v>
      </c>
      <c r="I77" s="44">
        <f t="shared" si="3"/>
        <v>0</v>
      </c>
      <c r="J77" s="44" t="s">
        <v>368</v>
      </c>
    </row>
    <row r="78" spans="1:10">
      <c r="A78" s="42">
        <v>4</v>
      </c>
      <c r="B78" s="54"/>
      <c r="C78" s="54"/>
      <c r="D78" s="43" t="s">
        <v>383</v>
      </c>
      <c r="E78" s="43"/>
      <c r="F78" s="42" t="s">
        <v>94</v>
      </c>
      <c r="G78" s="43">
        <v>1.5</v>
      </c>
      <c r="H78" s="44">
        <v>20.5</v>
      </c>
      <c r="I78" s="44">
        <f t="shared" si="3"/>
        <v>30.75</v>
      </c>
      <c r="J78" s="44" t="s">
        <v>368</v>
      </c>
    </row>
    <row r="79" spans="1:10">
      <c r="A79" s="42"/>
      <c r="B79" s="54"/>
      <c r="C79" s="54"/>
      <c r="D79" s="43" t="s">
        <v>384</v>
      </c>
      <c r="E79" s="43"/>
      <c r="F79" s="56" t="s">
        <v>367</v>
      </c>
      <c r="G79" s="43">
        <v>0</v>
      </c>
      <c r="H79" s="44">
        <v>0</v>
      </c>
      <c r="I79" s="44">
        <f t="shared" si="3"/>
        <v>0</v>
      </c>
      <c r="J79" s="44" t="s">
        <v>368</v>
      </c>
    </row>
    <row r="80" spans="1:10">
      <c r="A80" s="42"/>
      <c r="B80" s="54"/>
      <c r="C80" s="54"/>
      <c r="D80" s="43"/>
      <c r="E80" s="43"/>
      <c r="F80" s="42"/>
      <c r="G80" s="43"/>
      <c r="H80" s="44"/>
      <c r="I80" s="44">
        <f t="shared" si="3"/>
        <v>0</v>
      </c>
      <c r="J80" s="44" t="s">
        <v>368</v>
      </c>
    </row>
    <row r="81" spans="1:10">
      <c r="A81" s="42">
        <v>5</v>
      </c>
      <c r="B81" s="43" t="s">
        <v>385</v>
      </c>
      <c r="C81" s="43"/>
      <c r="D81" s="43"/>
      <c r="E81" s="43"/>
      <c r="F81" s="43" t="s">
        <v>367</v>
      </c>
      <c r="G81" s="43">
        <v>1.5</v>
      </c>
      <c r="H81" s="44">
        <v>3</v>
      </c>
      <c r="I81" s="44">
        <f t="shared" si="3"/>
        <v>4.5</v>
      </c>
      <c r="J81" s="44" t="s">
        <v>368</v>
      </c>
    </row>
    <row r="82" spans="1:10">
      <c r="A82" s="42">
        <v>6</v>
      </c>
      <c r="B82" s="43" t="s">
        <v>386</v>
      </c>
      <c r="C82" s="43"/>
      <c r="D82" s="56" t="s">
        <v>387</v>
      </c>
      <c r="E82" s="43"/>
      <c r="F82" s="43" t="s">
        <v>367</v>
      </c>
      <c r="G82" s="57">
        <f>I70+I69+I71+I72+I73+I74+I75+I78+I81</f>
        <v>303.269</v>
      </c>
      <c r="H82" s="58"/>
      <c r="I82" s="63"/>
      <c r="J82" s="64"/>
    </row>
    <row r="83" ht="36" spans="1:10">
      <c r="A83" s="42">
        <v>7</v>
      </c>
      <c r="B83" s="43" t="s">
        <v>388</v>
      </c>
      <c r="C83" s="43"/>
      <c r="D83" s="59" t="s">
        <v>389</v>
      </c>
      <c r="E83" s="60">
        <v>0.05</v>
      </c>
      <c r="F83" s="43" t="s">
        <v>367</v>
      </c>
      <c r="G83" s="43">
        <f>G82*E83</f>
        <v>15.16345</v>
      </c>
      <c r="H83" s="43"/>
      <c r="I83" s="43"/>
      <c r="J83" s="64" t="s">
        <v>390</v>
      </c>
    </row>
    <row r="84" spans="1:10">
      <c r="A84" s="61">
        <v>8</v>
      </c>
      <c r="B84" s="61" t="s">
        <v>391</v>
      </c>
      <c r="C84" s="61"/>
      <c r="D84" s="61" t="s">
        <v>392</v>
      </c>
      <c r="E84" s="61"/>
      <c r="F84" s="43" t="s">
        <v>367</v>
      </c>
      <c r="G84" s="61">
        <f>G83+G82</f>
        <v>318.43245</v>
      </c>
      <c r="H84" s="61"/>
      <c r="I84" s="61"/>
      <c r="J84" s="65">
        <f>G84/H66</f>
        <v>212.2883</v>
      </c>
    </row>
    <row r="86" ht="14.25" spans="1:10">
      <c r="A86" s="32" t="s">
        <v>358</v>
      </c>
      <c r="B86" s="33"/>
      <c r="C86" s="34"/>
      <c r="D86" s="35" t="s">
        <v>396</v>
      </c>
      <c r="E86" s="36"/>
      <c r="F86" s="37" t="s">
        <v>359</v>
      </c>
      <c r="G86" s="38"/>
      <c r="H86" s="39">
        <v>750</v>
      </c>
      <c r="I86" s="62">
        <v>2300</v>
      </c>
      <c r="J86" s="36"/>
    </row>
    <row r="87" spans="1:10">
      <c r="A87" s="32" t="s">
        <v>360</v>
      </c>
      <c r="B87" s="33"/>
      <c r="C87" s="34"/>
      <c r="D87" s="40">
        <v>0.75</v>
      </c>
      <c r="E87" s="40">
        <v>2.3</v>
      </c>
      <c r="F87" s="41" t="s">
        <v>361</v>
      </c>
      <c r="G87" s="41"/>
      <c r="H87" s="32">
        <f>D87*E87</f>
        <v>1.725</v>
      </c>
      <c r="I87" s="33"/>
      <c r="J87" s="34"/>
    </row>
    <row r="88" spans="1:10">
      <c r="A88" s="41" t="s">
        <v>1</v>
      </c>
      <c r="B88" s="41" t="s">
        <v>362</v>
      </c>
      <c r="C88" s="41"/>
      <c r="D88" s="41" t="s">
        <v>363</v>
      </c>
      <c r="E88" s="41"/>
      <c r="F88" s="41" t="s">
        <v>87</v>
      </c>
      <c r="G88" s="41" t="s">
        <v>364</v>
      </c>
      <c r="H88" s="41" t="s">
        <v>365</v>
      </c>
      <c r="I88" s="41" t="s">
        <v>54</v>
      </c>
      <c r="J88" s="41" t="s">
        <v>6</v>
      </c>
    </row>
    <row r="89" spans="1:10">
      <c r="A89" s="41"/>
      <c r="B89" s="41"/>
      <c r="C89" s="41"/>
      <c r="D89" s="41"/>
      <c r="E89" s="41"/>
      <c r="F89" s="41"/>
      <c r="G89" s="41"/>
      <c r="H89" s="41"/>
      <c r="I89" s="41"/>
      <c r="J89" s="41"/>
    </row>
    <row r="90" spans="1:10">
      <c r="A90" s="42">
        <v>1</v>
      </c>
      <c r="B90" s="43" t="s">
        <v>366</v>
      </c>
      <c r="C90" s="43"/>
      <c r="D90" s="43"/>
      <c r="E90" s="43"/>
      <c r="F90" s="43" t="s">
        <v>367</v>
      </c>
      <c r="G90" s="43">
        <v>1.725</v>
      </c>
      <c r="H90" s="44">
        <v>25</v>
      </c>
      <c r="I90" s="44">
        <f>G90*H90</f>
        <v>43.125</v>
      </c>
      <c r="J90" s="44" t="s">
        <v>368</v>
      </c>
    </row>
    <row r="91" spans="1:10">
      <c r="A91" s="42"/>
      <c r="B91" s="43" t="s">
        <v>369</v>
      </c>
      <c r="C91" s="43"/>
      <c r="D91" s="43"/>
      <c r="E91" s="43"/>
      <c r="F91" s="43" t="s">
        <v>367</v>
      </c>
      <c r="G91" s="43">
        <v>1.725</v>
      </c>
      <c r="H91" s="44">
        <v>30</v>
      </c>
      <c r="I91" s="44">
        <f t="shared" ref="I91:I102" si="4">G91*H91</f>
        <v>51.75</v>
      </c>
      <c r="J91" s="44" t="s">
        <v>368</v>
      </c>
    </row>
    <row r="92" spans="1:10">
      <c r="A92" s="42">
        <v>2</v>
      </c>
      <c r="B92" s="45" t="s">
        <v>370</v>
      </c>
      <c r="C92" s="46"/>
      <c r="D92" s="47" t="s">
        <v>371</v>
      </c>
      <c r="E92" s="47"/>
      <c r="F92" s="42" t="s">
        <v>372</v>
      </c>
      <c r="G92" s="43">
        <v>2.28</v>
      </c>
      <c r="H92" s="44">
        <v>22.3</v>
      </c>
      <c r="I92" s="44">
        <f t="shared" si="4"/>
        <v>50.844</v>
      </c>
      <c r="J92" s="44" t="s">
        <v>368</v>
      </c>
    </row>
    <row r="93" spans="1:10">
      <c r="A93" s="42"/>
      <c r="B93" s="48"/>
      <c r="C93" s="49"/>
      <c r="D93" s="47" t="s">
        <v>373</v>
      </c>
      <c r="E93" s="47"/>
      <c r="F93" s="42" t="s">
        <v>372</v>
      </c>
      <c r="G93" s="43">
        <v>2.54</v>
      </c>
      <c r="H93" s="44">
        <v>22.3</v>
      </c>
      <c r="I93" s="44">
        <f t="shared" si="4"/>
        <v>56.642</v>
      </c>
      <c r="J93" s="44" t="s">
        <v>368</v>
      </c>
    </row>
    <row r="94" spans="1:10">
      <c r="A94" s="42"/>
      <c r="B94" s="48"/>
      <c r="C94" s="49"/>
      <c r="D94" s="47" t="s">
        <v>374</v>
      </c>
      <c r="E94" s="47"/>
      <c r="F94" s="42" t="s">
        <v>372</v>
      </c>
      <c r="G94" s="43">
        <v>0.76</v>
      </c>
      <c r="H94" s="44">
        <v>22.5</v>
      </c>
      <c r="I94" s="44">
        <f t="shared" si="4"/>
        <v>17.1</v>
      </c>
      <c r="J94" s="44" t="s">
        <v>368</v>
      </c>
    </row>
    <row r="95" spans="1:10">
      <c r="A95" s="42"/>
      <c r="B95" s="50"/>
      <c r="C95" s="51"/>
      <c r="D95" s="52" t="s">
        <v>375</v>
      </c>
      <c r="E95" s="53"/>
      <c r="F95" s="42" t="s">
        <v>372</v>
      </c>
      <c r="G95" s="43">
        <v>3.28</v>
      </c>
      <c r="H95" s="44">
        <v>22.3</v>
      </c>
      <c r="I95" s="44">
        <f t="shared" si="4"/>
        <v>73.144</v>
      </c>
      <c r="J95" s="44" t="s">
        <v>368</v>
      </c>
    </row>
    <row r="96" spans="1:10">
      <c r="A96" s="42"/>
      <c r="B96" s="43" t="s">
        <v>376</v>
      </c>
      <c r="C96" s="43"/>
      <c r="D96" s="47" t="s">
        <v>377</v>
      </c>
      <c r="E96" s="47"/>
      <c r="F96" s="43" t="s">
        <v>378</v>
      </c>
      <c r="G96" s="43">
        <v>1.725</v>
      </c>
      <c r="H96" s="44">
        <v>5.7</v>
      </c>
      <c r="I96" s="44">
        <f t="shared" si="4"/>
        <v>9.8325</v>
      </c>
      <c r="J96" s="44" t="s">
        <v>368</v>
      </c>
    </row>
    <row r="97" spans="1:10">
      <c r="A97" s="42">
        <v>3</v>
      </c>
      <c r="B97" s="54" t="s">
        <v>379</v>
      </c>
      <c r="C97" s="54"/>
      <c r="D97" s="55" t="s">
        <v>380</v>
      </c>
      <c r="E97" s="47"/>
      <c r="F97" s="43" t="s">
        <v>381</v>
      </c>
      <c r="G97" s="43">
        <v>0</v>
      </c>
      <c r="H97" s="44">
        <v>0</v>
      </c>
      <c r="I97" s="44">
        <f t="shared" si="4"/>
        <v>0</v>
      </c>
      <c r="J97" s="44" t="s">
        <v>368</v>
      </c>
    </row>
    <row r="98" spans="1:10">
      <c r="A98" s="42"/>
      <c r="B98" s="54"/>
      <c r="C98" s="54"/>
      <c r="D98" s="55" t="s">
        <v>382</v>
      </c>
      <c r="E98" s="47"/>
      <c r="F98" s="43" t="s">
        <v>381</v>
      </c>
      <c r="G98" s="43">
        <v>0</v>
      </c>
      <c r="H98" s="44">
        <v>0</v>
      </c>
      <c r="I98" s="44">
        <f t="shared" si="4"/>
        <v>0</v>
      </c>
      <c r="J98" s="44" t="s">
        <v>368</v>
      </c>
    </row>
    <row r="99" spans="1:10">
      <c r="A99" s="42">
        <v>4</v>
      </c>
      <c r="B99" s="54"/>
      <c r="C99" s="54"/>
      <c r="D99" s="43" t="s">
        <v>383</v>
      </c>
      <c r="E99" s="43"/>
      <c r="F99" s="42" t="s">
        <v>94</v>
      </c>
      <c r="G99" s="43">
        <v>1.725</v>
      </c>
      <c r="H99" s="44">
        <v>20.5</v>
      </c>
      <c r="I99" s="44">
        <f t="shared" si="4"/>
        <v>35.3625</v>
      </c>
      <c r="J99" s="44" t="s">
        <v>368</v>
      </c>
    </row>
    <row r="100" spans="1:10">
      <c r="A100" s="42"/>
      <c r="B100" s="54"/>
      <c r="C100" s="54"/>
      <c r="D100" s="43" t="s">
        <v>384</v>
      </c>
      <c r="E100" s="43"/>
      <c r="F100" s="56" t="s">
        <v>367</v>
      </c>
      <c r="G100" s="43">
        <v>0</v>
      </c>
      <c r="H100" s="44">
        <v>0</v>
      </c>
      <c r="I100" s="44">
        <f t="shared" si="4"/>
        <v>0</v>
      </c>
      <c r="J100" s="44" t="s">
        <v>368</v>
      </c>
    </row>
    <row r="101" spans="1:10">
      <c r="A101" s="42"/>
      <c r="B101" s="54"/>
      <c r="C101" s="54"/>
      <c r="D101" s="43"/>
      <c r="E101" s="43"/>
      <c r="F101" s="42"/>
      <c r="G101" s="43"/>
      <c r="H101" s="44"/>
      <c r="I101" s="44">
        <f t="shared" si="4"/>
        <v>0</v>
      </c>
      <c r="J101" s="44" t="s">
        <v>368</v>
      </c>
    </row>
    <row r="102" spans="1:10">
      <c r="A102" s="42">
        <v>5</v>
      </c>
      <c r="B102" s="43" t="s">
        <v>385</v>
      </c>
      <c r="C102" s="43"/>
      <c r="D102" s="43"/>
      <c r="E102" s="43"/>
      <c r="F102" s="43" t="s">
        <v>367</v>
      </c>
      <c r="G102" s="43">
        <v>1.725</v>
      </c>
      <c r="H102" s="44">
        <v>3</v>
      </c>
      <c r="I102" s="44">
        <f t="shared" si="4"/>
        <v>5.175</v>
      </c>
      <c r="J102" s="44" t="s">
        <v>368</v>
      </c>
    </row>
    <row r="103" spans="1:10">
      <c r="A103" s="42">
        <v>6</v>
      </c>
      <c r="B103" s="43" t="s">
        <v>386</v>
      </c>
      <c r="C103" s="43"/>
      <c r="D103" s="56" t="s">
        <v>387</v>
      </c>
      <c r="E103" s="43"/>
      <c r="F103" s="43" t="s">
        <v>367</v>
      </c>
      <c r="G103" s="57">
        <f>I90+I91+I92+I93+I94+I95+I96+I99+I102</f>
        <v>342.975</v>
      </c>
      <c r="H103" s="58"/>
      <c r="I103" s="63"/>
      <c r="J103" s="64"/>
    </row>
    <row r="104" ht="36" spans="1:10">
      <c r="A104" s="42">
        <v>7</v>
      </c>
      <c r="B104" s="43" t="s">
        <v>388</v>
      </c>
      <c r="C104" s="43"/>
      <c r="D104" s="59" t="s">
        <v>389</v>
      </c>
      <c r="E104" s="60">
        <v>0.05</v>
      </c>
      <c r="F104" s="43" t="s">
        <v>367</v>
      </c>
      <c r="G104" s="43">
        <f>G103*E104</f>
        <v>17.14875</v>
      </c>
      <c r="H104" s="43"/>
      <c r="I104" s="43"/>
      <c r="J104" s="64" t="s">
        <v>390</v>
      </c>
    </row>
    <row r="105" spans="1:10">
      <c r="A105" s="61">
        <v>8</v>
      </c>
      <c r="B105" s="61" t="s">
        <v>391</v>
      </c>
      <c r="C105" s="61"/>
      <c r="D105" s="61" t="s">
        <v>392</v>
      </c>
      <c r="E105" s="61"/>
      <c r="F105" s="43" t="s">
        <v>367</v>
      </c>
      <c r="G105" s="61">
        <f>G103+G104</f>
        <v>360.12375</v>
      </c>
      <c r="H105" s="61"/>
      <c r="I105" s="61"/>
      <c r="J105" s="65">
        <f>G105/H87</f>
        <v>208.767391304348</v>
      </c>
    </row>
    <row r="107" ht="14.25" spans="1:10">
      <c r="A107" s="32" t="s">
        <v>358</v>
      </c>
      <c r="B107" s="33"/>
      <c r="C107" s="34"/>
      <c r="D107" s="35" t="s">
        <v>397</v>
      </c>
      <c r="E107" s="36"/>
      <c r="F107" s="37" t="s">
        <v>359</v>
      </c>
      <c r="G107" s="38"/>
      <c r="H107" s="39">
        <v>1000</v>
      </c>
      <c r="I107" s="62">
        <v>2000</v>
      </c>
      <c r="J107" s="36"/>
    </row>
    <row r="108" spans="1:10">
      <c r="A108" s="32" t="s">
        <v>360</v>
      </c>
      <c r="B108" s="33"/>
      <c r="C108" s="34"/>
      <c r="D108" s="40">
        <v>1</v>
      </c>
      <c r="E108" s="40">
        <v>2</v>
      </c>
      <c r="F108" s="41" t="s">
        <v>361</v>
      </c>
      <c r="G108" s="41"/>
      <c r="H108" s="32">
        <f>D108*E108</f>
        <v>2</v>
      </c>
      <c r="I108" s="33"/>
      <c r="J108" s="34"/>
    </row>
    <row r="109" spans="1:10">
      <c r="A109" s="41" t="s">
        <v>1</v>
      </c>
      <c r="B109" s="41" t="s">
        <v>362</v>
      </c>
      <c r="C109" s="41"/>
      <c r="D109" s="41" t="s">
        <v>363</v>
      </c>
      <c r="E109" s="41"/>
      <c r="F109" s="41" t="s">
        <v>87</v>
      </c>
      <c r="G109" s="41" t="s">
        <v>364</v>
      </c>
      <c r="H109" s="41" t="s">
        <v>365</v>
      </c>
      <c r="I109" s="41" t="s">
        <v>54</v>
      </c>
      <c r="J109" s="41" t="s">
        <v>6</v>
      </c>
    </row>
    <row r="110" spans="1:10">
      <c r="A110" s="41"/>
      <c r="B110" s="41"/>
      <c r="C110" s="41"/>
      <c r="D110" s="41"/>
      <c r="E110" s="41"/>
      <c r="F110" s="41"/>
      <c r="G110" s="41"/>
      <c r="H110" s="41"/>
      <c r="I110" s="41"/>
      <c r="J110" s="41"/>
    </row>
    <row r="111" spans="1:10">
      <c r="A111" s="42">
        <v>1</v>
      </c>
      <c r="B111" s="43" t="s">
        <v>366</v>
      </c>
      <c r="C111" s="43"/>
      <c r="D111" s="43"/>
      <c r="E111" s="43"/>
      <c r="F111" s="43" t="s">
        <v>367</v>
      </c>
      <c r="G111" s="43">
        <v>2</v>
      </c>
      <c r="H111" s="44">
        <v>25</v>
      </c>
      <c r="I111" s="44">
        <f t="shared" ref="I111:I123" si="5">G111*H111</f>
        <v>50</v>
      </c>
      <c r="J111" s="44" t="s">
        <v>368</v>
      </c>
    </row>
    <row r="112" spans="1:10">
      <c r="A112" s="42"/>
      <c r="B112" s="43" t="s">
        <v>369</v>
      </c>
      <c r="C112" s="43"/>
      <c r="D112" s="43"/>
      <c r="E112" s="43"/>
      <c r="F112" s="43" t="s">
        <v>367</v>
      </c>
      <c r="G112" s="43">
        <v>2</v>
      </c>
      <c r="H112" s="44">
        <v>30</v>
      </c>
      <c r="I112" s="44">
        <f t="shared" si="5"/>
        <v>60</v>
      </c>
      <c r="J112" s="44" t="s">
        <v>368</v>
      </c>
    </row>
    <row r="113" spans="1:10">
      <c r="A113" s="42">
        <v>2</v>
      </c>
      <c r="B113" s="45" t="s">
        <v>370</v>
      </c>
      <c r="C113" s="46"/>
      <c r="D113" s="47" t="s">
        <v>371</v>
      </c>
      <c r="E113" s="47"/>
      <c r="F113" s="42" t="s">
        <v>372</v>
      </c>
      <c r="G113" s="43">
        <v>2.35</v>
      </c>
      <c r="H113" s="44">
        <v>22.3</v>
      </c>
      <c r="I113" s="44">
        <f t="shared" si="5"/>
        <v>52.405</v>
      </c>
      <c r="J113" s="44" t="s">
        <v>368</v>
      </c>
    </row>
    <row r="114" spans="1:10">
      <c r="A114" s="42"/>
      <c r="B114" s="48"/>
      <c r="C114" s="49"/>
      <c r="D114" s="47" t="s">
        <v>373</v>
      </c>
      <c r="E114" s="47"/>
      <c r="F114" s="42" t="s">
        <v>372</v>
      </c>
      <c r="G114" s="43">
        <v>2.67</v>
      </c>
      <c r="H114" s="44">
        <v>22.3</v>
      </c>
      <c r="I114" s="44">
        <f t="shared" si="5"/>
        <v>59.541</v>
      </c>
      <c r="J114" s="44" t="s">
        <v>368</v>
      </c>
    </row>
    <row r="115" spans="1:10">
      <c r="A115" s="42"/>
      <c r="B115" s="48"/>
      <c r="C115" s="49"/>
      <c r="D115" s="47" t="s">
        <v>374</v>
      </c>
      <c r="E115" s="47"/>
      <c r="F115" s="42" t="s">
        <v>372</v>
      </c>
      <c r="G115" s="43">
        <v>0.68</v>
      </c>
      <c r="H115" s="44">
        <v>22.5</v>
      </c>
      <c r="I115" s="44">
        <f t="shared" si="5"/>
        <v>15.3</v>
      </c>
      <c r="J115" s="44" t="s">
        <v>368</v>
      </c>
    </row>
    <row r="116" spans="1:10">
      <c r="A116" s="42"/>
      <c r="B116" s="50"/>
      <c r="C116" s="51"/>
      <c r="D116" s="52" t="s">
        <v>375</v>
      </c>
      <c r="E116" s="53"/>
      <c r="F116" s="42" t="s">
        <v>372</v>
      </c>
      <c r="G116" s="43">
        <v>3.85</v>
      </c>
      <c r="H116" s="44">
        <v>22.3</v>
      </c>
      <c r="I116" s="44">
        <f t="shared" si="5"/>
        <v>85.855</v>
      </c>
      <c r="J116" s="44" t="s">
        <v>368</v>
      </c>
    </row>
    <row r="117" spans="1:10">
      <c r="A117" s="42"/>
      <c r="B117" s="43" t="s">
        <v>376</v>
      </c>
      <c r="C117" s="43"/>
      <c r="D117" s="47" t="s">
        <v>377</v>
      </c>
      <c r="E117" s="47"/>
      <c r="F117" s="43" t="s">
        <v>378</v>
      </c>
      <c r="G117" s="43">
        <v>2</v>
      </c>
      <c r="H117" s="44">
        <v>5.7</v>
      </c>
      <c r="I117" s="44">
        <f t="shared" si="5"/>
        <v>11.4</v>
      </c>
      <c r="J117" s="44" t="s">
        <v>368</v>
      </c>
    </row>
    <row r="118" spans="1:10">
      <c r="A118" s="42">
        <v>3</v>
      </c>
      <c r="B118" s="54" t="s">
        <v>379</v>
      </c>
      <c r="C118" s="54"/>
      <c r="D118" s="55" t="s">
        <v>380</v>
      </c>
      <c r="E118" s="47"/>
      <c r="F118" s="43" t="s">
        <v>381</v>
      </c>
      <c r="G118" s="43">
        <v>0</v>
      </c>
      <c r="H118" s="44">
        <v>0</v>
      </c>
      <c r="I118" s="44">
        <f t="shared" si="5"/>
        <v>0</v>
      </c>
      <c r="J118" s="44" t="s">
        <v>368</v>
      </c>
    </row>
    <row r="119" spans="1:10">
      <c r="A119" s="42"/>
      <c r="B119" s="54"/>
      <c r="C119" s="54"/>
      <c r="D119" s="55" t="s">
        <v>382</v>
      </c>
      <c r="E119" s="47"/>
      <c r="F119" s="43" t="s">
        <v>381</v>
      </c>
      <c r="G119" s="43">
        <v>0</v>
      </c>
      <c r="H119" s="44">
        <v>0</v>
      </c>
      <c r="I119" s="44">
        <f t="shared" si="5"/>
        <v>0</v>
      </c>
      <c r="J119" s="44" t="s">
        <v>368</v>
      </c>
    </row>
    <row r="120" spans="1:10">
      <c r="A120" s="42">
        <v>4</v>
      </c>
      <c r="B120" s="54"/>
      <c r="C120" s="54"/>
      <c r="D120" s="43" t="s">
        <v>383</v>
      </c>
      <c r="E120" s="43"/>
      <c r="F120" s="42" t="s">
        <v>94</v>
      </c>
      <c r="G120" s="43">
        <v>2</v>
      </c>
      <c r="H120" s="44">
        <v>20.5</v>
      </c>
      <c r="I120" s="44">
        <f t="shared" si="5"/>
        <v>41</v>
      </c>
      <c r="J120" s="44" t="s">
        <v>368</v>
      </c>
    </row>
    <row r="121" spans="1:10">
      <c r="A121" s="42"/>
      <c r="B121" s="54"/>
      <c r="C121" s="54"/>
      <c r="D121" s="43" t="s">
        <v>384</v>
      </c>
      <c r="E121" s="43"/>
      <c r="F121" s="56" t="s">
        <v>367</v>
      </c>
      <c r="G121" s="43">
        <v>0</v>
      </c>
      <c r="H121" s="44">
        <v>0</v>
      </c>
      <c r="I121" s="44">
        <f t="shared" si="5"/>
        <v>0</v>
      </c>
      <c r="J121" s="44" t="s">
        <v>368</v>
      </c>
    </row>
    <row r="122" spans="1:10">
      <c r="A122" s="42"/>
      <c r="B122" s="54"/>
      <c r="C122" s="54"/>
      <c r="D122" s="43"/>
      <c r="E122" s="43"/>
      <c r="F122" s="42"/>
      <c r="G122" s="43"/>
      <c r="H122" s="44"/>
      <c r="I122" s="44">
        <f t="shared" si="5"/>
        <v>0</v>
      </c>
      <c r="J122" s="44" t="s">
        <v>368</v>
      </c>
    </row>
    <row r="123" spans="1:10">
      <c r="A123" s="42">
        <v>5</v>
      </c>
      <c r="B123" s="43" t="s">
        <v>385</v>
      </c>
      <c r="C123" s="43"/>
      <c r="D123" s="43"/>
      <c r="E123" s="43"/>
      <c r="F123" s="43" t="s">
        <v>367</v>
      </c>
      <c r="G123" s="43">
        <v>2</v>
      </c>
      <c r="H123" s="44">
        <v>3</v>
      </c>
      <c r="I123" s="44">
        <f t="shared" si="5"/>
        <v>6</v>
      </c>
      <c r="J123" s="44" t="s">
        <v>368</v>
      </c>
    </row>
    <row r="124" spans="1:10">
      <c r="A124" s="42">
        <v>6</v>
      </c>
      <c r="B124" s="43" t="s">
        <v>386</v>
      </c>
      <c r="C124" s="43"/>
      <c r="D124" s="56" t="s">
        <v>387</v>
      </c>
      <c r="E124" s="43"/>
      <c r="F124" s="43" t="s">
        <v>367</v>
      </c>
      <c r="G124" s="57">
        <f>I111+I112+I113+I114+I115+I116+I117+I120+I123</f>
        <v>381.501</v>
      </c>
      <c r="H124" s="58"/>
      <c r="I124" s="63"/>
      <c r="J124" s="64"/>
    </row>
    <row r="125" ht="36" spans="1:10">
      <c r="A125" s="42">
        <v>7</v>
      </c>
      <c r="B125" s="43" t="s">
        <v>388</v>
      </c>
      <c r="C125" s="43"/>
      <c r="D125" s="59" t="s">
        <v>389</v>
      </c>
      <c r="E125" s="60">
        <v>0.05</v>
      </c>
      <c r="F125" s="43" t="s">
        <v>367</v>
      </c>
      <c r="G125" s="43">
        <f>G124*E125</f>
        <v>19.07505</v>
      </c>
      <c r="H125" s="43"/>
      <c r="I125" s="43"/>
      <c r="J125" s="64" t="s">
        <v>390</v>
      </c>
    </row>
    <row r="126" spans="1:10">
      <c r="A126" s="61">
        <v>8</v>
      </c>
      <c r="B126" s="61" t="s">
        <v>391</v>
      </c>
      <c r="C126" s="61"/>
      <c r="D126" s="61" t="s">
        <v>392</v>
      </c>
      <c r="E126" s="61"/>
      <c r="F126" s="43" t="s">
        <v>367</v>
      </c>
      <c r="G126" s="61">
        <f>G124+G125</f>
        <v>400.57605</v>
      </c>
      <c r="H126" s="61"/>
      <c r="I126" s="61"/>
      <c r="J126" s="65">
        <f>G126/H108</f>
        <v>200.288025</v>
      </c>
    </row>
    <row r="128" ht="14.25" spans="1:10">
      <c r="A128" s="32" t="s">
        <v>358</v>
      </c>
      <c r="B128" s="33"/>
      <c r="C128" s="34"/>
      <c r="D128" s="35" t="s">
        <v>398</v>
      </c>
      <c r="E128" s="36"/>
      <c r="F128" s="37" t="s">
        <v>359</v>
      </c>
      <c r="G128" s="38"/>
      <c r="H128" s="39">
        <v>1000</v>
      </c>
      <c r="I128" s="62">
        <v>2050</v>
      </c>
      <c r="J128" s="36"/>
    </row>
    <row r="129" spans="1:10">
      <c r="A129" s="32" t="s">
        <v>360</v>
      </c>
      <c r="B129" s="33"/>
      <c r="C129" s="34"/>
      <c r="D129" s="40">
        <v>1</v>
      </c>
      <c r="E129" s="40">
        <v>2.05</v>
      </c>
      <c r="F129" s="41" t="s">
        <v>361</v>
      </c>
      <c r="G129" s="41"/>
      <c r="H129" s="32">
        <f>D129*E129</f>
        <v>2.05</v>
      </c>
      <c r="I129" s="33"/>
      <c r="J129" s="34"/>
    </row>
    <row r="130" spans="1:10">
      <c r="A130" s="41" t="s">
        <v>1</v>
      </c>
      <c r="B130" s="41" t="s">
        <v>362</v>
      </c>
      <c r="C130" s="41"/>
      <c r="D130" s="41" t="s">
        <v>363</v>
      </c>
      <c r="E130" s="41"/>
      <c r="F130" s="41" t="s">
        <v>87</v>
      </c>
      <c r="G130" s="41" t="s">
        <v>364</v>
      </c>
      <c r="H130" s="41" t="s">
        <v>365</v>
      </c>
      <c r="I130" s="41" t="s">
        <v>54</v>
      </c>
      <c r="J130" s="41" t="s">
        <v>6</v>
      </c>
    </row>
    <row r="131" spans="1:10">
      <c r="A131" s="41"/>
      <c r="B131" s="41"/>
      <c r="C131" s="41"/>
      <c r="D131" s="41"/>
      <c r="E131" s="41"/>
      <c r="F131" s="41"/>
      <c r="G131" s="41"/>
      <c r="H131" s="41"/>
      <c r="I131" s="41"/>
      <c r="J131" s="41"/>
    </row>
    <row r="132" spans="1:10">
      <c r="A132" s="42">
        <v>1</v>
      </c>
      <c r="B132" s="43" t="s">
        <v>366</v>
      </c>
      <c r="C132" s="43"/>
      <c r="D132" s="43"/>
      <c r="E132" s="43"/>
      <c r="F132" s="43" t="s">
        <v>367</v>
      </c>
      <c r="G132" s="43">
        <v>2.05</v>
      </c>
      <c r="H132" s="44">
        <v>25</v>
      </c>
      <c r="I132" s="44">
        <f>G132*H132</f>
        <v>51.25</v>
      </c>
      <c r="J132" s="44" t="s">
        <v>368</v>
      </c>
    </row>
    <row r="133" spans="1:10">
      <c r="A133" s="42"/>
      <c r="B133" s="43" t="s">
        <v>369</v>
      </c>
      <c r="C133" s="43"/>
      <c r="D133" s="43"/>
      <c r="E133" s="43"/>
      <c r="F133" s="43" t="s">
        <v>367</v>
      </c>
      <c r="G133" s="43">
        <v>2.05</v>
      </c>
      <c r="H133" s="44">
        <v>30</v>
      </c>
      <c r="I133" s="44">
        <f t="shared" ref="I133:I144" si="6">G133*H133</f>
        <v>61.5</v>
      </c>
      <c r="J133" s="44" t="s">
        <v>368</v>
      </c>
    </row>
    <row r="134" spans="1:10">
      <c r="A134" s="42">
        <v>2</v>
      </c>
      <c r="B134" s="45" t="s">
        <v>370</v>
      </c>
      <c r="C134" s="46"/>
      <c r="D134" s="47" t="s">
        <v>371</v>
      </c>
      <c r="E134" s="47"/>
      <c r="F134" s="42" t="s">
        <v>372</v>
      </c>
      <c r="G134" s="43">
        <v>2.37</v>
      </c>
      <c r="H134" s="44">
        <v>22.3</v>
      </c>
      <c r="I134" s="44">
        <f t="shared" si="6"/>
        <v>52.851</v>
      </c>
      <c r="J134" s="44" t="s">
        <v>368</v>
      </c>
    </row>
    <row r="135" spans="1:10">
      <c r="A135" s="42"/>
      <c r="B135" s="48"/>
      <c r="C135" s="49"/>
      <c r="D135" s="47" t="s">
        <v>373</v>
      </c>
      <c r="E135" s="47"/>
      <c r="F135" s="42" t="s">
        <v>372</v>
      </c>
      <c r="G135" s="43">
        <v>2.69</v>
      </c>
      <c r="H135" s="44">
        <v>22.3</v>
      </c>
      <c r="I135" s="44">
        <f t="shared" si="6"/>
        <v>59.987</v>
      </c>
      <c r="J135" s="44" t="s">
        <v>368</v>
      </c>
    </row>
    <row r="136" spans="1:10">
      <c r="A136" s="42"/>
      <c r="B136" s="48"/>
      <c r="C136" s="49"/>
      <c r="D136" s="47" t="s">
        <v>374</v>
      </c>
      <c r="E136" s="47"/>
      <c r="F136" s="42" t="s">
        <v>372</v>
      </c>
      <c r="G136" s="43">
        <v>0.68</v>
      </c>
      <c r="H136" s="44">
        <v>22.5</v>
      </c>
      <c r="I136" s="44">
        <f t="shared" si="6"/>
        <v>15.3</v>
      </c>
      <c r="J136" s="44" t="s">
        <v>368</v>
      </c>
    </row>
    <row r="137" spans="1:10">
      <c r="A137" s="42"/>
      <c r="B137" s="50"/>
      <c r="C137" s="51"/>
      <c r="D137" s="52" t="s">
        <v>375</v>
      </c>
      <c r="E137" s="53"/>
      <c r="F137" s="42" t="s">
        <v>372</v>
      </c>
      <c r="G137" s="43">
        <v>3.88</v>
      </c>
      <c r="H137" s="44">
        <v>22.3</v>
      </c>
      <c r="I137" s="44">
        <f t="shared" si="6"/>
        <v>86.524</v>
      </c>
      <c r="J137" s="44" t="s">
        <v>368</v>
      </c>
    </row>
    <row r="138" spans="1:10">
      <c r="A138" s="42"/>
      <c r="B138" s="43" t="s">
        <v>376</v>
      </c>
      <c r="C138" s="43"/>
      <c r="D138" s="47" t="s">
        <v>377</v>
      </c>
      <c r="E138" s="47"/>
      <c r="F138" s="43" t="s">
        <v>378</v>
      </c>
      <c r="G138" s="43">
        <v>2.05</v>
      </c>
      <c r="H138" s="44">
        <v>5.7</v>
      </c>
      <c r="I138" s="44">
        <f t="shared" si="6"/>
        <v>11.685</v>
      </c>
      <c r="J138" s="44" t="s">
        <v>368</v>
      </c>
    </row>
    <row r="139" spans="1:10">
      <c r="A139" s="42">
        <v>3</v>
      </c>
      <c r="B139" s="54" t="s">
        <v>379</v>
      </c>
      <c r="C139" s="54"/>
      <c r="D139" s="55" t="s">
        <v>380</v>
      </c>
      <c r="E139" s="47"/>
      <c r="F139" s="43" t="s">
        <v>381</v>
      </c>
      <c r="G139" s="43">
        <v>0</v>
      </c>
      <c r="H139" s="44">
        <v>0</v>
      </c>
      <c r="I139" s="44">
        <f t="shared" si="6"/>
        <v>0</v>
      </c>
      <c r="J139" s="44" t="s">
        <v>368</v>
      </c>
    </row>
    <row r="140" spans="1:10">
      <c r="A140" s="42"/>
      <c r="B140" s="54"/>
      <c r="C140" s="54"/>
      <c r="D140" s="55" t="s">
        <v>382</v>
      </c>
      <c r="E140" s="47"/>
      <c r="F140" s="43" t="s">
        <v>381</v>
      </c>
      <c r="G140" s="43">
        <v>0</v>
      </c>
      <c r="H140" s="44">
        <v>0</v>
      </c>
      <c r="I140" s="44">
        <f t="shared" si="6"/>
        <v>0</v>
      </c>
      <c r="J140" s="44" t="s">
        <v>368</v>
      </c>
    </row>
    <row r="141" spans="1:10">
      <c r="A141" s="42">
        <v>4</v>
      </c>
      <c r="B141" s="54"/>
      <c r="C141" s="54"/>
      <c r="D141" s="43" t="s">
        <v>383</v>
      </c>
      <c r="E141" s="43"/>
      <c r="F141" s="42" t="s">
        <v>94</v>
      </c>
      <c r="G141" s="43">
        <v>2.05</v>
      </c>
      <c r="H141" s="44">
        <v>20.5</v>
      </c>
      <c r="I141" s="44">
        <f t="shared" si="6"/>
        <v>42.025</v>
      </c>
      <c r="J141" s="44" t="s">
        <v>368</v>
      </c>
    </row>
    <row r="142" spans="1:10">
      <c r="A142" s="42"/>
      <c r="B142" s="54"/>
      <c r="C142" s="54"/>
      <c r="D142" s="43" t="s">
        <v>384</v>
      </c>
      <c r="E142" s="43"/>
      <c r="F142" s="56" t="s">
        <v>367</v>
      </c>
      <c r="G142" s="43">
        <v>0</v>
      </c>
      <c r="H142" s="44">
        <v>0</v>
      </c>
      <c r="I142" s="44">
        <f t="shared" si="6"/>
        <v>0</v>
      </c>
      <c r="J142" s="44" t="s">
        <v>368</v>
      </c>
    </row>
    <row r="143" spans="1:10">
      <c r="A143" s="42"/>
      <c r="B143" s="54"/>
      <c r="C143" s="54"/>
      <c r="D143" s="43"/>
      <c r="E143" s="43"/>
      <c r="F143" s="42"/>
      <c r="G143" s="43"/>
      <c r="H143" s="44"/>
      <c r="I143" s="44">
        <f t="shared" si="6"/>
        <v>0</v>
      </c>
      <c r="J143" s="44" t="s">
        <v>368</v>
      </c>
    </row>
    <row r="144" spans="1:10">
      <c r="A144" s="42">
        <v>5</v>
      </c>
      <c r="B144" s="43" t="s">
        <v>385</v>
      </c>
      <c r="C144" s="43"/>
      <c r="D144" s="43"/>
      <c r="E144" s="43"/>
      <c r="F144" s="43" t="s">
        <v>367</v>
      </c>
      <c r="G144" s="43">
        <v>2.05</v>
      </c>
      <c r="H144" s="44">
        <v>3</v>
      </c>
      <c r="I144" s="44">
        <f t="shared" si="6"/>
        <v>6.15</v>
      </c>
      <c r="J144" s="44" t="s">
        <v>368</v>
      </c>
    </row>
    <row r="145" spans="1:10">
      <c r="A145" s="42">
        <v>6</v>
      </c>
      <c r="B145" s="43" t="s">
        <v>386</v>
      </c>
      <c r="C145" s="43"/>
      <c r="D145" s="56" t="s">
        <v>387</v>
      </c>
      <c r="E145" s="43"/>
      <c r="F145" s="43" t="s">
        <v>367</v>
      </c>
      <c r="G145" s="57">
        <f>I132+I133+I134+I135+I136+I137+I138+I141+I144</f>
        <v>387.272</v>
      </c>
      <c r="H145" s="58"/>
      <c r="I145" s="63"/>
      <c r="J145" s="64"/>
    </row>
    <row r="146" ht="36" spans="1:10">
      <c r="A146" s="42">
        <v>7</v>
      </c>
      <c r="B146" s="43" t="s">
        <v>388</v>
      </c>
      <c r="C146" s="43"/>
      <c r="D146" s="59" t="s">
        <v>389</v>
      </c>
      <c r="E146" s="60">
        <v>0.05</v>
      </c>
      <c r="F146" s="43" t="s">
        <v>367</v>
      </c>
      <c r="G146" s="43">
        <f>G145*E146</f>
        <v>19.3636</v>
      </c>
      <c r="H146" s="43"/>
      <c r="I146" s="43"/>
      <c r="J146" s="64" t="s">
        <v>390</v>
      </c>
    </row>
    <row r="147" spans="1:10">
      <c r="A147" s="61">
        <v>8</v>
      </c>
      <c r="B147" s="61" t="s">
        <v>391</v>
      </c>
      <c r="C147" s="61"/>
      <c r="D147" s="61" t="s">
        <v>392</v>
      </c>
      <c r="E147" s="61"/>
      <c r="F147" s="43" t="s">
        <v>367</v>
      </c>
      <c r="G147" s="61">
        <f>G146+G145</f>
        <v>406.6356</v>
      </c>
      <c r="H147" s="61"/>
      <c r="I147" s="61"/>
      <c r="J147" s="65">
        <f>G147/H129</f>
        <v>198.358829268293</v>
      </c>
    </row>
    <row r="149" ht="14.25" spans="1:10">
      <c r="A149" s="32" t="s">
        <v>358</v>
      </c>
      <c r="B149" s="33"/>
      <c r="C149" s="34"/>
      <c r="D149" s="35" t="s">
        <v>399</v>
      </c>
      <c r="E149" s="36"/>
      <c r="F149" s="37" t="s">
        <v>359</v>
      </c>
      <c r="G149" s="38"/>
      <c r="H149" s="39">
        <v>1000</v>
      </c>
      <c r="I149" s="62">
        <v>2300</v>
      </c>
      <c r="J149" s="36"/>
    </row>
    <row r="150" spans="1:10">
      <c r="A150" s="32" t="s">
        <v>360</v>
      </c>
      <c r="B150" s="33"/>
      <c r="C150" s="34"/>
      <c r="D150" s="40">
        <v>1</v>
      </c>
      <c r="E150" s="40">
        <v>2.3</v>
      </c>
      <c r="F150" s="41" t="s">
        <v>361</v>
      </c>
      <c r="G150" s="41"/>
      <c r="H150" s="32">
        <f>D150*E150</f>
        <v>2.3</v>
      </c>
      <c r="I150" s="33"/>
      <c r="J150" s="34"/>
    </row>
    <row r="151" spans="1:10">
      <c r="A151" s="41" t="s">
        <v>1</v>
      </c>
      <c r="B151" s="41" t="s">
        <v>362</v>
      </c>
      <c r="C151" s="41"/>
      <c r="D151" s="41" t="s">
        <v>363</v>
      </c>
      <c r="E151" s="41"/>
      <c r="F151" s="41" t="s">
        <v>87</v>
      </c>
      <c r="G151" s="41" t="s">
        <v>364</v>
      </c>
      <c r="H151" s="41" t="s">
        <v>365</v>
      </c>
      <c r="I151" s="41" t="s">
        <v>54</v>
      </c>
      <c r="J151" s="41" t="s">
        <v>6</v>
      </c>
    </row>
    <row r="152" spans="1:10">
      <c r="A152" s="41"/>
      <c r="B152" s="41"/>
      <c r="C152" s="41"/>
      <c r="D152" s="41"/>
      <c r="E152" s="41"/>
      <c r="F152" s="41"/>
      <c r="G152" s="41"/>
      <c r="H152" s="41"/>
      <c r="I152" s="41"/>
      <c r="J152" s="41"/>
    </row>
    <row r="153" spans="1:10">
      <c r="A153" s="42">
        <v>1</v>
      </c>
      <c r="B153" s="43" t="s">
        <v>366</v>
      </c>
      <c r="C153" s="43"/>
      <c r="D153" s="43"/>
      <c r="E153" s="43"/>
      <c r="F153" s="43" t="s">
        <v>367</v>
      </c>
      <c r="G153" s="43">
        <v>2.3</v>
      </c>
      <c r="H153" s="44">
        <v>25</v>
      </c>
      <c r="I153" s="44">
        <f t="shared" ref="I153:I165" si="7">G153*H153</f>
        <v>57.5</v>
      </c>
      <c r="J153" s="44" t="s">
        <v>368</v>
      </c>
    </row>
    <row r="154" spans="1:10">
      <c r="A154" s="42"/>
      <c r="B154" s="43" t="s">
        <v>369</v>
      </c>
      <c r="C154" s="43"/>
      <c r="D154" s="43"/>
      <c r="E154" s="43"/>
      <c r="F154" s="43" t="s">
        <v>367</v>
      </c>
      <c r="G154" s="43">
        <v>2.3</v>
      </c>
      <c r="H154" s="44">
        <v>30</v>
      </c>
      <c r="I154" s="44">
        <f t="shared" si="7"/>
        <v>69</v>
      </c>
      <c r="J154" s="44" t="s">
        <v>368</v>
      </c>
    </row>
    <row r="155" spans="1:10">
      <c r="A155" s="42">
        <v>2</v>
      </c>
      <c r="B155" s="45" t="s">
        <v>370</v>
      </c>
      <c r="C155" s="46"/>
      <c r="D155" s="47" t="s">
        <v>371</v>
      </c>
      <c r="E155" s="47"/>
      <c r="F155" s="42" t="s">
        <v>372</v>
      </c>
      <c r="G155" s="43">
        <v>2.54</v>
      </c>
      <c r="H155" s="44">
        <v>22.3</v>
      </c>
      <c r="I155" s="44">
        <f t="shared" si="7"/>
        <v>56.642</v>
      </c>
      <c r="J155" s="44" t="s">
        <v>368</v>
      </c>
    </row>
    <row r="156" spans="1:10">
      <c r="A156" s="42"/>
      <c r="B156" s="48"/>
      <c r="C156" s="49"/>
      <c r="D156" s="47" t="s">
        <v>373</v>
      </c>
      <c r="E156" s="47"/>
      <c r="F156" s="42" t="s">
        <v>372</v>
      </c>
      <c r="G156" s="43">
        <v>2.87</v>
      </c>
      <c r="H156" s="44">
        <v>22.3</v>
      </c>
      <c r="I156" s="44">
        <f t="shared" si="7"/>
        <v>64.001</v>
      </c>
      <c r="J156" s="44" t="s">
        <v>368</v>
      </c>
    </row>
    <row r="157" spans="1:10">
      <c r="A157" s="42"/>
      <c r="B157" s="48"/>
      <c r="C157" s="49"/>
      <c r="D157" s="47" t="s">
        <v>374</v>
      </c>
      <c r="E157" s="47"/>
      <c r="F157" s="42" t="s">
        <v>372</v>
      </c>
      <c r="G157" s="43">
        <v>0.77</v>
      </c>
      <c r="H157" s="44">
        <v>22.5</v>
      </c>
      <c r="I157" s="44">
        <f t="shared" si="7"/>
        <v>17.325</v>
      </c>
      <c r="J157" s="44" t="s">
        <v>368</v>
      </c>
    </row>
    <row r="158" spans="1:10">
      <c r="A158" s="42"/>
      <c r="B158" s="50"/>
      <c r="C158" s="51"/>
      <c r="D158" s="52" t="s">
        <v>375</v>
      </c>
      <c r="E158" s="53"/>
      <c r="F158" s="42" t="s">
        <v>372</v>
      </c>
      <c r="G158" s="43">
        <v>4.46</v>
      </c>
      <c r="H158" s="44">
        <v>22.3</v>
      </c>
      <c r="I158" s="44">
        <f t="shared" si="7"/>
        <v>99.458</v>
      </c>
      <c r="J158" s="44" t="s">
        <v>368</v>
      </c>
    </row>
    <row r="159" spans="1:10">
      <c r="A159" s="42"/>
      <c r="B159" s="43" t="s">
        <v>376</v>
      </c>
      <c r="C159" s="43"/>
      <c r="D159" s="47" t="s">
        <v>377</v>
      </c>
      <c r="E159" s="47"/>
      <c r="F159" s="43" t="s">
        <v>378</v>
      </c>
      <c r="G159" s="43">
        <v>2.3</v>
      </c>
      <c r="H159" s="44">
        <v>5.7</v>
      </c>
      <c r="I159" s="44">
        <f t="shared" si="7"/>
        <v>13.11</v>
      </c>
      <c r="J159" s="44" t="s">
        <v>368</v>
      </c>
    </row>
    <row r="160" spans="1:10">
      <c r="A160" s="42">
        <v>3</v>
      </c>
      <c r="B160" s="54" t="s">
        <v>379</v>
      </c>
      <c r="C160" s="54"/>
      <c r="D160" s="55" t="s">
        <v>380</v>
      </c>
      <c r="E160" s="47"/>
      <c r="F160" s="43" t="s">
        <v>381</v>
      </c>
      <c r="G160" s="43">
        <v>0</v>
      </c>
      <c r="H160" s="44">
        <v>0</v>
      </c>
      <c r="I160" s="44">
        <f t="shared" si="7"/>
        <v>0</v>
      </c>
      <c r="J160" s="44" t="s">
        <v>368</v>
      </c>
    </row>
    <row r="161" spans="1:10">
      <c r="A161" s="42"/>
      <c r="B161" s="54"/>
      <c r="C161" s="54"/>
      <c r="D161" s="55" t="s">
        <v>382</v>
      </c>
      <c r="E161" s="47"/>
      <c r="F161" s="43" t="s">
        <v>381</v>
      </c>
      <c r="G161" s="43">
        <v>0</v>
      </c>
      <c r="H161" s="44">
        <v>0</v>
      </c>
      <c r="I161" s="44">
        <f t="shared" si="7"/>
        <v>0</v>
      </c>
      <c r="J161" s="44" t="s">
        <v>368</v>
      </c>
    </row>
    <row r="162" spans="1:10">
      <c r="A162" s="42">
        <v>4</v>
      </c>
      <c r="B162" s="54"/>
      <c r="C162" s="54"/>
      <c r="D162" s="43" t="s">
        <v>383</v>
      </c>
      <c r="E162" s="43"/>
      <c r="F162" s="42" t="s">
        <v>94</v>
      </c>
      <c r="G162" s="43">
        <v>2.3</v>
      </c>
      <c r="H162" s="44">
        <v>20.5</v>
      </c>
      <c r="I162" s="44">
        <f t="shared" si="7"/>
        <v>47.15</v>
      </c>
      <c r="J162" s="44" t="s">
        <v>368</v>
      </c>
    </row>
    <row r="163" spans="1:10">
      <c r="A163" s="42"/>
      <c r="B163" s="54"/>
      <c r="C163" s="54"/>
      <c r="D163" s="43" t="s">
        <v>384</v>
      </c>
      <c r="E163" s="43"/>
      <c r="F163" s="56" t="s">
        <v>367</v>
      </c>
      <c r="G163" s="43">
        <v>0</v>
      </c>
      <c r="H163" s="44">
        <v>0</v>
      </c>
      <c r="I163" s="44">
        <f t="shared" si="7"/>
        <v>0</v>
      </c>
      <c r="J163" s="44" t="s">
        <v>368</v>
      </c>
    </row>
    <row r="164" spans="1:10">
      <c r="A164" s="42"/>
      <c r="B164" s="54"/>
      <c r="C164" s="54"/>
      <c r="D164" s="43"/>
      <c r="E164" s="43"/>
      <c r="F164" s="42"/>
      <c r="G164" s="43"/>
      <c r="H164" s="44"/>
      <c r="I164" s="44">
        <f t="shared" si="7"/>
        <v>0</v>
      </c>
      <c r="J164" s="44" t="s">
        <v>368</v>
      </c>
    </row>
    <row r="165" spans="1:10">
      <c r="A165" s="42">
        <v>5</v>
      </c>
      <c r="B165" s="43" t="s">
        <v>385</v>
      </c>
      <c r="C165" s="43"/>
      <c r="D165" s="43"/>
      <c r="E165" s="43"/>
      <c r="F165" s="43" t="s">
        <v>367</v>
      </c>
      <c r="G165" s="43">
        <v>2.3</v>
      </c>
      <c r="H165" s="44">
        <v>3</v>
      </c>
      <c r="I165" s="44">
        <f t="shared" si="7"/>
        <v>6.9</v>
      </c>
      <c r="J165" s="44" t="s">
        <v>368</v>
      </c>
    </row>
    <row r="166" spans="1:10">
      <c r="A166" s="42">
        <v>6</v>
      </c>
      <c r="B166" s="43" t="s">
        <v>386</v>
      </c>
      <c r="C166" s="43"/>
      <c r="D166" s="56" t="s">
        <v>387</v>
      </c>
      <c r="E166" s="43"/>
      <c r="F166" s="43" t="s">
        <v>367</v>
      </c>
      <c r="G166" s="57">
        <f>I153+I154+I155+I156+I157+I158+I159+I162+I165</f>
        <v>431.086</v>
      </c>
      <c r="H166" s="58"/>
      <c r="I166" s="63"/>
      <c r="J166" s="64"/>
    </row>
    <row r="167" ht="36" spans="1:10">
      <c r="A167" s="42">
        <v>7</v>
      </c>
      <c r="B167" s="43" t="s">
        <v>388</v>
      </c>
      <c r="C167" s="43"/>
      <c r="D167" s="59" t="s">
        <v>389</v>
      </c>
      <c r="E167" s="60">
        <v>0.05</v>
      </c>
      <c r="F167" s="43" t="s">
        <v>367</v>
      </c>
      <c r="G167" s="43">
        <f>G166*E167</f>
        <v>21.5543</v>
      </c>
      <c r="H167" s="43"/>
      <c r="I167" s="43"/>
      <c r="J167" s="64" t="s">
        <v>390</v>
      </c>
    </row>
    <row r="168" spans="1:10">
      <c r="A168" s="61">
        <v>8</v>
      </c>
      <c r="B168" s="61" t="s">
        <v>391</v>
      </c>
      <c r="C168" s="61"/>
      <c r="D168" s="61" t="s">
        <v>392</v>
      </c>
      <c r="E168" s="61"/>
      <c r="F168" s="43" t="s">
        <v>367</v>
      </c>
      <c r="G168" s="61">
        <f>G167+G166</f>
        <v>452.6403</v>
      </c>
      <c r="H168" s="61"/>
      <c r="I168" s="61"/>
      <c r="J168" s="65">
        <f>G168/H150</f>
        <v>196.800130434783</v>
      </c>
    </row>
    <row r="170" ht="14.25" spans="1:10">
      <c r="A170" s="32" t="s">
        <v>358</v>
      </c>
      <c r="B170" s="33"/>
      <c r="C170" s="34"/>
      <c r="D170" s="35" t="s">
        <v>400</v>
      </c>
      <c r="E170" s="36"/>
      <c r="F170" s="37" t="s">
        <v>359</v>
      </c>
      <c r="G170" s="38"/>
      <c r="H170" s="39">
        <v>1000</v>
      </c>
      <c r="I170" s="62">
        <v>2350</v>
      </c>
      <c r="J170" s="36"/>
    </row>
    <row r="171" spans="1:10">
      <c r="A171" s="32" t="s">
        <v>360</v>
      </c>
      <c r="B171" s="33"/>
      <c r="C171" s="34"/>
      <c r="D171" s="40">
        <v>1</v>
      </c>
      <c r="E171" s="40">
        <v>2.35</v>
      </c>
      <c r="F171" s="41" t="s">
        <v>361</v>
      </c>
      <c r="G171" s="41"/>
      <c r="H171" s="32">
        <f>D171*E171</f>
        <v>2.35</v>
      </c>
      <c r="I171" s="33"/>
      <c r="J171" s="34"/>
    </row>
    <row r="172" spans="1:10">
      <c r="A172" s="41" t="s">
        <v>1</v>
      </c>
      <c r="B172" s="41" t="s">
        <v>362</v>
      </c>
      <c r="C172" s="41"/>
      <c r="D172" s="41" t="s">
        <v>363</v>
      </c>
      <c r="E172" s="41"/>
      <c r="F172" s="41" t="s">
        <v>87</v>
      </c>
      <c r="G172" s="41" t="s">
        <v>364</v>
      </c>
      <c r="H172" s="41" t="s">
        <v>365</v>
      </c>
      <c r="I172" s="41" t="s">
        <v>54</v>
      </c>
      <c r="J172" s="41" t="s">
        <v>6</v>
      </c>
    </row>
    <row r="173" spans="1:10">
      <c r="A173" s="41"/>
      <c r="B173" s="41"/>
      <c r="C173" s="41"/>
      <c r="D173" s="41"/>
      <c r="E173" s="41"/>
      <c r="F173" s="41"/>
      <c r="G173" s="41"/>
      <c r="H173" s="41"/>
      <c r="I173" s="41"/>
      <c r="J173" s="41"/>
    </row>
    <row r="174" spans="1:10">
      <c r="A174" s="42">
        <v>1</v>
      </c>
      <c r="B174" s="43" t="s">
        <v>366</v>
      </c>
      <c r="C174" s="43"/>
      <c r="D174" s="43"/>
      <c r="E174" s="43"/>
      <c r="F174" s="43" t="s">
        <v>367</v>
      </c>
      <c r="G174" s="43">
        <v>2.35</v>
      </c>
      <c r="H174" s="44">
        <v>25</v>
      </c>
      <c r="I174" s="44">
        <f t="shared" ref="I174:I186" si="8">G174*H174</f>
        <v>58.75</v>
      </c>
      <c r="J174" s="44" t="s">
        <v>368</v>
      </c>
    </row>
    <row r="175" spans="1:10">
      <c r="A175" s="42"/>
      <c r="B175" s="43" t="s">
        <v>369</v>
      </c>
      <c r="C175" s="43"/>
      <c r="D175" s="43"/>
      <c r="E175" s="43"/>
      <c r="F175" s="43" t="s">
        <v>367</v>
      </c>
      <c r="G175" s="43">
        <v>2.35</v>
      </c>
      <c r="H175" s="44">
        <v>30</v>
      </c>
      <c r="I175" s="44">
        <f t="shared" si="8"/>
        <v>70.5</v>
      </c>
      <c r="J175" s="44" t="s">
        <v>368</v>
      </c>
    </row>
    <row r="176" spans="1:10">
      <c r="A176" s="42">
        <v>2</v>
      </c>
      <c r="B176" s="45" t="s">
        <v>370</v>
      </c>
      <c r="C176" s="46"/>
      <c r="D176" s="47" t="s">
        <v>371</v>
      </c>
      <c r="E176" s="47"/>
      <c r="F176" s="42" t="s">
        <v>372</v>
      </c>
      <c r="G176" s="43">
        <v>2.57</v>
      </c>
      <c r="H176" s="44">
        <v>22.3</v>
      </c>
      <c r="I176" s="44">
        <f t="shared" si="8"/>
        <v>57.311</v>
      </c>
      <c r="J176" s="44" t="s">
        <v>368</v>
      </c>
    </row>
    <row r="177" spans="1:10">
      <c r="A177" s="42"/>
      <c r="B177" s="48"/>
      <c r="C177" s="49"/>
      <c r="D177" s="47" t="s">
        <v>373</v>
      </c>
      <c r="E177" s="47"/>
      <c r="F177" s="42" t="s">
        <v>372</v>
      </c>
      <c r="G177" s="43">
        <v>2.9</v>
      </c>
      <c r="H177" s="44">
        <v>22.3</v>
      </c>
      <c r="I177" s="44">
        <f t="shared" si="8"/>
        <v>64.67</v>
      </c>
      <c r="J177" s="44" t="s">
        <v>368</v>
      </c>
    </row>
    <row r="178" spans="1:10">
      <c r="A178" s="42"/>
      <c r="B178" s="48"/>
      <c r="C178" s="49"/>
      <c r="D178" s="47" t="s">
        <v>374</v>
      </c>
      <c r="E178" s="47"/>
      <c r="F178" s="42" t="s">
        <v>372</v>
      </c>
      <c r="G178" s="43">
        <v>0.78</v>
      </c>
      <c r="H178" s="44">
        <v>22.5</v>
      </c>
      <c r="I178" s="44">
        <f t="shared" si="8"/>
        <v>17.55</v>
      </c>
      <c r="J178" s="44" t="s">
        <v>368</v>
      </c>
    </row>
    <row r="179" spans="1:10">
      <c r="A179" s="42"/>
      <c r="B179" s="50"/>
      <c r="C179" s="51"/>
      <c r="D179" s="52" t="s">
        <v>375</v>
      </c>
      <c r="E179" s="53"/>
      <c r="F179" s="42" t="s">
        <v>372</v>
      </c>
      <c r="G179" s="43">
        <v>4.55</v>
      </c>
      <c r="H179" s="44">
        <v>22.3</v>
      </c>
      <c r="I179" s="44">
        <f t="shared" si="8"/>
        <v>101.465</v>
      </c>
      <c r="J179" s="44" t="s">
        <v>368</v>
      </c>
    </row>
    <row r="180" spans="1:10">
      <c r="A180" s="42"/>
      <c r="B180" s="43" t="s">
        <v>376</v>
      </c>
      <c r="C180" s="43"/>
      <c r="D180" s="47" t="s">
        <v>377</v>
      </c>
      <c r="E180" s="47"/>
      <c r="F180" s="43" t="s">
        <v>378</v>
      </c>
      <c r="G180" s="43">
        <v>2.35</v>
      </c>
      <c r="H180" s="44">
        <v>5.7</v>
      </c>
      <c r="I180" s="44">
        <f t="shared" si="8"/>
        <v>13.395</v>
      </c>
      <c r="J180" s="44" t="s">
        <v>368</v>
      </c>
    </row>
    <row r="181" spans="1:10">
      <c r="A181" s="42">
        <v>3</v>
      </c>
      <c r="B181" s="54" t="s">
        <v>379</v>
      </c>
      <c r="C181" s="54"/>
      <c r="D181" s="55" t="s">
        <v>380</v>
      </c>
      <c r="E181" s="47"/>
      <c r="F181" s="43" t="s">
        <v>381</v>
      </c>
      <c r="G181" s="43">
        <v>0</v>
      </c>
      <c r="H181" s="44">
        <v>0</v>
      </c>
      <c r="I181" s="44">
        <f t="shared" si="8"/>
        <v>0</v>
      </c>
      <c r="J181" s="44" t="s">
        <v>368</v>
      </c>
    </row>
    <row r="182" spans="1:10">
      <c r="A182" s="42"/>
      <c r="B182" s="54"/>
      <c r="C182" s="54"/>
      <c r="D182" s="55" t="s">
        <v>382</v>
      </c>
      <c r="E182" s="47"/>
      <c r="F182" s="43" t="s">
        <v>381</v>
      </c>
      <c r="G182" s="43">
        <v>0</v>
      </c>
      <c r="H182" s="44">
        <v>0</v>
      </c>
      <c r="I182" s="44">
        <f t="shared" si="8"/>
        <v>0</v>
      </c>
      <c r="J182" s="44" t="s">
        <v>368</v>
      </c>
    </row>
    <row r="183" spans="1:10">
      <c r="A183" s="42">
        <v>4</v>
      </c>
      <c r="B183" s="54"/>
      <c r="C183" s="54"/>
      <c r="D183" s="43" t="s">
        <v>383</v>
      </c>
      <c r="E183" s="43"/>
      <c r="F183" s="42" t="s">
        <v>94</v>
      </c>
      <c r="G183" s="43">
        <v>2.35</v>
      </c>
      <c r="H183" s="44">
        <v>20.5</v>
      </c>
      <c r="I183" s="44">
        <f t="shared" si="8"/>
        <v>48.175</v>
      </c>
      <c r="J183" s="44" t="s">
        <v>368</v>
      </c>
    </row>
    <row r="184" spans="1:10">
      <c r="A184" s="42"/>
      <c r="B184" s="54"/>
      <c r="C184" s="54"/>
      <c r="D184" s="43" t="s">
        <v>384</v>
      </c>
      <c r="E184" s="43"/>
      <c r="F184" s="56" t="s">
        <v>367</v>
      </c>
      <c r="G184" s="43">
        <v>0</v>
      </c>
      <c r="H184" s="44">
        <v>0</v>
      </c>
      <c r="I184" s="44">
        <f t="shared" si="8"/>
        <v>0</v>
      </c>
      <c r="J184" s="44" t="s">
        <v>368</v>
      </c>
    </row>
    <row r="185" spans="1:10">
      <c r="A185" s="42"/>
      <c r="B185" s="54"/>
      <c r="C185" s="54"/>
      <c r="D185" s="43"/>
      <c r="E185" s="43"/>
      <c r="F185" s="42"/>
      <c r="G185" s="43"/>
      <c r="H185" s="44"/>
      <c r="I185" s="44">
        <f t="shared" si="8"/>
        <v>0</v>
      </c>
      <c r="J185" s="44" t="s">
        <v>368</v>
      </c>
    </row>
    <row r="186" spans="1:10">
      <c r="A186" s="42">
        <v>5</v>
      </c>
      <c r="B186" s="43" t="s">
        <v>385</v>
      </c>
      <c r="C186" s="43"/>
      <c r="D186" s="43"/>
      <c r="E186" s="43"/>
      <c r="F186" s="43" t="s">
        <v>367</v>
      </c>
      <c r="G186" s="43">
        <v>2.35</v>
      </c>
      <c r="H186" s="44">
        <v>3</v>
      </c>
      <c r="I186" s="44">
        <f t="shared" si="8"/>
        <v>7.05</v>
      </c>
      <c r="J186" s="44" t="s">
        <v>368</v>
      </c>
    </row>
    <row r="187" spans="1:10">
      <c r="A187" s="42">
        <v>6</v>
      </c>
      <c r="B187" s="43" t="s">
        <v>386</v>
      </c>
      <c r="C187" s="43"/>
      <c r="D187" s="56" t="s">
        <v>387</v>
      </c>
      <c r="E187" s="43"/>
      <c r="F187" s="43" t="s">
        <v>367</v>
      </c>
      <c r="G187" s="57">
        <f>I174+I175+I176+I177+I178+I179+I180+I183+I186</f>
        <v>438.866</v>
      </c>
      <c r="H187" s="58"/>
      <c r="I187" s="63"/>
      <c r="J187" s="64"/>
    </row>
    <row r="188" ht="36" spans="1:10">
      <c r="A188" s="42">
        <v>7</v>
      </c>
      <c r="B188" s="43" t="s">
        <v>388</v>
      </c>
      <c r="C188" s="43"/>
      <c r="D188" s="59" t="s">
        <v>389</v>
      </c>
      <c r="E188" s="60">
        <v>0.05</v>
      </c>
      <c r="F188" s="43" t="s">
        <v>367</v>
      </c>
      <c r="G188" s="43">
        <f>G187*E188</f>
        <v>21.9433</v>
      </c>
      <c r="H188" s="43"/>
      <c r="I188" s="43"/>
      <c r="J188" s="64" t="s">
        <v>390</v>
      </c>
    </row>
    <row r="189" spans="1:10">
      <c r="A189" s="61">
        <v>8</v>
      </c>
      <c r="B189" s="61" t="s">
        <v>391</v>
      </c>
      <c r="C189" s="61"/>
      <c r="D189" s="61" t="s">
        <v>392</v>
      </c>
      <c r="E189" s="61"/>
      <c r="F189" s="43" t="s">
        <v>367</v>
      </c>
      <c r="G189" s="61">
        <f>G188+G187</f>
        <v>460.8093</v>
      </c>
      <c r="H189" s="61"/>
      <c r="I189" s="61"/>
      <c r="J189" s="65">
        <f>G189/H171</f>
        <v>196.089063829787</v>
      </c>
    </row>
    <row r="191" ht="14.25" spans="1:10">
      <c r="A191" s="32" t="s">
        <v>358</v>
      </c>
      <c r="B191" s="33"/>
      <c r="C191" s="34"/>
      <c r="D191" s="35" t="s">
        <v>401</v>
      </c>
      <c r="E191" s="36"/>
      <c r="F191" s="37" t="s">
        <v>359</v>
      </c>
      <c r="G191" s="38"/>
      <c r="H191" s="39">
        <v>1000</v>
      </c>
      <c r="I191" s="62">
        <v>2400</v>
      </c>
      <c r="J191" s="36"/>
    </row>
    <row r="192" spans="1:10">
      <c r="A192" s="32" t="s">
        <v>360</v>
      </c>
      <c r="B192" s="33"/>
      <c r="C192" s="34"/>
      <c r="D192" s="40">
        <v>1</v>
      </c>
      <c r="E192" s="40">
        <v>2.4</v>
      </c>
      <c r="F192" s="41" t="s">
        <v>361</v>
      </c>
      <c r="G192" s="41"/>
      <c r="H192" s="32">
        <v>2.4</v>
      </c>
      <c r="I192" s="33"/>
      <c r="J192" s="34"/>
    </row>
    <row r="193" spans="1:10">
      <c r="A193" s="41" t="s">
        <v>1</v>
      </c>
      <c r="B193" s="41" t="s">
        <v>362</v>
      </c>
      <c r="C193" s="41"/>
      <c r="D193" s="41" t="s">
        <v>363</v>
      </c>
      <c r="E193" s="41"/>
      <c r="F193" s="41" t="s">
        <v>87</v>
      </c>
      <c r="G193" s="41" t="s">
        <v>364</v>
      </c>
      <c r="H193" s="41" t="s">
        <v>365</v>
      </c>
      <c r="I193" s="41" t="s">
        <v>54</v>
      </c>
      <c r="J193" s="41" t="s">
        <v>6</v>
      </c>
    </row>
    <row r="194" spans="1:10">
      <c r="A194" s="41"/>
      <c r="B194" s="41"/>
      <c r="C194" s="41"/>
      <c r="D194" s="41"/>
      <c r="E194" s="41"/>
      <c r="F194" s="41"/>
      <c r="G194" s="41"/>
      <c r="H194" s="41"/>
      <c r="I194" s="41"/>
      <c r="J194" s="41"/>
    </row>
    <row r="195" spans="1:10">
      <c r="A195" s="42">
        <v>1</v>
      </c>
      <c r="B195" s="43" t="s">
        <v>366</v>
      </c>
      <c r="C195" s="43"/>
      <c r="D195" s="43"/>
      <c r="E195" s="43"/>
      <c r="F195" s="43" t="s">
        <v>367</v>
      </c>
      <c r="G195" s="43">
        <v>2.4</v>
      </c>
      <c r="H195" s="44">
        <v>25</v>
      </c>
      <c r="I195" s="44">
        <f t="shared" ref="I195:I207" si="9">G195*H195</f>
        <v>60</v>
      </c>
      <c r="J195" s="44" t="s">
        <v>368</v>
      </c>
    </row>
    <row r="196" spans="1:10">
      <c r="A196" s="42"/>
      <c r="B196" s="43" t="s">
        <v>369</v>
      </c>
      <c r="C196" s="43"/>
      <c r="D196" s="43"/>
      <c r="E196" s="43"/>
      <c r="F196" s="43" t="s">
        <v>367</v>
      </c>
      <c r="G196" s="43">
        <v>2.4</v>
      </c>
      <c r="H196" s="44">
        <v>30</v>
      </c>
      <c r="I196" s="44">
        <f t="shared" si="9"/>
        <v>72</v>
      </c>
      <c r="J196" s="44" t="s">
        <v>368</v>
      </c>
    </row>
    <row r="197" spans="1:10">
      <c r="A197" s="42">
        <v>2</v>
      </c>
      <c r="B197" s="45" t="s">
        <v>370</v>
      </c>
      <c r="C197" s="46"/>
      <c r="D197" s="47" t="s">
        <v>371</v>
      </c>
      <c r="E197" s="47"/>
      <c r="F197" s="42" t="s">
        <v>372</v>
      </c>
      <c r="G197" s="43">
        <v>2.6</v>
      </c>
      <c r="H197" s="44">
        <v>22.3</v>
      </c>
      <c r="I197" s="44">
        <f t="shared" si="9"/>
        <v>57.98</v>
      </c>
      <c r="J197" s="44" t="s">
        <v>368</v>
      </c>
    </row>
    <row r="198" spans="1:10">
      <c r="A198" s="42"/>
      <c r="B198" s="48"/>
      <c r="C198" s="49"/>
      <c r="D198" s="47" t="s">
        <v>373</v>
      </c>
      <c r="E198" s="47"/>
      <c r="F198" s="42" t="s">
        <v>372</v>
      </c>
      <c r="G198" s="43">
        <v>2.94</v>
      </c>
      <c r="H198" s="44">
        <v>22.3</v>
      </c>
      <c r="I198" s="44">
        <f t="shared" si="9"/>
        <v>65.562</v>
      </c>
      <c r="J198" s="44" t="s">
        <v>368</v>
      </c>
    </row>
    <row r="199" spans="1:10">
      <c r="A199" s="42"/>
      <c r="B199" s="48"/>
      <c r="C199" s="49"/>
      <c r="D199" s="47" t="s">
        <v>374</v>
      </c>
      <c r="E199" s="47"/>
      <c r="F199" s="42" t="s">
        <v>372</v>
      </c>
      <c r="G199" s="43">
        <v>0.8</v>
      </c>
      <c r="H199" s="44">
        <v>22.5</v>
      </c>
      <c r="I199" s="44">
        <f t="shared" si="9"/>
        <v>18</v>
      </c>
      <c r="J199" s="44" t="s">
        <v>368</v>
      </c>
    </row>
    <row r="200" spans="1:10">
      <c r="A200" s="42"/>
      <c r="B200" s="50"/>
      <c r="C200" s="51"/>
      <c r="D200" s="52" t="s">
        <v>375</v>
      </c>
      <c r="E200" s="53"/>
      <c r="F200" s="42" t="s">
        <v>372</v>
      </c>
      <c r="G200" s="43">
        <v>4.72</v>
      </c>
      <c r="H200" s="44">
        <v>22.3</v>
      </c>
      <c r="I200" s="44">
        <f t="shared" si="9"/>
        <v>105.256</v>
      </c>
      <c r="J200" s="44" t="s">
        <v>368</v>
      </c>
    </row>
    <row r="201" spans="1:10">
      <c r="A201" s="42"/>
      <c r="B201" s="43" t="s">
        <v>376</v>
      </c>
      <c r="C201" s="43"/>
      <c r="D201" s="47" t="s">
        <v>377</v>
      </c>
      <c r="E201" s="47"/>
      <c r="F201" s="43" t="s">
        <v>378</v>
      </c>
      <c r="G201" s="43">
        <v>2.4</v>
      </c>
      <c r="H201" s="44">
        <v>5.7</v>
      </c>
      <c r="I201" s="44">
        <f t="shared" si="9"/>
        <v>13.68</v>
      </c>
      <c r="J201" s="44" t="s">
        <v>368</v>
      </c>
    </row>
    <row r="202" spans="1:10">
      <c r="A202" s="42">
        <v>3</v>
      </c>
      <c r="B202" s="54" t="s">
        <v>379</v>
      </c>
      <c r="C202" s="54"/>
      <c r="D202" s="55" t="s">
        <v>380</v>
      </c>
      <c r="E202" s="47"/>
      <c r="F202" s="43" t="s">
        <v>381</v>
      </c>
      <c r="G202" s="43">
        <v>0</v>
      </c>
      <c r="H202" s="44">
        <v>0</v>
      </c>
      <c r="I202" s="44">
        <f t="shared" si="9"/>
        <v>0</v>
      </c>
      <c r="J202" s="44" t="s">
        <v>368</v>
      </c>
    </row>
    <row r="203" spans="1:10">
      <c r="A203" s="42"/>
      <c r="B203" s="54"/>
      <c r="C203" s="54"/>
      <c r="D203" s="55" t="s">
        <v>382</v>
      </c>
      <c r="E203" s="47"/>
      <c r="F203" s="43" t="s">
        <v>381</v>
      </c>
      <c r="G203" s="43">
        <v>0</v>
      </c>
      <c r="H203" s="44">
        <v>0</v>
      </c>
      <c r="I203" s="44">
        <f t="shared" si="9"/>
        <v>0</v>
      </c>
      <c r="J203" s="44" t="s">
        <v>368</v>
      </c>
    </row>
    <row r="204" spans="1:10">
      <c r="A204" s="42">
        <v>4</v>
      </c>
      <c r="B204" s="54"/>
      <c r="C204" s="54"/>
      <c r="D204" s="43" t="s">
        <v>383</v>
      </c>
      <c r="E204" s="43"/>
      <c r="F204" s="42" t="s">
        <v>94</v>
      </c>
      <c r="G204" s="43">
        <v>2.4</v>
      </c>
      <c r="H204" s="44">
        <v>20.5</v>
      </c>
      <c r="I204" s="44">
        <f t="shared" si="9"/>
        <v>49.2</v>
      </c>
      <c r="J204" s="44" t="s">
        <v>368</v>
      </c>
    </row>
    <row r="205" spans="1:10">
      <c r="A205" s="42"/>
      <c r="B205" s="54"/>
      <c r="C205" s="54"/>
      <c r="D205" s="43" t="s">
        <v>384</v>
      </c>
      <c r="E205" s="43"/>
      <c r="F205" s="56" t="s">
        <v>367</v>
      </c>
      <c r="G205" s="43">
        <v>0</v>
      </c>
      <c r="H205" s="44">
        <v>0</v>
      </c>
      <c r="I205" s="44">
        <f t="shared" si="9"/>
        <v>0</v>
      </c>
      <c r="J205" s="44" t="s">
        <v>368</v>
      </c>
    </row>
    <row r="206" spans="1:10">
      <c r="A206" s="42"/>
      <c r="B206" s="54"/>
      <c r="C206" s="54"/>
      <c r="D206" s="43"/>
      <c r="E206" s="43"/>
      <c r="F206" s="42"/>
      <c r="G206" s="43"/>
      <c r="H206" s="44"/>
      <c r="I206" s="44">
        <f t="shared" si="9"/>
        <v>0</v>
      </c>
      <c r="J206" s="44" t="s">
        <v>368</v>
      </c>
    </row>
    <row r="207" spans="1:10">
      <c r="A207" s="42">
        <v>5</v>
      </c>
      <c r="B207" s="43" t="s">
        <v>385</v>
      </c>
      <c r="C207" s="43"/>
      <c r="D207" s="43"/>
      <c r="E207" s="43"/>
      <c r="F207" s="43" t="s">
        <v>367</v>
      </c>
      <c r="G207" s="43">
        <v>2.4</v>
      </c>
      <c r="H207" s="44">
        <v>3</v>
      </c>
      <c r="I207" s="44">
        <f t="shared" si="9"/>
        <v>7.2</v>
      </c>
      <c r="J207" s="44" t="s">
        <v>368</v>
      </c>
    </row>
    <row r="208" spans="1:10">
      <c r="A208" s="42">
        <v>6</v>
      </c>
      <c r="B208" s="43" t="s">
        <v>386</v>
      </c>
      <c r="C208" s="43"/>
      <c r="D208" s="56" t="s">
        <v>387</v>
      </c>
      <c r="E208" s="43"/>
      <c r="F208" s="43" t="s">
        <v>367</v>
      </c>
      <c r="G208" s="57">
        <f>I195+I196+I197+I198+I199+I200+I201+I204+I207</f>
        <v>448.878</v>
      </c>
      <c r="H208" s="58"/>
      <c r="I208" s="63"/>
      <c r="J208" s="64"/>
    </row>
    <row r="209" ht="36" spans="1:10">
      <c r="A209" s="42">
        <v>7</v>
      </c>
      <c r="B209" s="43" t="s">
        <v>388</v>
      </c>
      <c r="C209" s="43"/>
      <c r="D209" s="59" t="s">
        <v>389</v>
      </c>
      <c r="E209" s="60">
        <v>0.05</v>
      </c>
      <c r="F209" s="43" t="s">
        <v>367</v>
      </c>
      <c r="G209" s="43">
        <f>G208*E209</f>
        <v>22.4439</v>
      </c>
      <c r="H209" s="43"/>
      <c r="I209" s="43"/>
      <c r="J209" s="64" t="s">
        <v>390</v>
      </c>
    </row>
    <row r="210" spans="1:10">
      <c r="A210" s="61">
        <v>8</v>
      </c>
      <c r="B210" s="61" t="s">
        <v>391</v>
      </c>
      <c r="C210" s="61"/>
      <c r="D210" s="61" t="s">
        <v>392</v>
      </c>
      <c r="E210" s="61"/>
      <c r="F210" s="43" t="s">
        <v>367</v>
      </c>
      <c r="G210" s="61">
        <f>G209+G208</f>
        <v>471.3219</v>
      </c>
      <c r="H210" s="61"/>
      <c r="I210" s="61"/>
      <c r="J210" s="65">
        <f>G210/H192</f>
        <v>196.384125</v>
      </c>
    </row>
  </sheetData>
  <mergeCells count="431">
    <mergeCell ref="A1:J1"/>
    <mergeCell ref="A2:C2"/>
    <mergeCell ref="D2:E2"/>
    <mergeCell ref="F2:G2"/>
    <mergeCell ref="I2:J2"/>
    <mergeCell ref="A3:C3"/>
    <mergeCell ref="F3:G3"/>
    <mergeCell ref="H3:J3"/>
    <mergeCell ref="B6:E6"/>
    <mergeCell ref="B7:E7"/>
    <mergeCell ref="D8:E8"/>
    <mergeCell ref="D9:E9"/>
    <mergeCell ref="D10:E10"/>
    <mergeCell ref="D11:E11"/>
    <mergeCell ref="B12:C12"/>
    <mergeCell ref="D12:E12"/>
    <mergeCell ref="D13:E13"/>
    <mergeCell ref="D14:E14"/>
    <mergeCell ref="D15:E15"/>
    <mergeCell ref="D16:E16"/>
    <mergeCell ref="D17:E17"/>
    <mergeCell ref="B18:E18"/>
    <mergeCell ref="B19:C19"/>
    <mergeCell ref="D19:E19"/>
    <mergeCell ref="G19:I19"/>
    <mergeCell ref="B20:C20"/>
    <mergeCell ref="G20:I20"/>
    <mergeCell ref="B21:C21"/>
    <mergeCell ref="D21:E21"/>
    <mergeCell ref="G21:I21"/>
    <mergeCell ref="A23:C23"/>
    <mergeCell ref="D23:E23"/>
    <mergeCell ref="F23:G23"/>
    <mergeCell ref="I23:J23"/>
    <mergeCell ref="A24:C24"/>
    <mergeCell ref="F24:G24"/>
    <mergeCell ref="H24:J24"/>
    <mergeCell ref="B27:E27"/>
    <mergeCell ref="B28:E28"/>
    <mergeCell ref="D29:E29"/>
    <mergeCell ref="D30:E30"/>
    <mergeCell ref="D31:E31"/>
    <mergeCell ref="D32:E32"/>
    <mergeCell ref="B33:C33"/>
    <mergeCell ref="D33:E33"/>
    <mergeCell ref="D34:E34"/>
    <mergeCell ref="D35:E35"/>
    <mergeCell ref="D36:E36"/>
    <mergeCell ref="D37:E37"/>
    <mergeCell ref="D38:E38"/>
    <mergeCell ref="B39:E39"/>
    <mergeCell ref="B40:C40"/>
    <mergeCell ref="D40:E40"/>
    <mergeCell ref="G40:I40"/>
    <mergeCell ref="B41:C41"/>
    <mergeCell ref="G41:I41"/>
    <mergeCell ref="B42:C42"/>
    <mergeCell ref="D42:E42"/>
    <mergeCell ref="G42:I42"/>
    <mergeCell ref="A44:C44"/>
    <mergeCell ref="D44:E44"/>
    <mergeCell ref="F44:G44"/>
    <mergeCell ref="I44:J44"/>
    <mergeCell ref="A45:C45"/>
    <mergeCell ref="F45:G45"/>
    <mergeCell ref="H45:J45"/>
    <mergeCell ref="B48:E48"/>
    <mergeCell ref="B49:E49"/>
    <mergeCell ref="D50:E50"/>
    <mergeCell ref="D51:E51"/>
    <mergeCell ref="D52:E52"/>
    <mergeCell ref="D53:E53"/>
    <mergeCell ref="B54:C54"/>
    <mergeCell ref="D54:E54"/>
    <mergeCell ref="D55:E55"/>
    <mergeCell ref="D56:E56"/>
    <mergeCell ref="D57:E57"/>
    <mergeCell ref="D58:E58"/>
    <mergeCell ref="D59:E59"/>
    <mergeCell ref="B60:E60"/>
    <mergeCell ref="B61:C61"/>
    <mergeCell ref="D61:E61"/>
    <mergeCell ref="G61:I61"/>
    <mergeCell ref="B62:C62"/>
    <mergeCell ref="G62:I62"/>
    <mergeCell ref="B63:C63"/>
    <mergeCell ref="D63:E63"/>
    <mergeCell ref="G63:I63"/>
    <mergeCell ref="A65:C65"/>
    <mergeCell ref="D65:E65"/>
    <mergeCell ref="F65:G65"/>
    <mergeCell ref="I65:J65"/>
    <mergeCell ref="A66:C66"/>
    <mergeCell ref="F66:G66"/>
    <mergeCell ref="H66:J66"/>
    <mergeCell ref="B69:E69"/>
    <mergeCell ref="B70:E70"/>
    <mergeCell ref="D71:E71"/>
    <mergeCell ref="D72:E72"/>
    <mergeCell ref="D73:E73"/>
    <mergeCell ref="D74:E74"/>
    <mergeCell ref="B75:C75"/>
    <mergeCell ref="D75:E75"/>
    <mergeCell ref="D76:E76"/>
    <mergeCell ref="D77:E77"/>
    <mergeCell ref="D78:E78"/>
    <mergeCell ref="D79:E79"/>
    <mergeCell ref="D80:E80"/>
    <mergeCell ref="B81:E81"/>
    <mergeCell ref="B82:C82"/>
    <mergeCell ref="D82:E82"/>
    <mergeCell ref="G82:I82"/>
    <mergeCell ref="B83:C83"/>
    <mergeCell ref="G83:I83"/>
    <mergeCell ref="B84:C84"/>
    <mergeCell ref="D84:E84"/>
    <mergeCell ref="G84:I84"/>
    <mergeCell ref="A86:C86"/>
    <mergeCell ref="D86:E86"/>
    <mergeCell ref="F86:G86"/>
    <mergeCell ref="I86:J86"/>
    <mergeCell ref="A87:C87"/>
    <mergeCell ref="F87:G87"/>
    <mergeCell ref="H87:J87"/>
    <mergeCell ref="B90:E90"/>
    <mergeCell ref="B91:E91"/>
    <mergeCell ref="D92:E92"/>
    <mergeCell ref="D93:E93"/>
    <mergeCell ref="D94:E94"/>
    <mergeCell ref="D95:E95"/>
    <mergeCell ref="B96:C96"/>
    <mergeCell ref="D96:E96"/>
    <mergeCell ref="D97:E97"/>
    <mergeCell ref="D98:E98"/>
    <mergeCell ref="D99:E99"/>
    <mergeCell ref="D100:E100"/>
    <mergeCell ref="D101:E101"/>
    <mergeCell ref="B102:E102"/>
    <mergeCell ref="B103:C103"/>
    <mergeCell ref="D103:E103"/>
    <mergeCell ref="G103:I103"/>
    <mergeCell ref="B104:C104"/>
    <mergeCell ref="G104:I104"/>
    <mergeCell ref="B105:C105"/>
    <mergeCell ref="D105:E105"/>
    <mergeCell ref="G105:I105"/>
    <mergeCell ref="A107:C107"/>
    <mergeCell ref="D107:E107"/>
    <mergeCell ref="F107:G107"/>
    <mergeCell ref="I107:J107"/>
    <mergeCell ref="A108:C108"/>
    <mergeCell ref="F108:G108"/>
    <mergeCell ref="H108:J108"/>
    <mergeCell ref="B111:E111"/>
    <mergeCell ref="B112:E112"/>
    <mergeCell ref="D113:E113"/>
    <mergeCell ref="D114:E114"/>
    <mergeCell ref="D115:E115"/>
    <mergeCell ref="D116:E116"/>
    <mergeCell ref="B117:C117"/>
    <mergeCell ref="D117:E117"/>
    <mergeCell ref="D118:E118"/>
    <mergeCell ref="D119:E119"/>
    <mergeCell ref="D120:E120"/>
    <mergeCell ref="D121:E121"/>
    <mergeCell ref="D122:E122"/>
    <mergeCell ref="B123:E123"/>
    <mergeCell ref="B124:C124"/>
    <mergeCell ref="D124:E124"/>
    <mergeCell ref="G124:I124"/>
    <mergeCell ref="B125:C125"/>
    <mergeCell ref="G125:I125"/>
    <mergeCell ref="B126:C126"/>
    <mergeCell ref="D126:E126"/>
    <mergeCell ref="G126:I126"/>
    <mergeCell ref="A128:C128"/>
    <mergeCell ref="D128:E128"/>
    <mergeCell ref="F128:G128"/>
    <mergeCell ref="I128:J128"/>
    <mergeCell ref="A129:C129"/>
    <mergeCell ref="F129:G129"/>
    <mergeCell ref="H129:J129"/>
    <mergeCell ref="B132:E132"/>
    <mergeCell ref="B133:E133"/>
    <mergeCell ref="D134:E134"/>
    <mergeCell ref="D135:E135"/>
    <mergeCell ref="D136:E136"/>
    <mergeCell ref="D137:E137"/>
    <mergeCell ref="B138:C138"/>
    <mergeCell ref="D138:E138"/>
    <mergeCell ref="D139:E139"/>
    <mergeCell ref="D140:E140"/>
    <mergeCell ref="D141:E141"/>
    <mergeCell ref="D142:E142"/>
    <mergeCell ref="D143:E143"/>
    <mergeCell ref="B144:E144"/>
    <mergeCell ref="B145:C145"/>
    <mergeCell ref="D145:E145"/>
    <mergeCell ref="G145:I145"/>
    <mergeCell ref="B146:C146"/>
    <mergeCell ref="G146:I146"/>
    <mergeCell ref="B147:C147"/>
    <mergeCell ref="D147:E147"/>
    <mergeCell ref="G147:I147"/>
    <mergeCell ref="A149:C149"/>
    <mergeCell ref="D149:E149"/>
    <mergeCell ref="F149:G149"/>
    <mergeCell ref="I149:J149"/>
    <mergeCell ref="A150:C150"/>
    <mergeCell ref="F150:G150"/>
    <mergeCell ref="H150:J150"/>
    <mergeCell ref="B153:E153"/>
    <mergeCell ref="B154:E154"/>
    <mergeCell ref="D155:E155"/>
    <mergeCell ref="D156:E156"/>
    <mergeCell ref="D157:E157"/>
    <mergeCell ref="D158:E158"/>
    <mergeCell ref="B159:C159"/>
    <mergeCell ref="D159:E159"/>
    <mergeCell ref="D160:E160"/>
    <mergeCell ref="D161:E161"/>
    <mergeCell ref="D162:E162"/>
    <mergeCell ref="D163:E163"/>
    <mergeCell ref="D164:E164"/>
    <mergeCell ref="B165:E165"/>
    <mergeCell ref="B166:C166"/>
    <mergeCell ref="D166:E166"/>
    <mergeCell ref="G166:I166"/>
    <mergeCell ref="B167:C167"/>
    <mergeCell ref="G167:I167"/>
    <mergeCell ref="B168:C168"/>
    <mergeCell ref="D168:E168"/>
    <mergeCell ref="G168:I168"/>
    <mergeCell ref="A170:C170"/>
    <mergeCell ref="D170:E170"/>
    <mergeCell ref="F170:G170"/>
    <mergeCell ref="I170:J170"/>
    <mergeCell ref="A171:C171"/>
    <mergeCell ref="F171:G171"/>
    <mergeCell ref="H171:J171"/>
    <mergeCell ref="B174:E174"/>
    <mergeCell ref="B175:E175"/>
    <mergeCell ref="D176:E176"/>
    <mergeCell ref="D177:E177"/>
    <mergeCell ref="D178:E178"/>
    <mergeCell ref="D179:E179"/>
    <mergeCell ref="B180:C180"/>
    <mergeCell ref="D180:E180"/>
    <mergeCell ref="D181:E181"/>
    <mergeCell ref="D182:E182"/>
    <mergeCell ref="D183:E183"/>
    <mergeCell ref="D184:E184"/>
    <mergeCell ref="D185:E185"/>
    <mergeCell ref="B186:E186"/>
    <mergeCell ref="B187:C187"/>
    <mergeCell ref="D187:E187"/>
    <mergeCell ref="G187:I187"/>
    <mergeCell ref="B188:C188"/>
    <mergeCell ref="G188:I188"/>
    <mergeCell ref="B189:C189"/>
    <mergeCell ref="D189:E189"/>
    <mergeCell ref="G189:I189"/>
    <mergeCell ref="A191:C191"/>
    <mergeCell ref="D191:E191"/>
    <mergeCell ref="F191:G191"/>
    <mergeCell ref="I191:J191"/>
    <mergeCell ref="A192:C192"/>
    <mergeCell ref="F192:G192"/>
    <mergeCell ref="H192:J192"/>
    <mergeCell ref="B195:E195"/>
    <mergeCell ref="B196:E196"/>
    <mergeCell ref="D197:E197"/>
    <mergeCell ref="D198:E198"/>
    <mergeCell ref="D199:E199"/>
    <mergeCell ref="D200:E200"/>
    <mergeCell ref="B201:C201"/>
    <mergeCell ref="D201:E201"/>
    <mergeCell ref="D202:E202"/>
    <mergeCell ref="D203:E203"/>
    <mergeCell ref="D204:E204"/>
    <mergeCell ref="D205:E205"/>
    <mergeCell ref="D206:E206"/>
    <mergeCell ref="B207:E207"/>
    <mergeCell ref="B208:C208"/>
    <mergeCell ref="D208:E208"/>
    <mergeCell ref="G208:I208"/>
    <mergeCell ref="B209:C209"/>
    <mergeCell ref="G209:I209"/>
    <mergeCell ref="B210:C210"/>
    <mergeCell ref="D210:E210"/>
    <mergeCell ref="G210:I210"/>
    <mergeCell ref="A4:A5"/>
    <mergeCell ref="A6:A7"/>
    <mergeCell ref="A8:A12"/>
    <mergeCell ref="A13:A14"/>
    <mergeCell ref="A15:A17"/>
    <mergeCell ref="A25:A26"/>
    <mergeCell ref="A27:A28"/>
    <mergeCell ref="A29:A33"/>
    <mergeCell ref="A34:A35"/>
    <mergeCell ref="A36:A38"/>
    <mergeCell ref="A46:A47"/>
    <mergeCell ref="A48:A49"/>
    <mergeCell ref="A50:A54"/>
    <mergeCell ref="A55:A56"/>
    <mergeCell ref="A57:A59"/>
    <mergeCell ref="A67:A68"/>
    <mergeCell ref="A69:A70"/>
    <mergeCell ref="A71:A75"/>
    <mergeCell ref="A76:A77"/>
    <mergeCell ref="A78:A80"/>
    <mergeCell ref="A88:A89"/>
    <mergeCell ref="A90:A91"/>
    <mergeCell ref="A92:A96"/>
    <mergeCell ref="A97:A98"/>
    <mergeCell ref="A99:A101"/>
    <mergeCell ref="A109:A110"/>
    <mergeCell ref="A111:A112"/>
    <mergeCell ref="A113:A117"/>
    <mergeCell ref="A118:A119"/>
    <mergeCell ref="A120:A122"/>
    <mergeCell ref="A130:A131"/>
    <mergeCell ref="A132:A133"/>
    <mergeCell ref="A134:A138"/>
    <mergeCell ref="A139:A140"/>
    <mergeCell ref="A141:A143"/>
    <mergeCell ref="A151:A152"/>
    <mergeCell ref="A153:A154"/>
    <mergeCell ref="A155:A159"/>
    <mergeCell ref="A160:A161"/>
    <mergeCell ref="A162:A164"/>
    <mergeCell ref="A172:A173"/>
    <mergeCell ref="A174:A175"/>
    <mergeCell ref="A176:A180"/>
    <mergeCell ref="A181:A182"/>
    <mergeCell ref="A183:A185"/>
    <mergeCell ref="A193:A194"/>
    <mergeCell ref="A195:A196"/>
    <mergeCell ref="A197:A201"/>
    <mergeCell ref="A202:A203"/>
    <mergeCell ref="A204:A206"/>
    <mergeCell ref="F4:F5"/>
    <mergeCell ref="F25:F26"/>
    <mergeCell ref="F46:F47"/>
    <mergeCell ref="F67:F68"/>
    <mergeCell ref="F88:F89"/>
    <mergeCell ref="F109:F110"/>
    <mergeCell ref="F130:F131"/>
    <mergeCell ref="F151:F152"/>
    <mergeCell ref="F172:F173"/>
    <mergeCell ref="F193:F194"/>
    <mergeCell ref="G4:G5"/>
    <mergeCell ref="G25:G26"/>
    <mergeCell ref="G46:G47"/>
    <mergeCell ref="G67:G68"/>
    <mergeCell ref="G88:G89"/>
    <mergeCell ref="G109:G110"/>
    <mergeCell ref="G130:G131"/>
    <mergeCell ref="G151:G152"/>
    <mergeCell ref="G172:G173"/>
    <mergeCell ref="G193:G194"/>
    <mergeCell ref="H4:H5"/>
    <mergeCell ref="H25:H26"/>
    <mergeCell ref="H46:H47"/>
    <mergeCell ref="H67:H68"/>
    <mergeCell ref="H88:H89"/>
    <mergeCell ref="H109:H110"/>
    <mergeCell ref="H130:H131"/>
    <mergeCell ref="H151:H152"/>
    <mergeCell ref="H172:H173"/>
    <mergeCell ref="H193:H194"/>
    <mergeCell ref="I4:I5"/>
    <mergeCell ref="I25:I26"/>
    <mergeCell ref="I46:I47"/>
    <mergeCell ref="I67:I68"/>
    <mergeCell ref="I88:I89"/>
    <mergeCell ref="I109:I110"/>
    <mergeCell ref="I130:I131"/>
    <mergeCell ref="I151:I152"/>
    <mergeCell ref="I172:I173"/>
    <mergeCell ref="I193:I194"/>
    <mergeCell ref="J4:J5"/>
    <mergeCell ref="J25:J26"/>
    <mergeCell ref="J46:J47"/>
    <mergeCell ref="J67:J68"/>
    <mergeCell ref="J88:J89"/>
    <mergeCell ref="J109:J110"/>
    <mergeCell ref="J130:J131"/>
    <mergeCell ref="J151:J152"/>
    <mergeCell ref="J172:J173"/>
    <mergeCell ref="J193:J194"/>
    <mergeCell ref="B4:C5"/>
    <mergeCell ref="D4:E5"/>
    <mergeCell ref="B13:C17"/>
    <mergeCell ref="B8:C11"/>
    <mergeCell ref="B25:C26"/>
    <mergeCell ref="D25:E26"/>
    <mergeCell ref="B29:C32"/>
    <mergeCell ref="B34:C38"/>
    <mergeCell ref="B46:C47"/>
    <mergeCell ref="D46:E47"/>
    <mergeCell ref="B50:C53"/>
    <mergeCell ref="B55:C59"/>
    <mergeCell ref="B67:C68"/>
    <mergeCell ref="D67:E68"/>
    <mergeCell ref="B71:C74"/>
    <mergeCell ref="B76:C80"/>
    <mergeCell ref="B88:C89"/>
    <mergeCell ref="D88:E89"/>
    <mergeCell ref="B92:C95"/>
    <mergeCell ref="B97:C101"/>
    <mergeCell ref="B109:C110"/>
    <mergeCell ref="D109:E110"/>
    <mergeCell ref="B113:C116"/>
    <mergeCell ref="B118:C122"/>
    <mergeCell ref="B130:C131"/>
    <mergeCell ref="D130:E131"/>
    <mergeCell ref="B134:C137"/>
    <mergeCell ref="B139:C143"/>
    <mergeCell ref="B151:C152"/>
    <mergeCell ref="D151:E152"/>
    <mergeCell ref="B155:C158"/>
    <mergeCell ref="B160:C164"/>
    <mergeCell ref="B172:C173"/>
    <mergeCell ref="D172:E173"/>
    <mergeCell ref="B176:C179"/>
    <mergeCell ref="B181:C185"/>
    <mergeCell ref="B193:C194"/>
    <mergeCell ref="D193:E194"/>
    <mergeCell ref="B197:C200"/>
    <mergeCell ref="B202:C20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4"/>
  <sheetViews>
    <sheetView zoomScale="115" zoomScaleNormal="115" topLeftCell="A175" workbookViewId="0">
      <selection activeCell="F193" sqref="F193"/>
    </sheetView>
  </sheetViews>
  <sheetFormatPr defaultColWidth="9" defaultRowHeight="24.95" customHeight="1"/>
  <cols>
    <col min="1" max="1" width="9" style="2"/>
    <col min="2" max="2" width="12.6083333333333" style="2" customWidth="1"/>
    <col min="3" max="3" width="14.3833333333333" style="1" customWidth="1"/>
    <col min="4" max="4" width="21.8833333333333" style="2" customWidth="1"/>
    <col min="5" max="5" width="6.63333333333333" style="2" customWidth="1"/>
    <col min="6" max="6" width="14.1333333333333" style="2" customWidth="1"/>
    <col min="7" max="7" width="15.75" style="2" customWidth="1"/>
    <col min="8" max="8" width="13.6333333333333" style="2" customWidth="1"/>
    <col min="9" max="9" width="17.6333333333333" style="2" customWidth="1"/>
    <col min="10" max="16384" width="9" style="2"/>
  </cols>
  <sheetData>
    <row r="1" ht="35.25" customHeight="1" spans="1:9">
      <c r="A1" s="3"/>
      <c r="B1" s="3"/>
      <c r="C1" s="4" t="str">
        <f>结算明细表!B5</f>
        <v>阳台预留洞栏杆 1020mm  </v>
      </c>
      <c r="D1" s="4"/>
      <c r="E1" s="5" t="s">
        <v>402</v>
      </c>
      <c r="F1" s="5"/>
      <c r="G1" s="5"/>
      <c r="H1" s="5"/>
      <c r="I1" s="5"/>
    </row>
    <row r="2" customHeight="1" spans="1:9">
      <c r="A2" s="6" t="s">
        <v>1</v>
      </c>
      <c r="B2" s="7" t="s">
        <v>403</v>
      </c>
      <c r="C2" s="6" t="s">
        <v>404</v>
      </c>
      <c r="D2" s="6"/>
      <c r="E2" s="6"/>
      <c r="F2" s="6"/>
      <c r="G2" s="6"/>
      <c r="H2" s="6"/>
      <c r="I2" s="6"/>
    </row>
    <row r="3" s="1" customFormat="1" customHeight="1" spans="1:9">
      <c r="A3" s="6"/>
      <c r="B3" s="8"/>
      <c r="C3" s="8" t="s">
        <v>405</v>
      </c>
      <c r="D3" s="8"/>
      <c r="E3" s="8" t="s">
        <v>87</v>
      </c>
      <c r="F3" s="8" t="s">
        <v>406</v>
      </c>
      <c r="G3" s="8" t="s">
        <v>407</v>
      </c>
      <c r="H3" s="8" t="s">
        <v>408</v>
      </c>
      <c r="I3" s="8" t="s">
        <v>6</v>
      </c>
    </row>
    <row r="4" customHeight="1" spans="1:9">
      <c r="A4" s="9">
        <v>2</v>
      </c>
      <c r="B4" s="10" t="s">
        <v>95</v>
      </c>
      <c r="C4" s="9" t="s">
        <v>409</v>
      </c>
      <c r="D4" s="11" t="s">
        <v>366</v>
      </c>
      <c r="E4" s="9" t="s">
        <v>96</v>
      </c>
      <c r="F4" s="9">
        <v>1</v>
      </c>
      <c r="G4" s="12">
        <v>15</v>
      </c>
      <c r="H4" s="12">
        <f>F4*G4</f>
        <v>15</v>
      </c>
      <c r="I4" s="9"/>
    </row>
    <row r="5" customHeight="1" spans="1:9">
      <c r="A5" s="9"/>
      <c r="B5" s="10"/>
      <c r="C5" s="9" t="s">
        <v>410</v>
      </c>
      <c r="D5" s="11" t="s">
        <v>369</v>
      </c>
      <c r="E5" s="9" t="s">
        <v>96</v>
      </c>
      <c r="F5" s="13">
        <v>1</v>
      </c>
      <c r="G5" s="12">
        <v>15</v>
      </c>
      <c r="H5" s="12">
        <f t="shared" ref="H5:H16" si="0">F5*G5</f>
        <v>15</v>
      </c>
      <c r="I5" s="9"/>
    </row>
    <row r="6" customHeight="1" spans="1:9">
      <c r="A6" s="9"/>
      <c r="B6" s="10"/>
      <c r="C6" s="9" t="s">
        <v>411</v>
      </c>
      <c r="D6" s="11" t="s">
        <v>412</v>
      </c>
      <c r="E6" s="9" t="s">
        <v>96</v>
      </c>
      <c r="F6" s="9">
        <v>1</v>
      </c>
      <c r="G6" s="12">
        <v>4</v>
      </c>
      <c r="H6" s="12">
        <v>4</v>
      </c>
      <c r="I6" s="9"/>
    </row>
    <row r="7" customHeight="1" spans="1:9">
      <c r="A7" s="9"/>
      <c r="B7" s="10"/>
      <c r="C7" s="14" t="s">
        <v>413</v>
      </c>
      <c r="D7" s="11" t="s">
        <v>414</v>
      </c>
      <c r="E7" s="9" t="s">
        <v>372</v>
      </c>
      <c r="F7" s="15">
        <v>1.52</v>
      </c>
      <c r="G7" s="12">
        <v>4.6</v>
      </c>
      <c r="H7" s="12">
        <f>F7*G7</f>
        <v>6.992</v>
      </c>
      <c r="I7" s="22" t="s">
        <v>415</v>
      </c>
    </row>
    <row r="8" customHeight="1" spans="1:9">
      <c r="A8" s="9"/>
      <c r="B8" s="10"/>
      <c r="C8" s="16"/>
      <c r="D8" s="11" t="s">
        <v>416</v>
      </c>
      <c r="E8" s="9" t="s">
        <v>372</v>
      </c>
      <c r="F8" s="12">
        <v>2.55</v>
      </c>
      <c r="G8" s="12">
        <v>4.8</v>
      </c>
      <c r="H8" s="12">
        <f>F8*G8</f>
        <v>12.24</v>
      </c>
      <c r="I8" s="22" t="s">
        <v>415</v>
      </c>
    </row>
    <row r="9" customHeight="1" spans="1:9">
      <c r="A9" s="9"/>
      <c r="B9" s="10"/>
      <c r="C9" s="16"/>
      <c r="D9" s="11" t="s">
        <v>417</v>
      </c>
      <c r="E9" s="9" t="s">
        <v>96</v>
      </c>
      <c r="F9" s="12">
        <v>1</v>
      </c>
      <c r="G9" s="12">
        <v>12</v>
      </c>
      <c r="H9" s="12">
        <f t="shared" si="0"/>
        <v>12</v>
      </c>
      <c r="I9" s="12"/>
    </row>
    <row r="10" customHeight="1" spans="1:9">
      <c r="A10" s="9"/>
      <c r="B10" s="10"/>
      <c r="C10" s="16"/>
      <c r="D10" s="11" t="s">
        <v>65</v>
      </c>
      <c r="E10" s="9"/>
      <c r="F10" s="12"/>
      <c r="G10" s="12"/>
      <c r="H10" s="12">
        <f t="shared" si="0"/>
        <v>0</v>
      </c>
      <c r="I10" s="12"/>
    </row>
    <row r="11" customHeight="1" spans="1:9">
      <c r="A11" s="9"/>
      <c r="B11" s="10"/>
      <c r="C11" s="17"/>
      <c r="F11" s="9"/>
      <c r="G11" s="12"/>
      <c r="H11" s="12">
        <f t="shared" si="0"/>
        <v>0</v>
      </c>
      <c r="I11" s="9"/>
    </row>
    <row r="12" customHeight="1" spans="1:9">
      <c r="A12" s="9"/>
      <c r="B12" s="10"/>
      <c r="C12" s="9" t="s">
        <v>418</v>
      </c>
      <c r="D12" s="11" t="s">
        <v>419</v>
      </c>
      <c r="E12" s="9" t="s">
        <v>378</v>
      </c>
      <c r="F12" s="9">
        <v>4</v>
      </c>
      <c r="G12" s="12">
        <v>0.3</v>
      </c>
      <c r="H12" s="12">
        <f t="shared" si="0"/>
        <v>1.2</v>
      </c>
      <c r="I12" s="22" t="s">
        <v>415</v>
      </c>
    </row>
    <row r="13" customHeight="1" spans="1:9">
      <c r="A13" s="9"/>
      <c r="B13" s="10"/>
      <c r="C13" s="9"/>
      <c r="D13" s="11" t="s">
        <v>420</v>
      </c>
      <c r="E13" s="9" t="s">
        <v>421</v>
      </c>
      <c r="F13" s="9">
        <v>4</v>
      </c>
      <c r="G13" s="12">
        <v>0.15</v>
      </c>
      <c r="H13" s="12">
        <f t="shared" si="0"/>
        <v>0.6</v>
      </c>
      <c r="I13" s="22" t="s">
        <v>415</v>
      </c>
    </row>
    <row r="14" customHeight="1" spans="1:9">
      <c r="A14" s="9"/>
      <c r="B14" s="10"/>
      <c r="C14" s="9"/>
      <c r="D14" s="11" t="s">
        <v>422</v>
      </c>
      <c r="E14" s="9" t="s">
        <v>378</v>
      </c>
      <c r="F14" s="9"/>
      <c r="G14" s="12"/>
      <c r="H14" s="12">
        <f t="shared" si="0"/>
        <v>0</v>
      </c>
      <c r="I14" s="9"/>
    </row>
    <row r="15" customHeight="1" spans="1:9">
      <c r="A15" s="9"/>
      <c r="B15" s="10"/>
      <c r="C15" s="9"/>
      <c r="D15" s="11" t="s">
        <v>423</v>
      </c>
      <c r="E15" s="9" t="s">
        <v>378</v>
      </c>
      <c r="F15" s="9">
        <v>4</v>
      </c>
      <c r="G15" s="12">
        <v>0.5</v>
      </c>
      <c r="H15" s="12">
        <f t="shared" si="0"/>
        <v>2</v>
      </c>
      <c r="I15" s="9"/>
    </row>
    <row r="16" customHeight="1" spans="1:9">
      <c r="A16" s="9"/>
      <c r="B16" s="10"/>
      <c r="C16" s="9"/>
      <c r="D16" s="11" t="s">
        <v>424</v>
      </c>
      <c r="E16" s="9" t="s">
        <v>96</v>
      </c>
      <c r="F16" s="9"/>
      <c r="G16" s="12"/>
      <c r="H16" s="12">
        <f t="shared" si="0"/>
        <v>0</v>
      </c>
      <c r="I16" s="9"/>
    </row>
    <row r="17" customHeight="1" spans="1:9">
      <c r="A17" s="9"/>
      <c r="B17" s="10"/>
      <c r="C17" s="9"/>
      <c r="D17" s="11" t="s">
        <v>65</v>
      </c>
      <c r="E17" s="11"/>
      <c r="F17" s="9"/>
      <c r="G17" s="12"/>
      <c r="H17" s="12"/>
      <c r="I17" s="9"/>
    </row>
    <row r="18" ht="39" customHeight="1" spans="1:9">
      <c r="A18" s="9"/>
      <c r="B18" s="10"/>
      <c r="C18" s="9" t="s">
        <v>425</v>
      </c>
      <c r="D18" s="11" t="s">
        <v>426</v>
      </c>
      <c r="E18" s="9" t="s">
        <v>96</v>
      </c>
      <c r="F18" s="18">
        <v>1</v>
      </c>
      <c r="G18" s="12"/>
      <c r="H18" s="12">
        <v>6.2</v>
      </c>
      <c r="I18" s="9"/>
    </row>
    <row r="19" customHeight="1" spans="1:9">
      <c r="A19" s="9"/>
      <c r="B19" s="10"/>
      <c r="C19" s="6" t="s">
        <v>427</v>
      </c>
      <c r="D19" s="19" t="s">
        <v>428</v>
      </c>
      <c r="E19" s="6"/>
      <c r="F19" s="9"/>
      <c r="G19" s="12"/>
      <c r="H19" s="12">
        <v>75.23</v>
      </c>
      <c r="I19" s="9"/>
    </row>
    <row r="20" customHeight="1" spans="1:9">
      <c r="A20" s="9"/>
      <c r="B20" s="10"/>
      <c r="C20" s="14" t="s">
        <v>429</v>
      </c>
      <c r="D20" s="11" t="s">
        <v>430</v>
      </c>
      <c r="E20" s="9" t="s">
        <v>96</v>
      </c>
      <c r="F20" s="9"/>
      <c r="G20" s="12"/>
      <c r="H20" s="12">
        <f>H15+H13+H12+H9+H8+H7</f>
        <v>35.032</v>
      </c>
      <c r="I20" s="9"/>
    </row>
    <row r="21" customHeight="1" spans="1:9">
      <c r="A21" s="9"/>
      <c r="B21" s="10"/>
      <c r="C21" s="17"/>
      <c r="D21" s="11" t="s">
        <v>431</v>
      </c>
      <c r="E21" s="9" t="s">
        <v>96</v>
      </c>
      <c r="F21" s="9"/>
      <c r="G21" s="9"/>
      <c r="H21" s="9">
        <f>H18+H4+H5+H6</f>
        <v>40.2</v>
      </c>
      <c r="I21" s="9"/>
    </row>
    <row r="22" customHeight="1" spans="1:9">
      <c r="A22" s="3"/>
      <c r="B22" s="3"/>
      <c r="C22" s="4" t="str">
        <f>结算明细表!B6</f>
        <v>阳台预留洞栏杆 920mm</v>
      </c>
      <c r="D22" s="4"/>
      <c r="E22" s="5" t="s">
        <v>402</v>
      </c>
      <c r="F22" s="5"/>
      <c r="G22" s="5"/>
      <c r="H22" s="5"/>
      <c r="I22" s="5"/>
    </row>
    <row r="23" customHeight="1" spans="1:9">
      <c r="A23" s="6" t="s">
        <v>1</v>
      </c>
      <c r="B23" s="7" t="s">
        <v>403</v>
      </c>
      <c r="C23" s="6" t="s">
        <v>404</v>
      </c>
      <c r="D23" s="6"/>
      <c r="E23" s="6"/>
      <c r="F23" s="6"/>
      <c r="G23" s="6"/>
      <c r="H23" s="6"/>
      <c r="I23" s="6"/>
    </row>
    <row r="24" customHeight="1" spans="1:9">
      <c r="A24" s="6"/>
      <c r="B24" s="8"/>
      <c r="C24" s="8" t="s">
        <v>405</v>
      </c>
      <c r="D24" s="8"/>
      <c r="E24" s="8" t="s">
        <v>87</v>
      </c>
      <c r="F24" s="8" t="s">
        <v>406</v>
      </c>
      <c r="G24" s="8" t="s">
        <v>407</v>
      </c>
      <c r="H24" s="8" t="s">
        <v>408</v>
      </c>
      <c r="I24" s="8" t="s">
        <v>6</v>
      </c>
    </row>
    <row r="25" customHeight="1" spans="1:9">
      <c r="A25" s="9">
        <v>3</v>
      </c>
      <c r="B25" s="10" t="str">
        <f>结算明细表!B6</f>
        <v>阳台预留洞栏杆 920mm</v>
      </c>
      <c r="C25" s="9" t="s">
        <v>409</v>
      </c>
      <c r="D25" s="11" t="s">
        <v>366</v>
      </c>
      <c r="E25" s="9" t="s">
        <v>96</v>
      </c>
      <c r="F25" s="9">
        <v>1</v>
      </c>
      <c r="G25" s="12">
        <v>15</v>
      </c>
      <c r="H25" s="12">
        <f t="shared" ref="H25:H37" si="1">F25*G25</f>
        <v>15</v>
      </c>
      <c r="I25" s="9"/>
    </row>
    <row r="26" customHeight="1" spans="1:9">
      <c r="A26" s="9"/>
      <c r="B26" s="10"/>
      <c r="C26" s="9" t="s">
        <v>410</v>
      </c>
      <c r="D26" s="11" t="s">
        <v>369</v>
      </c>
      <c r="E26" s="9" t="s">
        <v>96</v>
      </c>
      <c r="F26" s="13">
        <v>1</v>
      </c>
      <c r="G26" s="12">
        <v>15</v>
      </c>
      <c r="H26" s="12">
        <f t="shared" si="1"/>
        <v>15</v>
      </c>
      <c r="I26" s="9"/>
    </row>
    <row r="27" customHeight="1" spans="1:9">
      <c r="A27" s="9"/>
      <c r="B27" s="10"/>
      <c r="C27" s="9" t="s">
        <v>411</v>
      </c>
      <c r="D27" s="11" t="s">
        <v>412</v>
      </c>
      <c r="E27" s="9" t="s">
        <v>96</v>
      </c>
      <c r="F27" s="9">
        <v>1</v>
      </c>
      <c r="G27" s="12">
        <v>4</v>
      </c>
      <c r="H27" s="12">
        <v>4</v>
      </c>
      <c r="I27" s="9"/>
    </row>
    <row r="28" customHeight="1" spans="1:9">
      <c r="A28" s="9"/>
      <c r="B28" s="10"/>
      <c r="C28" s="14" t="s">
        <v>413</v>
      </c>
      <c r="D28" s="11" t="s">
        <v>414</v>
      </c>
      <c r="E28" s="9" t="s">
        <v>372</v>
      </c>
      <c r="F28" s="15">
        <v>1.52</v>
      </c>
      <c r="G28" s="12">
        <v>4.6</v>
      </c>
      <c r="H28" s="12">
        <f>F28*G28</f>
        <v>6.992</v>
      </c>
      <c r="I28" s="22" t="s">
        <v>415</v>
      </c>
    </row>
    <row r="29" customHeight="1" spans="1:9">
      <c r="A29" s="9"/>
      <c r="B29" s="10"/>
      <c r="C29" s="16"/>
      <c r="D29" s="11" t="s">
        <v>416</v>
      </c>
      <c r="E29" s="9" t="s">
        <v>372</v>
      </c>
      <c r="F29" s="12">
        <v>2.28</v>
      </c>
      <c r="G29" s="12">
        <v>4.8</v>
      </c>
      <c r="H29" s="12">
        <f>F29*G29</f>
        <v>10.944</v>
      </c>
      <c r="I29" s="22" t="s">
        <v>415</v>
      </c>
    </row>
    <row r="30" customHeight="1" spans="1:9">
      <c r="A30" s="9"/>
      <c r="B30" s="10"/>
      <c r="C30" s="16"/>
      <c r="D30" s="11" t="s">
        <v>417</v>
      </c>
      <c r="E30" s="9" t="s">
        <v>96</v>
      </c>
      <c r="F30" s="12">
        <v>1</v>
      </c>
      <c r="G30" s="12">
        <v>12</v>
      </c>
      <c r="H30" s="12">
        <f t="shared" si="1"/>
        <v>12</v>
      </c>
      <c r="I30" s="12"/>
    </row>
    <row r="31" customHeight="1" spans="1:9">
      <c r="A31" s="9"/>
      <c r="B31" s="10"/>
      <c r="C31" s="16"/>
      <c r="D31" s="11" t="s">
        <v>65</v>
      </c>
      <c r="E31" s="9"/>
      <c r="F31" s="12"/>
      <c r="G31" s="12"/>
      <c r="H31" s="12">
        <f t="shared" si="1"/>
        <v>0</v>
      </c>
      <c r="I31" s="12"/>
    </row>
    <row r="32" customHeight="1" spans="1:9">
      <c r="A32" s="9"/>
      <c r="B32" s="10"/>
      <c r="C32" s="17"/>
      <c r="F32" s="9"/>
      <c r="G32" s="12"/>
      <c r="H32" s="12">
        <f t="shared" si="1"/>
        <v>0</v>
      </c>
      <c r="I32" s="9"/>
    </row>
    <row r="33" customHeight="1" spans="1:9">
      <c r="A33" s="9"/>
      <c r="B33" s="10"/>
      <c r="C33" s="9" t="s">
        <v>418</v>
      </c>
      <c r="D33" s="11" t="s">
        <v>419</v>
      </c>
      <c r="E33" s="9" t="s">
        <v>378</v>
      </c>
      <c r="F33" s="9">
        <v>4</v>
      </c>
      <c r="G33" s="12">
        <v>0.3</v>
      </c>
      <c r="H33" s="12">
        <f t="shared" si="1"/>
        <v>1.2</v>
      </c>
      <c r="I33" s="22" t="s">
        <v>415</v>
      </c>
    </row>
    <row r="34" customHeight="1" spans="1:9">
      <c r="A34" s="9"/>
      <c r="B34" s="10"/>
      <c r="C34" s="9"/>
      <c r="D34" s="11" t="s">
        <v>420</v>
      </c>
      <c r="E34" s="9" t="s">
        <v>421</v>
      </c>
      <c r="F34" s="9">
        <v>4</v>
      </c>
      <c r="G34" s="12">
        <v>0.15</v>
      </c>
      <c r="H34" s="12">
        <f t="shared" si="1"/>
        <v>0.6</v>
      </c>
      <c r="I34" s="22" t="s">
        <v>415</v>
      </c>
    </row>
    <row r="35" customHeight="1" spans="1:9">
      <c r="A35" s="9"/>
      <c r="B35" s="10"/>
      <c r="C35" s="9"/>
      <c r="D35" s="11" t="s">
        <v>422</v>
      </c>
      <c r="E35" s="9" t="s">
        <v>378</v>
      </c>
      <c r="F35" s="9"/>
      <c r="G35" s="12"/>
      <c r="H35" s="12">
        <f t="shared" si="1"/>
        <v>0</v>
      </c>
      <c r="I35" s="9"/>
    </row>
    <row r="36" customHeight="1" spans="1:9">
      <c r="A36" s="9"/>
      <c r="B36" s="10"/>
      <c r="C36" s="9"/>
      <c r="D36" s="11" t="s">
        <v>423</v>
      </c>
      <c r="E36" s="9" t="s">
        <v>378</v>
      </c>
      <c r="F36" s="9">
        <v>4</v>
      </c>
      <c r="G36" s="12">
        <v>0.5</v>
      </c>
      <c r="H36" s="12">
        <f t="shared" si="1"/>
        <v>2</v>
      </c>
      <c r="I36" s="9"/>
    </row>
    <row r="37" customHeight="1" spans="1:9">
      <c r="A37" s="9"/>
      <c r="B37" s="10"/>
      <c r="C37" s="9"/>
      <c r="D37" s="11" t="s">
        <v>424</v>
      </c>
      <c r="E37" s="9" t="s">
        <v>96</v>
      </c>
      <c r="F37" s="9"/>
      <c r="G37" s="12"/>
      <c r="H37" s="12">
        <f t="shared" si="1"/>
        <v>0</v>
      </c>
      <c r="I37" s="9"/>
    </row>
    <row r="38" customHeight="1" spans="1:9">
      <c r="A38" s="9"/>
      <c r="B38" s="10"/>
      <c r="C38" s="9"/>
      <c r="D38" s="11" t="s">
        <v>65</v>
      </c>
      <c r="E38" s="11"/>
      <c r="F38" s="9"/>
      <c r="G38" s="12"/>
      <c r="H38" s="12"/>
      <c r="I38" s="9"/>
    </row>
    <row r="39" customHeight="1" spans="1:9">
      <c r="A39" s="9"/>
      <c r="B39" s="10"/>
      <c r="C39" s="9" t="s">
        <v>425</v>
      </c>
      <c r="D39" s="11" t="s">
        <v>426</v>
      </c>
      <c r="E39" s="9" t="s">
        <v>96</v>
      </c>
      <c r="F39" s="18">
        <v>1</v>
      </c>
      <c r="G39" s="12"/>
      <c r="H39" s="12">
        <v>5.71</v>
      </c>
      <c r="I39" s="9"/>
    </row>
    <row r="40" customHeight="1" spans="1:9">
      <c r="A40" s="9"/>
      <c r="B40" s="10"/>
      <c r="C40" s="6" t="s">
        <v>427</v>
      </c>
      <c r="D40" s="19" t="s">
        <v>428</v>
      </c>
      <c r="E40" s="6"/>
      <c r="F40" s="9"/>
      <c r="G40" s="12"/>
      <c r="H40" s="12">
        <v>73.45</v>
      </c>
      <c r="I40" s="9"/>
    </row>
    <row r="41" customHeight="1" spans="1:9">
      <c r="A41" s="9"/>
      <c r="B41" s="10"/>
      <c r="C41" s="14" t="s">
        <v>429</v>
      </c>
      <c r="D41" s="11" t="s">
        <v>430</v>
      </c>
      <c r="E41" s="9" t="s">
        <v>96</v>
      </c>
      <c r="F41" s="9"/>
      <c r="G41" s="12"/>
      <c r="H41" s="12">
        <f>H36+H34+H33+H30+H29+H28</f>
        <v>33.736</v>
      </c>
      <c r="I41" s="9"/>
    </row>
    <row r="42" customHeight="1" spans="1:9">
      <c r="A42" s="9"/>
      <c r="B42" s="10"/>
      <c r="C42" s="17"/>
      <c r="D42" s="11" t="s">
        <v>431</v>
      </c>
      <c r="E42" s="9" t="s">
        <v>96</v>
      </c>
      <c r="F42" s="9"/>
      <c r="G42" s="9"/>
      <c r="H42" s="9">
        <f>H39+H25+H26+H27</f>
        <v>39.71</v>
      </c>
      <c r="I42" s="9"/>
    </row>
    <row r="43" customHeight="1" spans="1:9">
      <c r="A43" s="3"/>
      <c r="B43" s="3"/>
      <c r="C43" s="4" t="str">
        <f>结算明细表!B7</f>
        <v>阳台栏杆 高1100mm L&gt;4M</v>
      </c>
      <c r="D43" s="4"/>
      <c r="E43" s="5" t="s">
        <v>402</v>
      </c>
      <c r="F43" s="5"/>
      <c r="G43" s="5"/>
      <c r="H43" s="5"/>
      <c r="I43" s="5"/>
    </row>
    <row r="44" customHeight="1" spans="1:9">
      <c r="A44" s="6" t="s">
        <v>1</v>
      </c>
      <c r="B44" s="7" t="s">
        <v>403</v>
      </c>
      <c r="C44" s="6" t="s">
        <v>404</v>
      </c>
      <c r="D44" s="6"/>
      <c r="E44" s="6"/>
      <c r="F44" s="6"/>
      <c r="G44" s="6"/>
      <c r="H44" s="6"/>
      <c r="I44" s="6"/>
    </row>
    <row r="45" customHeight="1" spans="1:9">
      <c r="A45" s="6"/>
      <c r="B45" s="8"/>
      <c r="C45" s="8" t="s">
        <v>405</v>
      </c>
      <c r="D45" s="8"/>
      <c r="E45" s="8" t="s">
        <v>87</v>
      </c>
      <c r="F45" s="8" t="s">
        <v>406</v>
      </c>
      <c r="G45" s="8" t="s">
        <v>407</v>
      </c>
      <c r="H45" s="8" t="s">
        <v>408</v>
      </c>
      <c r="I45" s="8" t="s">
        <v>6</v>
      </c>
    </row>
    <row r="46" customHeight="1" spans="1:9">
      <c r="A46" s="9">
        <f>结算明细表!A7</f>
        <v>4</v>
      </c>
      <c r="B46" s="10" t="str">
        <f>结算明细表!B7</f>
        <v>阳台栏杆 高1100mm L&gt;4M</v>
      </c>
      <c r="C46" s="9" t="s">
        <v>409</v>
      </c>
      <c r="D46" s="11" t="s">
        <v>366</v>
      </c>
      <c r="E46" s="9" t="s">
        <v>96</v>
      </c>
      <c r="F46" s="9">
        <v>1</v>
      </c>
      <c r="G46" s="12">
        <v>15</v>
      </c>
      <c r="H46" s="12">
        <f t="shared" ref="H46:H49" si="2">F46*G46</f>
        <v>15</v>
      </c>
      <c r="I46" s="9"/>
    </row>
    <row r="47" customHeight="1" spans="1:9">
      <c r="A47" s="9"/>
      <c r="B47" s="10"/>
      <c r="C47" s="9" t="s">
        <v>410</v>
      </c>
      <c r="D47" s="11" t="s">
        <v>369</v>
      </c>
      <c r="E47" s="9" t="s">
        <v>96</v>
      </c>
      <c r="F47" s="13">
        <v>1</v>
      </c>
      <c r="G47" s="12">
        <v>15</v>
      </c>
      <c r="H47" s="12">
        <f t="shared" si="2"/>
        <v>15</v>
      </c>
      <c r="I47" s="9"/>
    </row>
    <row r="48" customHeight="1" spans="1:9">
      <c r="A48" s="9"/>
      <c r="B48" s="10"/>
      <c r="C48" s="9" t="s">
        <v>411</v>
      </c>
      <c r="D48" s="11" t="s">
        <v>412</v>
      </c>
      <c r="E48" s="9" t="s">
        <v>96</v>
      </c>
      <c r="F48" s="9">
        <v>1</v>
      </c>
      <c r="G48" s="12">
        <v>4</v>
      </c>
      <c r="H48" s="12">
        <v>4</v>
      </c>
      <c r="I48" s="9"/>
    </row>
    <row r="49" customHeight="1" spans="1:9">
      <c r="A49" s="9"/>
      <c r="B49" s="10"/>
      <c r="C49" s="14" t="s">
        <v>413</v>
      </c>
      <c r="D49" s="11" t="s">
        <v>432</v>
      </c>
      <c r="E49" s="9" t="s">
        <v>372</v>
      </c>
      <c r="F49" s="15">
        <v>1.84</v>
      </c>
      <c r="G49" s="12">
        <v>4.6</v>
      </c>
      <c r="H49" s="12">
        <f>F49*G49</f>
        <v>8.464</v>
      </c>
      <c r="I49" s="22" t="s">
        <v>415</v>
      </c>
    </row>
    <row r="50" customHeight="1" spans="1:9">
      <c r="A50" s="9"/>
      <c r="B50" s="10"/>
      <c r="C50" s="16"/>
      <c r="D50" s="11" t="s">
        <v>433</v>
      </c>
      <c r="E50" s="9" t="s">
        <v>372</v>
      </c>
      <c r="F50" s="12">
        <v>2.91</v>
      </c>
      <c r="G50" s="12">
        <v>4.6</v>
      </c>
      <c r="H50" s="12">
        <f>F50*G50</f>
        <v>13.386</v>
      </c>
      <c r="I50" s="22" t="s">
        <v>415</v>
      </c>
    </row>
    <row r="51" s="2" customFormat="1" customHeight="1" spans="1:9">
      <c r="A51" s="9"/>
      <c r="B51" s="10"/>
      <c r="C51" s="16"/>
      <c r="D51" s="11" t="s">
        <v>434</v>
      </c>
      <c r="E51" s="9" t="s">
        <v>372</v>
      </c>
      <c r="F51" s="12">
        <v>2.7</v>
      </c>
      <c r="G51" s="12">
        <v>4.8</v>
      </c>
      <c r="H51" s="12">
        <f>F51*G51</f>
        <v>12.96</v>
      </c>
      <c r="I51" s="22"/>
    </row>
    <row r="52" s="2" customFormat="1" customHeight="1" spans="1:9">
      <c r="A52" s="9"/>
      <c r="B52" s="10"/>
      <c r="C52" s="16"/>
      <c r="D52" s="11" t="s">
        <v>435</v>
      </c>
      <c r="E52" s="9" t="s">
        <v>372</v>
      </c>
      <c r="F52" s="12">
        <v>1.95</v>
      </c>
      <c r="G52" s="12">
        <v>4.7</v>
      </c>
      <c r="H52" s="12">
        <f t="shared" ref="H51:H59" si="3">F52*G52</f>
        <v>9.165</v>
      </c>
      <c r="I52" s="22"/>
    </row>
    <row r="53" customHeight="1" spans="1:9">
      <c r="A53" s="9"/>
      <c r="B53" s="10"/>
      <c r="C53" s="16"/>
      <c r="D53" s="11" t="s">
        <v>417</v>
      </c>
      <c r="E53" s="9" t="s">
        <v>96</v>
      </c>
      <c r="F53" s="9">
        <v>1</v>
      </c>
      <c r="G53" s="12">
        <v>15</v>
      </c>
      <c r="H53" s="12">
        <f t="shared" si="3"/>
        <v>15</v>
      </c>
      <c r="I53" s="12"/>
    </row>
    <row r="54" customHeight="1" spans="1:9">
      <c r="A54" s="9"/>
      <c r="B54" s="10"/>
      <c r="C54" s="16"/>
      <c r="D54" s="11" t="s">
        <v>65</v>
      </c>
      <c r="E54" s="9"/>
      <c r="F54" s="9"/>
      <c r="G54" s="12"/>
      <c r="H54" s="12">
        <f t="shared" si="3"/>
        <v>0</v>
      </c>
      <c r="I54" s="12"/>
    </row>
    <row r="55" customHeight="1" spans="1:9">
      <c r="A55" s="9"/>
      <c r="B55" s="10"/>
      <c r="C55" s="17"/>
      <c r="F55" s="9"/>
      <c r="G55" s="12"/>
      <c r="H55" s="12">
        <f t="shared" si="3"/>
        <v>0</v>
      </c>
      <c r="I55" s="9"/>
    </row>
    <row r="56" customHeight="1" spans="1:9">
      <c r="A56" s="9"/>
      <c r="B56" s="10"/>
      <c r="C56" s="9" t="s">
        <v>418</v>
      </c>
      <c r="D56" s="20" t="s">
        <v>419</v>
      </c>
      <c r="E56" s="9" t="s">
        <v>421</v>
      </c>
      <c r="F56" s="9">
        <v>4</v>
      </c>
      <c r="G56" s="12">
        <v>0.3</v>
      </c>
      <c r="H56" s="12">
        <f t="shared" si="3"/>
        <v>1.2</v>
      </c>
      <c r="I56" s="22" t="s">
        <v>415</v>
      </c>
    </row>
    <row r="57" customHeight="1" spans="1:9">
      <c r="A57" s="9"/>
      <c r="B57" s="10"/>
      <c r="C57" s="9"/>
      <c r="D57" s="11" t="s">
        <v>420</v>
      </c>
      <c r="E57" s="9" t="s">
        <v>421</v>
      </c>
      <c r="F57" s="9">
        <v>2</v>
      </c>
      <c r="G57" s="12">
        <v>0.2</v>
      </c>
      <c r="H57" s="12">
        <f t="shared" si="3"/>
        <v>0.4</v>
      </c>
      <c r="I57" s="22" t="s">
        <v>415</v>
      </c>
    </row>
    <row r="58" customHeight="1" spans="1:9">
      <c r="A58" s="9"/>
      <c r="B58" s="10"/>
      <c r="C58" s="9"/>
      <c r="D58" s="11" t="s">
        <v>422</v>
      </c>
      <c r="E58" s="9" t="s">
        <v>421</v>
      </c>
      <c r="F58" s="9">
        <v>2</v>
      </c>
      <c r="G58" s="12">
        <v>0.5</v>
      </c>
      <c r="H58" s="12">
        <f t="shared" si="3"/>
        <v>1</v>
      </c>
      <c r="I58" s="9"/>
    </row>
    <row r="59" customHeight="1" spans="1:9">
      <c r="A59" s="9"/>
      <c r="B59" s="10"/>
      <c r="C59" s="9"/>
      <c r="D59" s="11" t="s">
        <v>423</v>
      </c>
      <c r="E59" s="9" t="s">
        <v>421</v>
      </c>
      <c r="F59" s="9">
        <v>4</v>
      </c>
      <c r="G59" s="12">
        <v>0.5</v>
      </c>
      <c r="H59" s="12">
        <f t="shared" si="3"/>
        <v>2</v>
      </c>
      <c r="I59" s="9"/>
    </row>
    <row r="60" customHeight="1" spans="1:9">
      <c r="A60" s="9"/>
      <c r="B60" s="10"/>
      <c r="C60" s="9"/>
      <c r="D60" s="11" t="s">
        <v>424</v>
      </c>
      <c r="E60" s="9" t="s">
        <v>96</v>
      </c>
      <c r="F60" s="9"/>
      <c r="G60" s="12"/>
      <c r="H60" s="12"/>
      <c r="I60" s="9"/>
    </row>
    <row r="61" customHeight="1" spans="1:9">
      <c r="A61" s="9"/>
      <c r="B61" s="10"/>
      <c r="C61" s="9"/>
      <c r="D61" s="11" t="s">
        <v>65</v>
      </c>
      <c r="E61" s="11"/>
      <c r="F61" s="9"/>
      <c r="G61" s="12"/>
      <c r="H61" s="12"/>
      <c r="I61" s="9"/>
    </row>
    <row r="62" customHeight="1" spans="1:9">
      <c r="A62" s="9"/>
      <c r="B62" s="10"/>
      <c r="C62" s="9" t="s">
        <v>425</v>
      </c>
      <c r="D62" s="11" t="s">
        <v>426</v>
      </c>
      <c r="E62" s="9" t="s">
        <v>96</v>
      </c>
      <c r="F62" s="18"/>
      <c r="G62" s="12"/>
      <c r="H62" s="12">
        <v>8.61</v>
      </c>
      <c r="I62" s="9"/>
    </row>
    <row r="63" customHeight="1" spans="1:9">
      <c r="A63" s="9"/>
      <c r="B63" s="10"/>
      <c r="C63" s="6" t="s">
        <v>427</v>
      </c>
      <c r="D63" s="19" t="s">
        <v>428</v>
      </c>
      <c r="E63" s="6"/>
      <c r="F63" s="9"/>
      <c r="G63" s="12"/>
      <c r="H63" s="21">
        <v>106.19</v>
      </c>
      <c r="I63" s="9"/>
    </row>
    <row r="64" customHeight="1" spans="1:9">
      <c r="A64" s="9"/>
      <c r="B64" s="10"/>
      <c r="C64" s="14" t="s">
        <v>429</v>
      </c>
      <c r="D64" s="11" t="s">
        <v>430</v>
      </c>
      <c r="E64" s="9" t="s">
        <v>96</v>
      </c>
      <c r="F64" s="9"/>
      <c r="G64" s="12"/>
      <c r="H64" s="12">
        <f>H59+H58+H57+H56+H53+H52+H51+H50+H49</f>
        <v>63.575</v>
      </c>
      <c r="I64" s="9"/>
    </row>
    <row r="65" customHeight="1" spans="1:9">
      <c r="A65" s="9"/>
      <c r="B65" s="10"/>
      <c r="C65" s="17"/>
      <c r="D65" s="11" t="s">
        <v>431</v>
      </c>
      <c r="E65" s="9" t="s">
        <v>96</v>
      </c>
      <c r="F65" s="9"/>
      <c r="G65" s="9"/>
      <c r="H65" s="9">
        <f>H62+H46+H47+H48</f>
        <v>42.61</v>
      </c>
      <c r="I65" s="9"/>
    </row>
    <row r="66" customHeight="1" spans="1:9">
      <c r="A66" s="3"/>
      <c r="B66" s="3"/>
      <c r="C66" s="4" t="str">
        <f>结算明细表!B8</f>
        <v>阳台栏杆 高1100mm L≤4M</v>
      </c>
      <c r="D66" s="4"/>
      <c r="E66" s="5" t="s">
        <v>402</v>
      </c>
      <c r="F66" s="5"/>
      <c r="G66" s="5"/>
      <c r="H66" s="5"/>
      <c r="I66" s="5"/>
    </row>
    <row r="67" customHeight="1" spans="1:9">
      <c r="A67" s="6" t="s">
        <v>1</v>
      </c>
      <c r="B67" s="7" t="s">
        <v>403</v>
      </c>
      <c r="C67" s="6" t="s">
        <v>404</v>
      </c>
      <c r="D67" s="6"/>
      <c r="E67" s="6"/>
      <c r="F67" s="6"/>
      <c r="G67" s="6"/>
      <c r="H67" s="6"/>
      <c r="I67" s="6"/>
    </row>
    <row r="68" customHeight="1" spans="1:9">
      <c r="A68" s="6"/>
      <c r="B68" s="8"/>
      <c r="C68" s="8" t="s">
        <v>405</v>
      </c>
      <c r="D68" s="8"/>
      <c r="E68" s="8" t="s">
        <v>87</v>
      </c>
      <c r="F68" s="8" t="s">
        <v>406</v>
      </c>
      <c r="G68" s="8" t="s">
        <v>407</v>
      </c>
      <c r="H68" s="8" t="s">
        <v>408</v>
      </c>
      <c r="I68" s="8" t="s">
        <v>6</v>
      </c>
    </row>
    <row r="69" customHeight="1" spans="1:9">
      <c r="A69" s="9">
        <f>结算明细表!A8</f>
        <v>5</v>
      </c>
      <c r="B69" s="10" t="str">
        <f>结算明细表!B8</f>
        <v>阳台栏杆 高1100mm L≤4M</v>
      </c>
      <c r="C69" s="9" t="s">
        <v>409</v>
      </c>
      <c r="D69" s="11" t="s">
        <v>366</v>
      </c>
      <c r="E69" s="9" t="s">
        <v>96</v>
      </c>
      <c r="F69" s="9">
        <v>1</v>
      </c>
      <c r="G69" s="12">
        <v>15</v>
      </c>
      <c r="H69" s="12">
        <f t="shared" ref="H69:H76" si="4">F69*G69</f>
        <v>15</v>
      </c>
      <c r="I69" s="9"/>
    </row>
    <row r="70" customHeight="1" spans="1:9">
      <c r="A70" s="9"/>
      <c r="B70" s="10"/>
      <c r="C70" s="9" t="s">
        <v>410</v>
      </c>
      <c r="D70" s="11" t="s">
        <v>369</v>
      </c>
      <c r="E70" s="9" t="s">
        <v>96</v>
      </c>
      <c r="F70" s="13">
        <v>1</v>
      </c>
      <c r="G70" s="12">
        <v>15</v>
      </c>
      <c r="H70" s="12">
        <f t="shared" si="4"/>
        <v>15</v>
      </c>
      <c r="I70" s="9"/>
    </row>
    <row r="71" customHeight="1" spans="1:9">
      <c r="A71" s="9"/>
      <c r="B71" s="10"/>
      <c r="C71" s="9" t="s">
        <v>411</v>
      </c>
      <c r="D71" s="11" t="s">
        <v>412</v>
      </c>
      <c r="E71" s="9" t="s">
        <v>96</v>
      </c>
      <c r="F71" s="9">
        <v>1</v>
      </c>
      <c r="G71" s="12">
        <v>4</v>
      </c>
      <c r="H71" s="12">
        <v>4</v>
      </c>
      <c r="I71" s="9"/>
    </row>
    <row r="72" customHeight="1" spans="1:9">
      <c r="A72" s="9"/>
      <c r="B72" s="10"/>
      <c r="C72" s="14" t="s">
        <v>413</v>
      </c>
      <c r="D72" s="11" t="s">
        <v>436</v>
      </c>
      <c r="E72" s="9" t="s">
        <v>372</v>
      </c>
      <c r="F72" s="15">
        <v>1.47</v>
      </c>
      <c r="G72" s="12">
        <v>4.6</v>
      </c>
      <c r="H72" s="12">
        <f t="shared" si="4"/>
        <v>6.762</v>
      </c>
      <c r="I72" s="22" t="s">
        <v>415</v>
      </c>
    </row>
    <row r="73" customHeight="1" spans="1:9">
      <c r="A73" s="9"/>
      <c r="B73" s="10"/>
      <c r="C73" s="16"/>
      <c r="D73" s="11" t="s">
        <v>437</v>
      </c>
      <c r="E73" s="9" t="s">
        <v>372</v>
      </c>
      <c r="F73" s="12">
        <v>2.4</v>
      </c>
      <c r="G73" s="12">
        <v>4.6</v>
      </c>
      <c r="H73" s="12">
        <f t="shared" si="4"/>
        <v>11.04</v>
      </c>
      <c r="I73" s="22" t="s">
        <v>415</v>
      </c>
    </row>
    <row r="74" customHeight="1" spans="1:9">
      <c r="A74" s="9"/>
      <c r="B74" s="10"/>
      <c r="C74" s="16"/>
      <c r="D74" s="11" t="s">
        <v>434</v>
      </c>
      <c r="E74" s="9" t="s">
        <v>372</v>
      </c>
      <c r="F74" s="12">
        <v>2.7</v>
      </c>
      <c r="G74" s="12">
        <v>4.8</v>
      </c>
      <c r="H74" s="12">
        <f t="shared" si="4"/>
        <v>12.96</v>
      </c>
      <c r="I74" s="22"/>
    </row>
    <row r="75" customHeight="1" spans="1:9">
      <c r="A75" s="9"/>
      <c r="B75" s="10"/>
      <c r="C75" s="16"/>
      <c r="D75" s="11" t="s">
        <v>435</v>
      </c>
      <c r="E75" s="9" t="s">
        <v>372</v>
      </c>
      <c r="F75" s="12">
        <v>1.95</v>
      </c>
      <c r="G75" s="12">
        <v>4.7</v>
      </c>
      <c r="H75" s="12">
        <f t="shared" si="4"/>
        <v>9.165</v>
      </c>
      <c r="I75" s="22"/>
    </row>
    <row r="76" customHeight="1" spans="1:9">
      <c r="A76" s="9"/>
      <c r="B76" s="10"/>
      <c r="C76" s="16"/>
      <c r="D76" s="11" t="s">
        <v>417</v>
      </c>
      <c r="E76" s="9" t="s">
        <v>96</v>
      </c>
      <c r="F76" s="9">
        <v>1</v>
      </c>
      <c r="G76" s="12">
        <v>15</v>
      </c>
      <c r="H76" s="12">
        <f t="shared" si="4"/>
        <v>15</v>
      </c>
      <c r="I76" s="12"/>
    </row>
    <row r="77" customHeight="1" spans="1:9">
      <c r="A77" s="9"/>
      <c r="B77" s="10"/>
      <c r="C77" s="16"/>
      <c r="D77" s="11" t="s">
        <v>65</v>
      </c>
      <c r="E77" s="9"/>
      <c r="F77" s="9"/>
      <c r="G77" s="12"/>
      <c r="H77" s="12">
        <f t="shared" ref="H77:H82" si="5">F77*G77</f>
        <v>0</v>
      </c>
      <c r="I77" s="12"/>
    </row>
    <row r="78" customHeight="1" spans="1:9">
      <c r="A78" s="9"/>
      <c r="B78" s="10"/>
      <c r="C78" s="17"/>
      <c r="F78" s="9"/>
      <c r="G78" s="12"/>
      <c r="H78" s="12">
        <f t="shared" si="5"/>
        <v>0</v>
      </c>
      <c r="I78" s="9"/>
    </row>
    <row r="79" customHeight="1" spans="1:9">
      <c r="A79" s="9"/>
      <c r="B79" s="10"/>
      <c r="C79" s="9" t="s">
        <v>418</v>
      </c>
      <c r="D79" s="20" t="s">
        <v>419</v>
      </c>
      <c r="E79" s="9" t="s">
        <v>378</v>
      </c>
      <c r="F79" s="9">
        <v>4</v>
      </c>
      <c r="G79" s="12">
        <v>0.3</v>
      </c>
      <c r="H79" s="12">
        <f t="shared" si="5"/>
        <v>1.2</v>
      </c>
      <c r="I79" s="22" t="s">
        <v>415</v>
      </c>
    </row>
    <row r="80" customHeight="1" spans="1:9">
      <c r="A80" s="9"/>
      <c r="B80" s="10"/>
      <c r="C80" s="9"/>
      <c r="D80" s="11" t="s">
        <v>420</v>
      </c>
      <c r="E80" s="9" t="s">
        <v>421</v>
      </c>
      <c r="F80" s="9">
        <v>2</v>
      </c>
      <c r="G80" s="12">
        <v>0.2</v>
      </c>
      <c r="H80" s="12">
        <f t="shared" si="5"/>
        <v>0.4</v>
      </c>
      <c r="I80" s="22" t="s">
        <v>415</v>
      </c>
    </row>
    <row r="81" customHeight="1" spans="1:9">
      <c r="A81" s="9"/>
      <c r="B81" s="10"/>
      <c r="C81" s="9"/>
      <c r="D81" s="11" t="s">
        <v>422</v>
      </c>
      <c r="E81" s="9" t="s">
        <v>378</v>
      </c>
      <c r="F81" s="9">
        <v>2</v>
      </c>
      <c r="G81" s="12">
        <v>0.5</v>
      </c>
      <c r="H81" s="12">
        <f t="shared" si="5"/>
        <v>1</v>
      </c>
      <c r="I81" s="9"/>
    </row>
    <row r="82" customHeight="1" spans="1:9">
      <c r="A82" s="9"/>
      <c r="B82" s="10"/>
      <c r="C82" s="9"/>
      <c r="D82" s="11" t="s">
        <v>423</v>
      </c>
      <c r="E82" s="9" t="s">
        <v>378</v>
      </c>
      <c r="F82" s="9">
        <v>4</v>
      </c>
      <c r="G82" s="12">
        <v>0.5</v>
      </c>
      <c r="H82" s="12">
        <f t="shared" si="5"/>
        <v>2</v>
      </c>
      <c r="I82" s="9"/>
    </row>
    <row r="83" customHeight="1" spans="1:9">
      <c r="A83" s="9"/>
      <c r="B83" s="10"/>
      <c r="C83" s="9"/>
      <c r="D83" s="11" t="s">
        <v>424</v>
      </c>
      <c r="E83" s="9" t="s">
        <v>96</v>
      </c>
      <c r="F83" s="9"/>
      <c r="G83" s="12"/>
      <c r="H83" s="12"/>
      <c r="I83" s="9"/>
    </row>
    <row r="84" customHeight="1" spans="1:9">
      <c r="A84" s="9"/>
      <c r="B84" s="10"/>
      <c r="C84" s="9"/>
      <c r="D84" s="11" t="s">
        <v>65</v>
      </c>
      <c r="E84" s="11"/>
      <c r="F84" s="9"/>
      <c r="G84" s="12"/>
      <c r="H84" s="12"/>
      <c r="I84" s="9"/>
    </row>
    <row r="85" customHeight="1" spans="1:9">
      <c r="A85" s="9"/>
      <c r="B85" s="10"/>
      <c r="C85" s="9" t="s">
        <v>425</v>
      </c>
      <c r="D85" s="11" t="s">
        <v>426</v>
      </c>
      <c r="E85" s="9" t="s">
        <v>96</v>
      </c>
      <c r="F85" s="18">
        <v>1</v>
      </c>
      <c r="G85" s="12"/>
      <c r="H85" s="12">
        <v>8.23</v>
      </c>
      <c r="I85" s="9"/>
    </row>
    <row r="86" customHeight="1" spans="1:9">
      <c r="A86" s="9"/>
      <c r="B86" s="10"/>
      <c r="C86" s="6" t="s">
        <v>427</v>
      </c>
      <c r="D86" s="19" t="s">
        <v>428</v>
      </c>
      <c r="E86" s="6"/>
      <c r="F86" s="9"/>
      <c r="G86" s="12"/>
      <c r="H86" s="21">
        <v>101.76</v>
      </c>
      <c r="I86" s="9"/>
    </row>
    <row r="87" customHeight="1" spans="1:9">
      <c r="A87" s="9"/>
      <c r="B87" s="10"/>
      <c r="C87" s="14" t="s">
        <v>429</v>
      </c>
      <c r="D87" s="11" t="s">
        <v>430</v>
      </c>
      <c r="E87" s="9" t="s">
        <v>96</v>
      </c>
      <c r="F87" s="9"/>
      <c r="G87" s="12"/>
      <c r="H87" s="12">
        <f>H82+H81+H80+H79+H76+H75+H74+H73+H72</f>
        <v>59.527</v>
      </c>
      <c r="I87" s="9"/>
    </row>
    <row r="88" customHeight="1" spans="1:9">
      <c r="A88" s="9"/>
      <c r="B88" s="10"/>
      <c r="C88" s="17"/>
      <c r="D88" s="11" t="s">
        <v>431</v>
      </c>
      <c r="E88" s="9" t="s">
        <v>96</v>
      </c>
      <c r="F88" s="9"/>
      <c r="G88" s="9"/>
      <c r="H88" s="9">
        <f>H85+H69+H70+H71</f>
        <v>42.23</v>
      </c>
      <c r="I88" s="9"/>
    </row>
    <row r="89" ht="39.75" customHeight="1" spans="1:9">
      <c r="A89" s="23" t="str">
        <f>结算明细表!B9</f>
        <v>阳台栏杆 1100高 L&gt;4m 80*80*1.5大立柱，大立柱焊接于底部钢板上底部钢板用4个膨胀螺丝与主体结构固定牢固</v>
      </c>
      <c r="B89" s="23"/>
      <c r="C89" s="23"/>
      <c r="D89" s="23"/>
      <c r="E89" s="23"/>
      <c r="F89" s="23"/>
      <c r="G89" s="23"/>
      <c r="H89" s="24" t="s">
        <v>402</v>
      </c>
      <c r="I89" s="24"/>
    </row>
    <row r="90" customHeight="1" spans="1:9">
      <c r="A90" s="6" t="s">
        <v>1</v>
      </c>
      <c r="B90" s="7" t="s">
        <v>403</v>
      </c>
      <c r="C90" s="6" t="s">
        <v>404</v>
      </c>
      <c r="D90" s="6"/>
      <c r="E90" s="6"/>
      <c r="F90" s="6"/>
      <c r="G90" s="6"/>
      <c r="H90" s="6"/>
      <c r="I90" s="6"/>
    </row>
    <row r="91" customHeight="1" spans="1:9">
      <c r="A91" s="6"/>
      <c r="B91" s="8"/>
      <c r="C91" s="8" t="s">
        <v>405</v>
      </c>
      <c r="D91" s="8"/>
      <c r="E91" s="8" t="s">
        <v>87</v>
      </c>
      <c r="F91" s="8" t="s">
        <v>406</v>
      </c>
      <c r="G91" s="8" t="s">
        <v>407</v>
      </c>
      <c r="H91" s="8" t="s">
        <v>408</v>
      </c>
      <c r="I91" s="8" t="s">
        <v>6</v>
      </c>
    </row>
    <row r="92" customHeight="1" spans="1:9">
      <c r="A92" s="9">
        <f>结算明细表!A9</f>
        <v>6</v>
      </c>
      <c r="B92" s="10" t="str">
        <f>结算明细表!B9</f>
        <v>阳台栏杆 1100高 L&gt;4m 80*80*1.5大立柱，大立柱焊接于底部钢板上底部钢板用4个膨胀螺丝与主体结构固定牢固</v>
      </c>
      <c r="C92" s="9" t="s">
        <v>409</v>
      </c>
      <c r="D92" s="11" t="s">
        <v>366</v>
      </c>
      <c r="E92" s="9" t="s">
        <v>96</v>
      </c>
      <c r="F92" s="9">
        <v>1</v>
      </c>
      <c r="G92" s="12">
        <v>15</v>
      </c>
      <c r="H92" s="12">
        <f>F92*G92</f>
        <v>15</v>
      </c>
      <c r="I92" s="9"/>
    </row>
    <row r="93" customHeight="1" spans="1:9">
      <c r="A93" s="9"/>
      <c r="B93" s="10"/>
      <c r="C93" s="9" t="s">
        <v>410</v>
      </c>
      <c r="D93" s="11" t="s">
        <v>369</v>
      </c>
      <c r="E93" s="9" t="s">
        <v>96</v>
      </c>
      <c r="F93" s="13">
        <v>1</v>
      </c>
      <c r="G93" s="12">
        <v>15</v>
      </c>
      <c r="H93" s="12">
        <f>F93*G93</f>
        <v>15</v>
      </c>
      <c r="I93" s="9"/>
    </row>
    <row r="94" customHeight="1" spans="1:9">
      <c r="A94" s="9"/>
      <c r="B94" s="10"/>
      <c r="C94" s="9" t="s">
        <v>411</v>
      </c>
      <c r="D94" s="11" t="s">
        <v>412</v>
      </c>
      <c r="E94" s="9" t="s">
        <v>96</v>
      </c>
      <c r="F94" s="9">
        <v>1</v>
      </c>
      <c r="G94" s="12">
        <v>4</v>
      </c>
      <c r="H94" s="12">
        <v>4</v>
      </c>
      <c r="I94" s="9"/>
    </row>
    <row r="95" s="2" customFormat="1" ht="42" customHeight="1" spans="1:9">
      <c r="A95" s="9"/>
      <c r="B95" s="10"/>
      <c r="C95" s="14" t="s">
        <v>413</v>
      </c>
      <c r="D95" s="25" t="s">
        <v>438</v>
      </c>
      <c r="E95" s="9" t="s">
        <v>372</v>
      </c>
      <c r="F95" s="9">
        <v>1.57</v>
      </c>
      <c r="G95" s="12">
        <v>4.6</v>
      </c>
      <c r="H95" s="12">
        <f t="shared" ref="H95:H100" si="6">F95*G95</f>
        <v>7.222</v>
      </c>
      <c r="I95" s="22" t="s">
        <v>439</v>
      </c>
    </row>
    <row r="96" customHeight="1" spans="1:9">
      <c r="A96" s="9"/>
      <c r="B96" s="10"/>
      <c r="C96" s="16"/>
      <c r="D96" s="11" t="s">
        <v>436</v>
      </c>
      <c r="E96" s="9" t="s">
        <v>372</v>
      </c>
      <c r="F96" s="15">
        <v>1.47</v>
      </c>
      <c r="G96" s="12">
        <v>4.6</v>
      </c>
      <c r="H96" s="12">
        <f t="shared" si="6"/>
        <v>6.762</v>
      </c>
      <c r="I96" s="22" t="s">
        <v>415</v>
      </c>
    </row>
    <row r="97" customHeight="1" spans="1:9">
      <c r="A97" s="9"/>
      <c r="B97" s="10"/>
      <c r="C97" s="16"/>
      <c r="D97" s="11" t="s">
        <v>437</v>
      </c>
      <c r="E97" s="9" t="s">
        <v>372</v>
      </c>
      <c r="F97" s="12">
        <v>2.4</v>
      </c>
      <c r="G97" s="12">
        <v>4.6</v>
      </c>
      <c r="H97" s="12">
        <f t="shared" si="6"/>
        <v>11.04</v>
      </c>
      <c r="I97" s="22" t="s">
        <v>415</v>
      </c>
    </row>
    <row r="98" customHeight="1" spans="1:9">
      <c r="A98" s="9"/>
      <c r="B98" s="10"/>
      <c r="C98" s="16"/>
      <c r="D98" s="11" t="s">
        <v>434</v>
      </c>
      <c r="E98" s="9"/>
      <c r="F98" s="12">
        <v>2.7</v>
      </c>
      <c r="G98" s="12">
        <v>4.8</v>
      </c>
      <c r="H98" s="12">
        <f t="shared" si="6"/>
        <v>12.96</v>
      </c>
      <c r="I98" s="22"/>
    </row>
    <row r="99" customHeight="1" spans="1:9">
      <c r="A99" s="9"/>
      <c r="B99" s="10"/>
      <c r="C99" s="16"/>
      <c r="D99" s="11" t="s">
        <v>435</v>
      </c>
      <c r="E99" s="9"/>
      <c r="F99" s="12">
        <v>1.95</v>
      </c>
      <c r="G99" s="12">
        <v>4.7</v>
      </c>
      <c r="H99" s="12">
        <f t="shared" si="6"/>
        <v>9.165</v>
      </c>
      <c r="I99" s="22"/>
    </row>
    <row r="100" customHeight="1" spans="1:9">
      <c r="A100" s="9"/>
      <c r="B100" s="10"/>
      <c r="C100" s="16"/>
      <c r="D100" s="11" t="s">
        <v>417</v>
      </c>
      <c r="E100" s="9" t="s">
        <v>372</v>
      </c>
      <c r="F100" s="9">
        <v>1</v>
      </c>
      <c r="G100" s="12">
        <v>15</v>
      </c>
      <c r="H100" s="12">
        <v>15</v>
      </c>
      <c r="I100" s="12"/>
    </row>
    <row r="101" customHeight="1" spans="1:9">
      <c r="A101" s="9"/>
      <c r="B101" s="10"/>
      <c r="C101" s="16"/>
      <c r="D101" s="11" t="s">
        <v>65</v>
      </c>
      <c r="E101" s="9"/>
      <c r="F101" s="9"/>
      <c r="G101" s="12"/>
      <c r="H101" s="12">
        <f t="shared" ref="H101:H106" si="7">F101*G101</f>
        <v>0</v>
      </c>
      <c r="I101" s="12"/>
    </row>
    <row r="102" customHeight="1" spans="1:9">
      <c r="A102" s="9"/>
      <c r="B102" s="10"/>
      <c r="C102" s="17"/>
      <c r="F102" s="9"/>
      <c r="G102" s="12"/>
      <c r="H102" s="12">
        <f t="shared" si="7"/>
        <v>0</v>
      </c>
      <c r="I102" s="9"/>
    </row>
    <row r="103" customHeight="1" spans="1:9">
      <c r="A103" s="9"/>
      <c r="B103" s="10"/>
      <c r="C103" s="9" t="s">
        <v>418</v>
      </c>
      <c r="D103" s="20" t="s">
        <v>419</v>
      </c>
      <c r="E103" s="9" t="s">
        <v>378</v>
      </c>
      <c r="F103" s="9">
        <v>4</v>
      </c>
      <c r="G103" s="12">
        <v>0.3</v>
      </c>
      <c r="H103" s="12">
        <f t="shared" si="7"/>
        <v>1.2</v>
      </c>
      <c r="I103" s="22" t="s">
        <v>415</v>
      </c>
    </row>
    <row r="104" customHeight="1" spans="1:9">
      <c r="A104" s="9"/>
      <c r="B104" s="10"/>
      <c r="C104" s="9"/>
      <c r="D104" s="11" t="s">
        <v>420</v>
      </c>
      <c r="E104" s="9" t="s">
        <v>421</v>
      </c>
      <c r="F104" s="9">
        <v>2</v>
      </c>
      <c r="G104" s="12">
        <v>0.2</v>
      </c>
      <c r="H104" s="12">
        <f t="shared" si="7"/>
        <v>0.4</v>
      </c>
      <c r="I104" s="22" t="s">
        <v>415</v>
      </c>
    </row>
    <row r="105" customHeight="1" spans="1:9">
      <c r="A105" s="9"/>
      <c r="B105" s="10"/>
      <c r="C105" s="9"/>
      <c r="D105" s="11" t="s">
        <v>422</v>
      </c>
      <c r="E105" s="9" t="s">
        <v>378</v>
      </c>
      <c r="F105" s="9">
        <v>2</v>
      </c>
      <c r="G105" s="12">
        <v>0.5</v>
      </c>
      <c r="H105" s="12">
        <f t="shared" si="7"/>
        <v>1</v>
      </c>
      <c r="I105" s="9"/>
    </row>
    <row r="106" customHeight="1" spans="1:9">
      <c r="A106" s="9"/>
      <c r="B106" s="10"/>
      <c r="C106" s="9"/>
      <c r="D106" s="11" t="s">
        <v>423</v>
      </c>
      <c r="E106" s="9" t="s">
        <v>378</v>
      </c>
      <c r="F106" s="9">
        <v>4</v>
      </c>
      <c r="G106" s="12">
        <v>0.5</v>
      </c>
      <c r="H106" s="12">
        <f t="shared" si="7"/>
        <v>2</v>
      </c>
      <c r="I106" s="9"/>
    </row>
    <row r="107" customHeight="1" spans="1:9">
      <c r="A107" s="9"/>
      <c r="B107" s="10"/>
      <c r="C107" s="9"/>
      <c r="D107" s="11" t="s">
        <v>440</v>
      </c>
      <c r="E107" s="9" t="s">
        <v>378</v>
      </c>
      <c r="F107" s="9">
        <v>1</v>
      </c>
      <c r="G107" s="12">
        <v>4</v>
      </c>
      <c r="H107" s="12">
        <v>4</v>
      </c>
      <c r="I107" s="9"/>
    </row>
    <row r="108" customHeight="1" spans="1:9">
      <c r="A108" s="9"/>
      <c r="B108" s="10"/>
      <c r="C108" s="9"/>
      <c r="D108" s="11" t="s">
        <v>65</v>
      </c>
      <c r="E108" s="11"/>
      <c r="F108" s="9"/>
      <c r="G108" s="12"/>
      <c r="H108" s="12"/>
      <c r="I108" s="9"/>
    </row>
    <row r="109" customHeight="1" spans="1:9">
      <c r="A109" s="9"/>
      <c r="B109" s="10"/>
      <c r="C109" s="9" t="s">
        <v>425</v>
      </c>
      <c r="D109" s="11" t="s">
        <v>426</v>
      </c>
      <c r="E109" s="9" t="s">
        <v>96</v>
      </c>
      <c r="F109" s="18">
        <v>1</v>
      </c>
      <c r="G109" s="12"/>
      <c r="H109" s="12">
        <v>8.52</v>
      </c>
      <c r="I109" s="9"/>
    </row>
    <row r="110" customHeight="1" spans="1:9">
      <c r="A110" s="9"/>
      <c r="B110" s="10"/>
      <c r="C110" s="6" t="s">
        <v>427</v>
      </c>
      <c r="D110" s="19" t="s">
        <v>428</v>
      </c>
      <c r="E110" s="6"/>
      <c r="F110" s="9"/>
      <c r="G110" s="12"/>
      <c r="H110" s="21">
        <v>113.27</v>
      </c>
      <c r="I110" s="9"/>
    </row>
    <row r="111" customHeight="1" spans="1:9">
      <c r="A111" s="9"/>
      <c r="B111" s="10"/>
      <c r="C111" s="14" t="s">
        <v>429</v>
      </c>
      <c r="D111" s="11" t="s">
        <v>430</v>
      </c>
      <c r="E111" s="9" t="s">
        <v>96</v>
      </c>
      <c r="F111" s="9"/>
      <c r="G111" s="12"/>
      <c r="H111" s="12"/>
      <c r="I111" s="9"/>
    </row>
    <row r="112" customHeight="1" spans="1:9">
      <c r="A112" s="9"/>
      <c r="B112" s="10"/>
      <c r="C112" s="17"/>
      <c r="D112" s="11" t="s">
        <v>431</v>
      </c>
      <c r="E112" s="9" t="s">
        <v>96</v>
      </c>
      <c r="F112" s="9"/>
      <c r="G112" s="9"/>
      <c r="H112" s="9"/>
      <c r="I112" s="9"/>
    </row>
    <row r="113" customHeight="1" spans="1:9">
      <c r="A113" s="3"/>
      <c r="B113" s="3"/>
      <c r="C113" s="4" t="e">
        <f>结算明细表!#REF!</f>
        <v>#REF!</v>
      </c>
      <c r="D113" s="4"/>
      <c r="E113" s="5" t="s">
        <v>402</v>
      </c>
      <c r="F113" s="5"/>
      <c r="G113" s="5"/>
      <c r="H113" s="5"/>
      <c r="I113" s="5"/>
    </row>
    <row r="114" customHeight="1" spans="1:9">
      <c r="A114" s="6" t="s">
        <v>1</v>
      </c>
      <c r="B114" s="7" t="s">
        <v>403</v>
      </c>
      <c r="C114" s="6" t="s">
        <v>404</v>
      </c>
      <c r="D114" s="6"/>
      <c r="E114" s="6"/>
      <c r="F114" s="6"/>
      <c r="G114" s="6"/>
      <c r="H114" s="6"/>
      <c r="I114" s="6"/>
    </row>
    <row r="115" customHeight="1" spans="1:9">
      <c r="A115" s="6"/>
      <c r="B115" s="8"/>
      <c r="C115" s="8" t="s">
        <v>405</v>
      </c>
      <c r="D115" s="8"/>
      <c r="E115" s="8" t="s">
        <v>87</v>
      </c>
      <c r="F115" s="8" t="s">
        <v>406</v>
      </c>
      <c r="G115" s="8" t="s">
        <v>407</v>
      </c>
      <c r="H115" s="8" t="s">
        <v>408</v>
      </c>
      <c r="I115" s="8" t="s">
        <v>6</v>
      </c>
    </row>
    <row r="116" customHeight="1" spans="1:9">
      <c r="A116" s="9">
        <v>7</v>
      </c>
      <c r="B116" s="10" t="s">
        <v>101</v>
      </c>
      <c r="C116" s="9" t="s">
        <v>409</v>
      </c>
      <c r="D116" s="11" t="s">
        <v>366</v>
      </c>
      <c r="E116" s="9" t="s">
        <v>96</v>
      </c>
      <c r="F116" s="9">
        <v>1</v>
      </c>
      <c r="G116" s="12">
        <v>15</v>
      </c>
      <c r="H116" s="12">
        <f t="shared" ref="H116:H122" si="8">F116*G116</f>
        <v>15</v>
      </c>
      <c r="I116" s="9"/>
    </row>
    <row r="117" customHeight="1" spans="1:9">
      <c r="A117" s="9"/>
      <c r="B117" s="10"/>
      <c r="C117" s="9" t="s">
        <v>410</v>
      </c>
      <c r="D117" s="11" t="s">
        <v>369</v>
      </c>
      <c r="E117" s="9" t="s">
        <v>96</v>
      </c>
      <c r="F117" s="13">
        <v>1</v>
      </c>
      <c r="G117" s="12">
        <v>15</v>
      </c>
      <c r="H117" s="12">
        <f t="shared" si="8"/>
        <v>15</v>
      </c>
      <c r="I117" s="9"/>
    </row>
    <row r="118" customHeight="1" spans="1:9">
      <c r="A118" s="9"/>
      <c r="B118" s="10"/>
      <c r="C118" s="9" t="s">
        <v>411</v>
      </c>
      <c r="D118" s="11" t="s">
        <v>412</v>
      </c>
      <c r="E118" s="9" t="s">
        <v>96</v>
      </c>
      <c r="F118" s="9">
        <v>1</v>
      </c>
      <c r="G118" s="12">
        <v>4</v>
      </c>
      <c r="H118" s="12">
        <v>4</v>
      </c>
      <c r="I118" s="9"/>
    </row>
    <row r="119" customHeight="1" spans="1:9">
      <c r="A119" s="9"/>
      <c r="B119" s="10"/>
      <c r="C119" s="14" t="s">
        <v>413</v>
      </c>
      <c r="D119" s="11" t="s">
        <v>432</v>
      </c>
      <c r="E119" s="9" t="s">
        <v>372</v>
      </c>
      <c r="F119" s="15">
        <v>1.84</v>
      </c>
      <c r="G119" s="12">
        <v>4.6</v>
      </c>
      <c r="H119" s="12">
        <f t="shared" si="8"/>
        <v>8.464</v>
      </c>
      <c r="I119" s="22" t="s">
        <v>415</v>
      </c>
    </row>
    <row r="120" customHeight="1" spans="1:9">
      <c r="A120" s="9"/>
      <c r="B120" s="10"/>
      <c r="C120" s="16"/>
      <c r="D120" s="11" t="s">
        <v>433</v>
      </c>
      <c r="E120" s="9" t="s">
        <v>372</v>
      </c>
      <c r="F120" s="12">
        <v>2.1</v>
      </c>
      <c r="G120" s="12">
        <v>4.6</v>
      </c>
      <c r="H120" s="12">
        <f t="shared" si="8"/>
        <v>9.66</v>
      </c>
      <c r="I120" s="22" t="s">
        <v>415</v>
      </c>
    </row>
    <row r="121" customHeight="1" spans="1:9">
      <c r="A121" s="9"/>
      <c r="B121" s="10"/>
      <c r="C121" s="16"/>
      <c r="D121" s="11" t="s">
        <v>434</v>
      </c>
      <c r="E121" s="9"/>
      <c r="F121" s="12">
        <v>1.58</v>
      </c>
      <c r="G121" s="12">
        <v>4.8</v>
      </c>
      <c r="H121" s="12">
        <f t="shared" si="8"/>
        <v>7.584</v>
      </c>
      <c r="I121" s="22"/>
    </row>
    <row r="122" customHeight="1" spans="1:9">
      <c r="A122" s="9"/>
      <c r="B122" s="10"/>
      <c r="C122" s="16"/>
      <c r="D122" s="11" t="s">
        <v>435</v>
      </c>
      <c r="E122" s="9"/>
      <c r="F122" s="12">
        <v>1.95</v>
      </c>
      <c r="G122" s="12">
        <v>4.7</v>
      </c>
      <c r="H122" s="12">
        <f t="shared" si="8"/>
        <v>9.165</v>
      </c>
      <c r="I122" s="22"/>
    </row>
    <row r="123" customHeight="1" spans="1:9">
      <c r="A123" s="9"/>
      <c r="B123" s="10"/>
      <c r="C123" s="16"/>
      <c r="D123" s="11" t="s">
        <v>417</v>
      </c>
      <c r="E123" s="9" t="s">
        <v>372</v>
      </c>
      <c r="F123" s="9">
        <v>1</v>
      </c>
      <c r="G123" s="12">
        <v>13</v>
      </c>
      <c r="H123" s="12">
        <v>13</v>
      </c>
      <c r="I123" s="12"/>
    </row>
    <row r="124" customHeight="1" spans="1:9">
      <c r="A124" s="9"/>
      <c r="B124" s="10"/>
      <c r="C124" s="16"/>
      <c r="D124" s="11" t="s">
        <v>65</v>
      </c>
      <c r="E124" s="9"/>
      <c r="F124" s="9"/>
      <c r="G124" s="12"/>
      <c r="H124" s="12">
        <f t="shared" ref="H124:H130" si="9">F124*G124</f>
        <v>0</v>
      </c>
      <c r="I124" s="12"/>
    </row>
    <row r="125" customHeight="1" spans="1:9">
      <c r="A125" s="9"/>
      <c r="B125" s="10"/>
      <c r="C125" s="17"/>
      <c r="F125" s="9"/>
      <c r="G125" s="12"/>
      <c r="H125" s="12">
        <f t="shared" si="9"/>
        <v>0</v>
      </c>
      <c r="I125" s="9"/>
    </row>
    <row r="126" customHeight="1" spans="1:9">
      <c r="A126" s="9"/>
      <c r="B126" s="10"/>
      <c r="C126" s="9" t="s">
        <v>418</v>
      </c>
      <c r="D126" s="20" t="s">
        <v>419</v>
      </c>
      <c r="E126" s="9" t="s">
        <v>378</v>
      </c>
      <c r="F126" s="9">
        <v>4</v>
      </c>
      <c r="G126" s="12">
        <v>0.3</v>
      </c>
      <c r="H126" s="12">
        <f t="shared" si="9"/>
        <v>1.2</v>
      </c>
      <c r="I126" s="22" t="s">
        <v>415</v>
      </c>
    </row>
    <row r="127" customHeight="1" spans="1:9">
      <c r="A127" s="9"/>
      <c r="B127" s="10"/>
      <c r="C127" s="9"/>
      <c r="D127" s="11" t="s">
        <v>420</v>
      </c>
      <c r="E127" s="9" t="s">
        <v>421</v>
      </c>
      <c r="F127" s="9">
        <v>2</v>
      </c>
      <c r="G127" s="12">
        <v>0.2</v>
      </c>
      <c r="H127" s="12">
        <f t="shared" si="9"/>
        <v>0.4</v>
      </c>
      <c r="I127" s="22" t="s">
        <v>415</v>
      </c>
    </row>
    <row r="128" customHeight="1" spans="1:9">
      <c r="A128" s="9"/>
      <c r="B128" s="10"/>
      <c r="C128" s="9"/>
      <c r="D128" s="11" t="s">
        <v>422</v>
      </c>
      <c r="E128" s="9" t="s">
        <v>378</v>
      </c>
      <c r="F128" s="9">
        <v>2</v>
      </c>
      <c r="G128" s="12">
        <v>0.5</v>
      </c>
      <c r="H128" s="12">
        <f t="shared" si="9"/>
        <v>1</v>
      </c>
      <c r="I128" s="9"/>
    </row>
    <row r="129" customHeight="1" spans="1:9">
      <c r="A129" s="9"/>
      <c r="B129" s="10"/>
      <c r="C129" s="9"/>
      <c r="D129" s="11" t="s">
        <v>423</v>
      </c>
      <c r="E129" s="9" t="s">
        <v>378</v>
      </c>
      <c r="F129" s="9">
        <v>4</v>
      </c>
      <c r="G129" s="12">
        <v>0.5</v>
      </c>
      <c r="H129" s="12">
        <f t="shared" si="9"/>
        <v>2</v>
      </c>
      <c r="I129" s="9"/>
    </row>
    <row r="130" customHeight="1" spans="1:9">
      <c r="A130" s="9"/>
      <c r="B130" s="10"/>
      <c r="C130" s="9"/>
      <c r="D130" s="11" t="s">
        <v>424</v>
      </c>
      <c r="E130" s="9" t="s">
        <v>96</v>
      </c>
      <c r="F130" s="9"/>
      <c r="G130" s="12"/>
      <c r="H130" s="12">
        <f t="shared" si="9"/>
        <v>0</v>
      </c>
      <c r="I130" s="9"/>
    </row>
    <row r="131" customHeight="1" spans="1:9">
      <c r="A131" s="9"/>
      <c r="B131" s="10"/>
      <c r="C131" s="9"/>
      <c r="D131" s="11" t="s">
        <v>65</v>
      </c>
      <c r="E131" s="11"/>
      <c r="F131" s="9"/>
      <c r="G131" s="12"/>
      <c r="H131" s="12"/>
      <c r="I131" s="9"/>
    </row>
    <row r="132" customHeight="1" spans="1:9">
      <c r="A132" s="9"/>
      <c r="B132" s="10"/>
      <c r="C132" s="9" t="s">
        <v>425</v>
      </c>
      <c r="D132" s="11" t="s">
        <v>426</v>
      </c>
      <c r="E132" s="9" t="s">
        <v>96</v>
      </c>
      <c r="F132" s="18">
        <v>1</v>
      </c>
      <c r="G132" s="12"/>
      <c r="H132" s="12">
        <v>10.87</v>
      </c>
      <c r="I132" s="9"/>
    </row>
    <row r="133" customHeight="1" spans="1:9">
      <c r="A133" s="9"/>
      <c r="B133" s="10"/>
      <c r="C133" s="6" t="s">
        <v>427</v>
      </c>
      <c r="D133" s="19" t="s">
        <v>428</v>
      </c>
      <c r="E133" s="6"/>
      <c r="F133" s="9"/>
      <c r="G133" s="12"/>
      <c r="H133" s="21">
        <v>97.34</v>
      </c>
      <c r="I133" s="9"/>
    </row>
    <row r="134" customHeight="1" spans="1:9">
      <c r="A134" s="9"/>
      <c r="B134" s="10"/>
      <c r="C134" s="14" t="s">
        <v>429</v>
      </c>
      <c r="D134" s="11" t="s">
        <v>430</v>
      </c>
      <c r="E134" s="9" t="s">
        <v>96</v>
      </c>
      <c r="F134" s="9"/>
      <c r="G134" s="12"/>
      <c r="H134" s="12">
        <f>H129+H128+H127+H126+H123+H122+H121+H120+H119</f>
        <v>52.473</v>
      </c>
      <c r="I134" s="9"/>
    </row>
    <row r="135" customHeight="1" spans="1:9">
      <c r="A135" s="9"/>
      <c r="B135" s="10"/>
      <c r="C135" s="17"/>
      <c r="D135" s="11" t="s">
        <v>431</v>
      </c>
      <c r="E135" s="9" t="s">
        <v>96</v>
      </c>
      <c r="F135" s="9"/>
      <c r="G135" s="9"/>
      <c r="H135" s="9">
        <f>H132+H116+H117+H118</f>
        <v>44.87</v>
      </c>
      <c r="I135" s="9"/>
    </row>
    <row r="136" customHeight="1" spans="1:9">
      <c r="A136" s="3"/>
      <c r="B136" s="3"/>
      <c r="C136" s="4" t="str">
        <f>B139</f>
        <v>阳台栏杆 高800mm L≤4M</v>
      </c>
      <c r="D136" s="4"/>
      <c r="E136" s="5" t="s">
        <v>402</v>
      </c>
      <c r="F136" s="5"/>
      <c r="G136" s="5"/>
      <c r="H136" s="5"/>
      <c r="I136" s="5"/>
    </row>
    <row r="137" customHeight="1" spans="1:9">
      <c r="A137" s="6" t="s">
        <v>1</v>
      </c>
      <c r="B137" s="7" t="s">
        <v>403</v>
      </c>
      <c r="C137" s="6" t="s">
        <v>404</v>
      </c>
      <c r="D137" s="6"/>
      <c r="E137" s="6"/>
      <c r="F137" s="6"/>
      <c r="G137" s="6"/>
      <c r="H137" s="6"/>
      <c r="I137" s="6"/>
    </row>
    <row r="138" customHeight="1" spans="1:9">
      <c r="A138" s="6"/>
      <c r="B138" s="8"/>
      <c r="C138" s="8" t="s">
        <v>405</v>
      </c>
      <c r="D138" s="8"/>
      <c r="E138" s="8" t="s">
        <v>87</v>
      </c>
      <c r="F138" s="8" t="s">
        <v>406</v>
      </c>
      <c r="G138" s="8" t="s">
        <v>407</v>
      </c>
      <c r="H138" s="8" t="s">
        <v>408</v>
      </c>
      <c r="I138" s="8" t="s">
        <v>6</v>
      </c>
    </row>
    <row r="139" customHeight="1" spans="1:9">
      <c r="A139" s="9">
        <v>8</v>
      </c>
      <c r="B139" s="10" t="s">
        <v>102</v>
      </c>
      <c r="C139" s="9" t="s">
        <v>409</v>
      </c>
      <c r="D139" s="11" t="s">
        <v>366</v>
      </c>
      <c r="E139" s="9" t="s">
        <v>96</v>
      </c>
      <c r="F139" s="9">
        <v>1</v>
      </c>
      <c r="G139" s="12">
        <v>15</v>
      </c>
      <c r="H139" s="12">
        <f t="shared" ref="H139:H145" si="10">F139*G139</f>
        <v>15</v>
      </c>
      <c r="I139" s="9"/>
    </row>
    <row r="140" customHeight="1" spans="1:9">
      <c r="A140" s="9"/>
      <c r="B140" s="10"/>
      <c r="C140" s="9" t="s">
        <v>410</v>
      </c>
      <c r="D140" s="11" t="s">
        <v>369</v>
      </c>
      <c r="E140" s="9" t="s">
        <v>96</v>
      </c>
      <c r="F140" s="13">
        <v>1</v>
      </c>
      <c r="G140" s="12">
        <v>15</v>
      </c>
      <c r="H140" s="12">
        <f t="shared" si="10"/>
        <v>15</v>
      </c>
      <c r="I140" s="9"/>
    </row>
    <row r="141" customHeight="1" spans="1:9">
      <c r="A141" s="9"/>
      <c r="B141" s="10"/>
      <c r="C141" s="9" t="s">
        <v>411</v>
      </c>
      <c r="D141" s="11" t="s">
        <v>412</v>
      </c>
      <c r="E141" s="9" t="s">
        <v>96</v>
      </c>
      <c r="F141" s="9">
        <v>1</v>
      </c>
      <c r="G141" s="12">
        <v>4</v>
      </c>
      <c r="H141" s="12">
        <v>4</v>
      </c>
      <c r="I141" s="9"/>
    </row>
    <row r="142" customHeight="1" spans="1:9">
      <c r="A142" s="9"/>
      <c r="B142" s="10"/>
      <c r="C142" s="14" t="s">
        <v>413</v>
      </c>
      <c r="D142" s="11" t="s">
        <v>436</v>
      </c>
      <c r="E142" s="9" t="s">
        <v>372</v>
      </c>
      <c r="F142" s="15">
        <v>1.47</v>
      </c>
      <c r="G142" s="12">
        <v>4.6</v>
      </c>
      <c r="H142" s="12">
        <f t="shared" si="10"/>
        <v>6.762</v>
      </c>
      <c r="I142" s="22" t="s">
        <v>415</v>
      </c>
    </row>
    <row r="143" customHeight="1" spans="1:9">
      <c r="A143" s="9"/>
      <c r="B143" s="10"/>
      <c r="C143" s="16"/>
      <c r="D143" s="11" t="s">
        <v>437</v>
      </c>
      <c r="E143" s="9" t="s">
        <v>372</v>
      </c>
      <c r="F143" s="12">
        <v>1.7</v>
      </c>
      <c r="G143" s="12">
        <v>4.6</v>
      </c>
      <c r="H143" s="12">
        <f t="shared" si="10"/>
        <v>7.82</v>
      </c>
      <c r="I143" s="22" t="s">
        <v>415</v>
      </c>
    </row>
    <row r="144" customHeight="1" spans="1:9">
      <c r="A144" s="9"/>
      <c r="B144" s="10"/>
      <c r="C144" s="16"/>
      <c r="D144" s="11" t="s">
        <v>434</v>
      </c>
      <c r="E144" s="9"/>
      <c r="F144" s="12">
        <v>1.58</v>
      </c>
      <c r="G144" s="12">
        <v>4.8</v>
      </c>
      <c r="H144" s="12">
        <f t="shared" si="10"/>
        <v>7.584</v>
      </c>
      <c r="I144" s="22"/>
    </row>
    <row r="145" customHeight="1" spans="1:9">
      <c r="A145" s="9"/>
      <c r="B145" s="10"/>
      <c r="C145" s="16"/>
      <c r="D145" s="11" t="s">
        <v>435</v>
      </c>
      <c r="E145" s="9"/>
      <c r="F145" s="12">
        <v>1.95</v>
      </c>
      <c r="G145" s="12">
        <v>4.7</v>
      </c>
      <c r="H145" s="12">
        <f t="shared" si="10"/>
        <v>9.165</v>
      </c>
      <c r="I145" s="22"/>
    </row>
    <row r="146" customHeight="1" spans="1:9">
      <c r="A146" s="9"/>
      <c r="B146" s="10"/>
      <c r="C146" s="16"/>
      <c r="D146" s="11" t="s">
        <v>417</v>
      </c>
      <c r="E146" s="9" t="s">
        <v>372</v>
      </c>
      <c r="F146" s="9">
        <v>1</v>
      </c>
      <c r="G146" s="12">
        <v>13</v>
      </c>
      <c r="H146" s="12">
        <v>13</v>
      </c>
      <c r="I146" s="12"/>
    </row>
    <row r="147" customHeight="1" spans="1:9">
      <c r="A147" s="9"/>
      <c r="B147" s="10"/>
      <c r="C147" s="16"/>
      <c r="D147" s="11" t="s">
        <v>65</v>
      </c>
      <c r="E147" s="9"/>
      <c r="F147" s="9"/>
      <c r="G147" s="12"/>
      <c r="H147" s="12">
        <f t="shared" ref="H147:H153" si="11">F147*G147</f>
        <v>0</v>
      </c>
      <c r="I147" s="12"/>
    </row>
    <row r="148" customHeight="1" spans="1:9">
      <c r="A148" s="9"/>
      <c r="B148" s="10"/>
      <c r="C148" s="17"/>
      <c r="F148" s="9"/>
      <c r="G148" s="12"/>
      <c r="H148" s="12">
        <f t="shared" si="11"/>
        <v>0</v>
      </c>
      <c r="I148" s="9"/>
    </row>
    <row r="149" customHeight="1" spans="1:9">
      <c r="A149" s="9"/>
      <c r="B149" s="10"/>
      <c r="C149" s="9" t="s">
        <v>418</v>
      </c>
      <c r="D149" s="20" t="s">
        <v>419</v>
      </c>
      <c r="E149" s="9" t="s">
        <v>378</v>
      </c>
      <c r="F149" s="9">
        <v>4</v>
      </c>
      <c r="G149" s="12">
        <v>0.3</v>
      </c>
      <c r="H149" s="12">
        <f t="shared" si="11"/>
        <v>1.2</v>
      </c>
      <c r="I149" s="22" t="s">
        <v>415</v>
      </c>
    </row>
    <row r="150" customHeight="1" spans="1:9">
      <c r="A150" s="9"/>
      <c r="B150" s="10"/>
      <c r="C150" s="9"/>
      <c r="D150" s="11" t="s">
        <v>420</v>
      </c>
      <c r="E150" s="9" t="s">
        <v>421</v>
      </c>
      <c r="F150" s="9">
        <v>2</v>
      </c>
      <c r="G150" s="12">
        <v>0.2</v>
      </c>
      <c r="H150" s="12">
        <f t="shared" si="11"/>
        <v>0.4</v>
      </c>
      <c r="I150" s="22" t="s">
        <v>415</v>
      </c>
    </row>
    <row r="151" customHeight="1" spans="1:9">
      <c r="A151" s="9"/>
      <c r="B151" s="10"/>
      <c r="C151" s="9"/>
      <c r="D151" s="11" t="s">
        <v>422</v>
      </c>
      <c r="E151" s="9" t="s">
        <v>378</v>
      </c>
      <c r="F151" s="9">
        <v>2</v>
      </c>
      <c r="G151" s="12">
        <v>0.5</v>
      </c>
      <c r="H151" s="12">
        <f t="shared" si="11"/>
        <v>1</v>
      </c>
      <c r="I151" s="9"/>
    </row>
    <row r="152" customHeight="1" spans="1:9">
      <c r="A152" s="9"/>
      <c r="B152" s="10"/>
      <c r="C152" s="9"/>
      <c r="D152" s="11" t="s">
        <v>423</v>
      </c>
      <c r="E152" s="9" t="s">
        <v>378</v>
      </c>
      <c r="F152" s="9">
        <v>4</v>
      </c>
      <c r="G152" s="12">
        <v>0.5</v>
      </c>
      <c r="H152" s="12">
        <f t="shared" si="11"/>
        <v>2</v>
      </c>
      <c r="I152" s="9"/>
    </row>
    <row r="153" customHeight="1" spans="1:9">
      <c r="A153" s="9"/>
      <c r="B153" s="10"/>
      <c r="C153" s="9"/>
      <c r="D153" s="11" t="s">
        <v>424</v>
      </c>
      <c r="E153" s="9" t="s">
        <v>96</v>
      </c>
      <c r="F153" s="9"/>
      <c r="G153" s="12"/>
      <c r="H153" s="12">
        <f t="shared" si="11"/>
        <v>0</v>
      </c>
      <c r="I153" s="9"/>
    </row>
    <row r="154" customHeight="1" spans="1:9">
      <c r="A154" s="9"/>
      <c r="B154" s="10"/>
      <c r="C154" s="9"/>
      <c r="D154" s="11" t="s">
        <v>65</v>
      </c>
      <c r="E154" s="11"/>
      <c r="F154" s="9"/>
      <c r="G154" s="12"/>
      <c r="H154" s="12"/>
      <c r="I154" s="9"/>
    </row>
    <row r="155" customHeight="1" spans="1:9">
      <c r="A155" s="9"/>
      <c r="B155" s="10"/>
      <c r="C155" s="9" t="s">
        <v>425</v>
      </c>
      <c r="D155" s="11" t="s">
        <v>426</v>
      </c>
      <c r="E155" s="9" t="s">
        <v>96</v>
      </c>
      <c r="F155" s="18">
        <v>1</v>
      </c>
      <c r="G155" s="12"/>
      <c r="H155" s="12">
        <v>12.64</v>
      </c>
      <c r="I155" s="9"/>
    </row>
    <row r="156" customHeight="1" spans="1:9">
      <c r="A156" s="9"/>
      <c r="B156" s="10"/>
      <c r="C156" s="6" t="s">
        <v>427</v>
      </c>
      <c r="D156" s="19" t="s">
        <v>428</v>
      </c>
      <c r="E156" s="6"/>
      <c r="F156" s="9"/>
      <c r="G156" s="12"/>
      <c r="H156" s="21">
        <v>95.57</v>
      </c>
      <c r="I156" s="9"/>
    </row>
    <row r="157" customHeight="1" spans="1:9">
      <c r="A157" s="9"/>
      <c r="B157" s="10"/>
      <c r="C157" s="14" t="s">
        <v>429</v>
      </c>
      <c r="D157" s="11" t="s">
        <v>430</v>
      </c>
      <c r="E157" s="9" t="s">
        <v>96</v>
      </c>
      <c r="F157" s="9"/>
      <c r="G157" s="12"/>
      <c r="H157" s="12">
        <f>H152+H151+H150+H149+H146+H145+H144+H143+H142</f>
        <v>48.931</v>
      </c>
      <c r="I157" s="9"/>
    </row>
    <row r="158" customHeight="1" spans="1:9">
      <c r="A158" s="9"/>
      <c r="B158" s="10"/>
      <c r="C158" s="17"/>
      <c r="D158" s="11" t="s">
        <v>431</v>
      </c>
      <c r="E158" s="9" t="s">
        <v>96</v>
      </c>
      <c r="F158" s="9"/>
      <c r="G158" s="9"/>
      <c r="H158" s="9">
        <f>H155+H139+H140+H141</f>
        <v>46.64</v>
      </c>
      <c r="I158" s="9"/>
    </row>
    <row r="159" customHeight="1" spans="1:9">
      <c r="A159" s="3"/>
      <c r="B159" s="3"/>
      <c r="C159" s="4" t="str">
        <f>B162</f>
        <v>阳台栏杆 高900mm L≤4M</v>
      </c>
      <c r="D159" s="4"/>
      <c r="E159" s="5" t="s">
        <v>402</v>
      </c>
      <c r="F159" s="5"/>
      <c r="G159" s="5"/>
      <c r="H159" s="5"/>
      <c r="I159" s="5"/>
    </row>
    <row r="160" customHeight="1" spans="1:9">
      <c r="A160" s="6" t="s">
        <v>1</v>
      </c>
      <c r="B160" s="7" t="s">
        <v>403</v>
      </c>
      <c r="C160" s="6" t="s">
        <v>404</v>
      </c>
      <c r="D160" s="6"/>
      <c r="E160" s="6"/>
      <c r="F160" s="6"/>
      <c r="G160" s="6"/>
      <c r="H160" s="6"/>
      <c r="I160" s="6"/>
    </row>
    <row r="161" customHeight="1" spans="1:9">
      <c r="A161" s="6"/>
      <c r="B161" s="8"/>
      <c r="C161" s="8" t="s">
        <v>405</v>
      </c>
      <c r="D161" s="8"/>
      <c r="E161" s="8" t="s">
        <v>87</v>
      </c>
      <c r="F161" s="8" t="s">
        <v>406</v>
      </c>
      <c r="G161" s="8" t="s">
        <v>407</v>
      </c>
      <c r="H161" s="8" t="s">
        <v>408</v>
      </c>
      <c r="I161" s="8" t="s">
        <v>6</v>
      </c>
    </row>
    <row r="162" customHeight="1" spans="1:9">
      <c r="A162" s="10">
        <v>9</v>
      </c>
      <c r="B162" s="10" t="s">
        <v>103</v>
      </c>
      <c r="C162" s="9" t="s">
        <v>409</v>
      </c>
      <c r="D162" s="11" t="s">
        <v>366</v>
      </c>
      <c r="E162" s="9" t="s">
        <v>96</v>
      </c>
      <c r="F162" s="9">
        <v>1</v>
      </c>
      <c r="G162" s="12">
        <v>15</v>
      </c>
      <c r="H162" s="12">
        <f t="shared" ref="H162:H169" si="12">F162*G162</f>
        <v>15</v>
      </c>
      <c r="I162" s="9"/>
    </row>
    <row r="163" customHeight="1" spans="1:9">
      <c r="A163" s="10"/>
      <c r="B163" s="10"/>
      <c r="C163" s="9" t="s">
        <v>410</v>
      </c>
      <c r="D163" s="11" t="s">
        <v>369</v>
      </c>
      <c r="E163" s="9" t="s">
        <v>96</v>
      </c>
      <c r="F163" s="13">
        <v>1</v>
      </c>
      <c r="G163" s="12">
        <v>15</v>
      </c>
      <c r="H163" s="12">
        <f t="shared" si="12"/>
        <v>15</v>
      </c>
      <c r="I163" s="9"/>
    </row>
    <row r="164" customHeight="1" spans="1:9">
      <c r="A164" s="10"/>
      <c r="B164" s="10"/>
      <c r="C164" s="9" t="s">
        <v>411</v>
      </c>
      <c r="D164" s="11" t="s">
        <v>412</v>
      </c>
      <c r="E164" s="9" t="s">
        <v>96</v>
      </c>
      <c r="F164" s="9">
        <v>1</v>
      </c>
      <c r="G164" s="12">
        <v>4</v>
      </c>
      <c r="H164" s="12">
        <v>4</v>
      </c>
      <c r="I164" s="9"/>
    </row>
    <row r="165" customHeight="1" spans="1:9">
      <c r="A165" s="10"/>
      <c r="B165" s="10"/>
      <c r="C165" s="14" t="s">
        <v>413</v>
      </c>
      <c r="D165" s="11" t="s">
        <v>436</v>
      </c>
      <c r="E165" s="9" t="s">
        <v>372</v>
      </c>
      <c r="F165" s="15">
        <v>1.47</v>
      </c>
      <c r="G165" s="12">
        <v>4.6</v>
      </c>
      <c r="H165" s="12">
        <f>F165*G165</f>
        <v>6.762</v>
      </c>
      <c r="I165" s="22" t="s">
        <v>415</v>
      </c>
    </row>
    <row r="166" customHeight="1" spans="1:9">
      <c r="A166" s="10"/>
      <c r="B166" s="10"/>
      <c r="C166" s="16"/>
      <c r="D166" s="11" t="s">
        <v>437</v>
      </c>
      <c r="E166" s="9" t="s">
        <v>372</v>
      </c>
      <c r="F166" s="12">
        <v>1.9</v>
      </c>
      <c r="G166" s="12">
        <v>4.6</v>
      </c>
      <c r="H166" s="12">
        <f>F166*G166</f>
        <v>8.74</v>
      </c>
      <c r="I166" s="22" t="s">
        <v>415</v>
      </c>
    </row>
    <row r="167" customHeight="1" spans="1:9">
      <c r="A167" s="10"/>
      <c r="B167" s="10"/>
      <c r="C167" s="16"/>
      <c r="D167" s="11" t="s">
        <v>434</v>
      </c>
      <c r="E167" s="9"/>
      <c r="F167" s="12">
        <v>2.1</v>
      </c>
      <c r="G167" s="12">
        <v>4.8</v>
      </c>
      <c r="H167" s="12">
        <f t="shared" si="12"/>
        <v>10.08</v>
      </c>
      <c r="I167" s="22"/>
    </row>
    <row r="168" customHeight="1" spans="1:9">
      <c r="A168" s="10"/>
      <c r="B168" s="10"/>
      <c r="C168" s="16"/>
      <c r="D168" s="11" t="s">
        <v>435</v>
      </c>
      <c r="E168" s="9"/>
      <c r="F168" s="12">
        <v>1.95</v>
      </c>
      <c r="G168" s="12">
        <v>4.7</v>
      </c>
      <c r="H168" s="12">
        <f t="shared" si="12"/>
        <v>9.165</v>
      </c>
      <c r="I168" s="22"/>
    </row>
    <row r="169" customHeight="1" spans="1:9">
      <c r="A169" s="10"/>
      <c r="B169" s="10"/>
      <c r="C169" s="16"/>
      <c r="D169" s="11" t="s">
        <v>417</v>
      </c>
      <c r="E169" s="9" t="s">
        <v>372</v>
      </c>
      <c r="F169" s="9">
        <v>1</v>
      </c>
      <c r="G169" s="12">
        <v>14</v>
      </c>
      <c r="H169" s="12">
        <f t="shared" si="12"/>
        <v>14</v>
      </c>
      <c r="I169" s="12"/>
    </row>
    <row r="170" customHeight="1" spans="1:9">
      <c r="A170" s="10"/>
      <c r="B170" s="10"/>
      <c r="C170" s="16"/>
      <c r="D170" s="11" t="s">
        <v>65</v>
      </c>
      <c r="E170" s="9"/>
      <c r="F170" s="9"/>
      <c r="G170" s="12"/>
      <c r="H170" s="12">
        <f t="shared" ref="H170:H175" si="13">F170*G170</f>
        <v>0</v>
      </c>
      <c r="I170" s="12"/>
    </row>
    <row r="171" customHeight="1" spans="1:9">
      <c r="A171" s="10"/>
      <c r="B171" s="10"/>
      <c r="C171" s="17"/>
      <c r="F171" s="9"/>
      <c r="G171" s="12"/>
      <c r="H171" s="12">
        <f t="shared" si="13"/>
        <v>0</v>
      </c>
      <c r="I171" s="9"/>
    </row>
    <row r="172" customHeight="1" spans="1:9">
      <c r="A172" s="10"/>
      <c r="B172" s="10"/>
      <c r="C172" s="9" t="s">
        <v>418</v>
      </c>
      <c r="D172" s="20" t="s">
        <v>419</v>
      </c>
      <c r="E172" s="9" t="s">
        <v>378</v>
      </c>
      <c r="F172" s="9">
        <v>4</v>
      </c>
      <c r="G172" s="12">
        <v>0.3</v>
      </c>
      <c r="H172" s="12">
        <f t="shared" si="13"/>
        <v>1.2</v>
      </c>
      <c r="I172" s="22" t="s">
        <v>415</v>
      </c>
    </row>
    <row r="173" customHeight="1" spans="1:9">
      <c r="A173" s="10"/>
      <c r="B173" s="10"/>
      <c r="C173" s="9"/>
      <c r="D173" s="11" t="s">
        <v>420</v>
      </c>
      <c r="E173" s="9" t="s">
        <v>421</v>
      </c>
      <c r="F173" s="9">
        <v>2</v>
      </c>
      <c r="G173" s="12">
        <v>0.2</v>
      </c>
      <c r="H173" s="12">
        <f t="shared" si="13"/>
        <v>0.4</v>
      </c>
      <c r="I173" s="22" t="s">
        <v>415</v>
      </c>
    </row>
    <row r="174" customHeight="1" spans="1:9">
      <c r="A174" s="10"/>
      <c r="B174" s="10"/>
      <c r="C174" s="9"/>
      <c r="D174" s="11" t="s">
        <v>422</v>
      </c>
      <c r="E174" s="9" t="s">
        <v>378</v>
      </c>
      <c r="F174" s="9">
        <v>2</v>
      </c>
      <c r="G174" s="12">
        <v>0.5</v>
      </c>
      <c r="H174" s="12">
        <f t="shared" si="13"/>
        <v>1</v>
      </c>
      <c r="I174" s="9"/>
    </row>
    <row r="175" customHeight="1" spans="1:9">
      <c r="A175" s="10"/>
      <c r="B175" s="10"/>
      <c r="C175" s="9"/>
      <c r="D175" s="11" t="s">
        <v>423</v>
      </c>
      <c r="E175" s="9" t="s">
        <v>378</v>
      </c>
      <c r="F175" s="9">
        <v>4</v>
      </c>
      <c r="G175" s="12">
        <v>0.5</v>
      </c>
      <c r="H175" s="12">
        <f t="shared" si="13"/>
        <v>2</v>
      </c>
      <c r="I175" s="9"/>
    </row>
    <row r="176" customHeight="1" spans="1:9">
      <c r="A176" s="10"/>
      <c r="B176" s="10"/>
      <c r="C176" s="9"/>
      <c r="D176" s="11" t="s">
        <v>424</v>
      </c>
      <c r="E176" s="9" t="s">
        <v>96</v>
      </c>
      <c r="F176" s="9"/>
      <c r="G176" s="12"/>
      <c r="H176" s="12"/>
      <c r="I176" s="9"/>
    </row>
    <row r="177" customHeight="1" spans="1:9">
      <c r="A177" s="10"/>
      <c r="B177" s="10"/>
      <c r="C177" s="9"/>
      <c r="D177" s="11" t="s">
        <v>65</v>
      </c>
      <c r="E177" s="11"/>
      <c r="F177" s="9"/>
      <c r="G177" s="12"/>
      <c r="H177" s="12"/>
      <c r="I177" s="9"/>
    </row>
    <row r="178" customHeight="1" spans="1:9">
      <c r="A178" s="10"/>
      <c r="B178" s="10"/>
      <c r="C178" s="9" t="s">
        <v>425</v>
      </c>
      <c r="D178" s="11" t="s">
        <v>426</v>
      </c>
      <c r="E178" s="9" t="s">
        <v>96</v>
      </c>
      <c r="F178" s="18">
        <v>1</v>
      </c>
      <c r="G178" s="12"/>
      <c r="H178" s="12">
        <v>11.76</v>
      </c>
      <c r="I178" s="9"/>
    </row>
    <row r="179" customHeight="1" spans="1:9">
      <c r="A179" s="10"/>
      <c r="B179" s="10"/>
      <c r="C179" s="6" t="s">
        <v>427</v>
      </c>
      <c r="D179" s="19" t="s">
        <v>428</v>
      </c>
      <c r="E179" s="6"/>
      <c r="F179" s="9"/>
      <c r="G179" s="12"/>
      <c r="H179" s="21">
        <v>99.11</v>
      </c>
      <c r="I179" s="9"/>
    </row>
    <row r="180" customHeight="1" spans="1:9">
      <c r="A180" s="10"/>
      <c r="B180" s="10"/>
      <c r="C180" s="14" t="s">
        <v>429</v>
      </c>
      <c r="D180" s="11" t="s">
        <v>430</v>
      </c>
      <c r="E180" s="9" t="s">
        <v>96</v>
      </c>
      <c r="F180" s="9"/>
      <c r="G180" s="12"/>
      <c r="H180" s="12">
        <f>H175+H174+H173+H172+H169+H168+H167+H166+H165</f>
        <v>53.347</v>
      </c>
      <c r="I180" s="9"/>
    </row>
    <row r="181" customHeight="1" spans="1:9">
      <c r="A181" s="10"/>
      <c r="B181" s="10"/>
      <c r="C181" s="17"/>
      <c r="D181" s="11" t="s">
        <v>431</v>
      </c>
      <c r="E181" s="9" t="s">
        <v>96</v>
      </c>
      <c r="F181" s="9"/>
      <c r="G181" s="9"/>
      <c r="H181" s="9">
        <f>H178+H162+H163+H164</f>
        <v>45.76</v>
      </c>
      <c r="I181" s="9"/>
    </row>
    <row r="182" customHeight="1" spans="1:9">
      <c r="A182" s="3"/>
      <c r="B182" s="3"/>
      <c r="C182" s="4" t="str">
        <f>B185</f>
        <v>阳台栏杆 高900mm L&gt;4M</v>
      </c>
      <c r="D182" s="4"/>
      <c r="E182" s="5" t="s">
        <v>402</v>
      </c>
      <c r="F182" s="5"/>
      <c r="G182" s="5"/>
      <c r="H182" s="5"/>
      <c r="I182" s="5"/>
    </row>
    <row r="183" customHeight="1" spans="1:9">
      <c r="A183" s="6" t="s">
        <v>1</v>
      </c>
      <c r="B183" s="7" t="s">
        <v>403</v>
      </c>
      <c r="C183" s="6" t="s">
        <v>404</v>
      </c>
      <c r="D183" s="6"/>
      <c r="E183" s="6"/>
      <c r="F183" s="6"/>
      <c r="G183" s="6"/>
      <c r="H183" s="6"/>
      <c r="I183" s="6"/>
    </row>
    <row r="184" customHeight="1" spans="1:9">
      <c r="A184" s="6"/>
      <c r="B184" s="8"/>
      <c r="C184" s="8" t="s">
        <v>405</v>
      </c>
      <c r="D184" s="8"/>
      <c r="E184" s="8" t="s">
        <v>87</v>
      </c>
      <c r="F184" s="8" t="s">
        <v>406</v>
      </c>
      <c r="G184" s="8" t="s">
        <v>407</v>
      </c>
      <c r="H184" s="8" t="s">
        <v>408</v>
      </c>
      <c r="I184" s="8" t="s">
        <v>6</v>
      </c>
    </row>
    <row r="185" customHeight="1" spans="1:9">
      <c r="A185" s="9">
        <f>结算明细表!A13</f>
        <v>10</v>
      </c>
      <c r="B185" s="10" t="str">
        <f>结算明细表!B13</f>
        <v>阳台栏杆 高900mm L&gt;4M</v>
      </c>
      <c r="C185" s="9" t="s">
        <v>409</v>
      </c>
      <c r="D185" s="11" t="s">
        <v>366</v>
      </c>
      <c r="E185" s="9" t="s">
        <v>96</v>
      </c>
      <c r="F185" s="9">
        <v>1</v>
      </c>
      <c r="G185" s="12">
        <v>15</v>
      </c>
      <c r="H185" s="12">
        <f t="shared" ref="H185:H192" si="14">F185*G185</f>
        <v>15</v>
      </c>
      <c r="I185" s="9"/>
    </row>
    <row r="186" customHeight="1" spans="1:9">
      <c r="A186" s="9"/>
      <c r="B186" s="10"/>
      <c r="C186" s="9" t="s">
        <v>410</v>
      </c>
      <c r="D186" s="11" t="s">
        <v>369</v>
      </c>
      <c r="E186" s="9" t="s">
        <v>96</v>
      </c>
      <c r="F186" s="13">
        <v>1</v>
      </c>
      <c r="G186" s="12">
        <v>15</v>
      </c>
      <c r="H186" s="12">
        <f t="shared" si="14"/>
        <v>15</v>
      </c>
      <c r="I186" s="9"/>
    </row>
    <row r="187" customHeight="1" spans="1:9">
      <c r="A187" s="9"/>
      <c r="B187" s="10"/>
      <c r="C187" s="9" t="s">
        <v>411</v>
      </c>
      <c r="D187" s="11" t="s">
        <v>412</v>
      </c>
      <c r="E187" s="9" t="s">
        <v>96</v>
      </c>
      <c r="F187" s="9">
        <v>1</v>
      </c>
      <c r="G187" s="12">
        <v>4</v>
      </c>
      <c r="H187" s="12">
        <v>4</v>
      </c>
      <c r="I187" s="9"/>
    </row>
    <row r="188" customHeight="1" spans="1:9">
      <c r="A188" s="9"/>
      <c r="B188" s="10"/>
      <c r="C188" s="14" t="s">
        <v>413</v>
      </c>
      <c r="D188" s="11" t="s">
        <v>432</v>
      </c>
      <c r="E188" s="9" t="s">
        <v>372</v>
      </c>
      <c r="F188" s="15">
        <v>1.84</v>
      </c>
      <c r="G188" s="12">
        <v>4.6</v>
      </c>
      <c r="H188" s="12">
        <f t="shared" si="14"/>
        <v>8.464</v>
      </c>
      <c r="I188" s="22" t="s">
        <v>415</v>
      </c>
    </row>
    <row r="189" customHeight="1" spans="1:9">
      <c r="A189" s="9"/>
      <c r="B189" s="10"/>
      <c r="C189" s="16"/>
      <c r="D189" s="11" t="s">
        <v>433</v>
      </c>
      <c r="E189" s="9" t="s">
        <v>372</v>
      </c>
      <c r="F189" s="12">
        <v>2.4</v>
      </c>
      <c r="G189" s="12">
        <v>4.6</v>
      </c>
      <c r="H189" s="12">
        <f t="shared" si="14"/>
        <v>11.04</v>
      </c>
      <c r="I189" s="22" t="s">
        <v>415</v>
      </c>
    </row>
    <row r="190" customHeight="1" spans="1:9">
      <c r="A190" s="9"/>
      <c r="B190" s="10"/>
      <c r="C190" s="16"/>
      <c r="D190" s="11" t="s">
        <v>434</v>
      </c>
      <c r="E190" s="9" t="s">
        <v>372</v>
      </c>
      <c r="F190" s="12">
        <v>2.1</v>
      </c>
      <c r="G190" s="12">
        <v>4.8</v>
      </c>
      <c r="H190" s="12">
        <f t="shared" si="14"/>
        <v>10.08</v>
      </c>
      <c r="I190" s="22"/>
    </row>
    <row r="191" customHeight="1" spans="1:9">
      <c r="A191" s="9"/>
      <c r="B191" s="10"/>
      <c r="C191" s="16"/>
      <c r="D191" s="11" t="s">
        <v>435</v>
      </c>
      <c r="E191" s="9" t="s">
        <v>372</v>
      </c>
      <c r="F191" s="12">
        <v>1.95</v>
      </c>
      <c r="G191" s="12">
        <v>4.7</v>
      </c>
      <c r="H191" s="12">
        <f t="shared" si="14"/>
        <v>9.165</v>
      </c>
      <c r="I191" s="22"/>
    </row>
    <row r="192" customHeight="1" spans="1:9">
      <c r="A192" s="9"/>
      <c r="B192" s="10"/>
      <c r="C192" s="16"/>
      <c r="D192" s="11" t="s">
        <v>417</v>
      </c>
      <c r="E192" s="9" t="s">
        <v>372</v>
      </c>
      <c r="F192" s="9">
        <v>1</v>
      </c>
      <c r="G192" s="12">
        <v>14</v>
      </c>
      <c r="H192" s="12">
        <f t="shared" si="14"/>
        <v>14</v>
      </c>
      <c r="I192" s="12"/>
    </row>
    <row r="193" customHeight="1" spans="1:9">
      <c r="A193" s="9"/>
      <c r="B193" s="10"/>
      <c r="C193" s="16"/>
      <c r="D193" s="11" t="s">
        <v>65</v>
      </c>
      <c r="E193" s="9"/>
      <c r="F193" s="9"/>
      <c r="G193" s="12"/>
      <c r="H193" s="12">
        <f t="shared" ref="H193:H198" si="15">F193*G193</f>
        <v>0</v>
      </c>
      <c r="I193" s="12"/>
    </row>
    <row r="194" customHeight="1" spans="1:9">
      <c r="A194" s="9"/>
      <c r="B194" s="10"/>
      <c r="C194" s="17"/>
      <c r="F194" s="9"/>
      <c r="G194" s="12"/>
      <c r="H194" s="12">
        <f t="shared" si="15"/>
        <v>0</v>
      </c>
      <c r="I194" s="9"/>
    </row>
    <row r="195" customHeight="1" spans="1:9">
      <c r="A195" s="9"/>
      <c r="B195" s="10"/>
      <c r="C195" s="9" t="s">
        <v>418</v>
      </c>
      <c r="D195" s="20" t="s">
        <v>419</v>
      </c>
      <c r="E195" s="9" t="s">
        <v>378</v>
      </c>
      <c r="F195" s="9">
        <v>4</v>
      </c>
      <c r="G195" s="12">
        <v>0.3</v>
      </c>
      <c r="H195" s="12">
        <f t="shared" si="15"/>
        <v>1.2</v>
      </c>
      <c r="I195" s="22" t="s">
        <v>415</v>
      </c>
    </row>
    <row r="196" customHeight="1" spans="1:9">
      <c r="A196" s="9"/>
      <c r="B196" s="10"/>
      <c r="C196" s="9"/>
      <c r="D196" s="11" t="s">
        <v>420</v>
      </c>
      <c r="E196" s="9" t="s">
        <v>421</v>
      </c>
      <c r="F196" s="9">
        <v>2</v>
      </c>
      <c r="G196" s="12">
        <v>0.2</v>
      </c>
      <c r="H196" s="12">
        <f t="shared" si="15"/>
        <v>0.4</v>
      </c>
      <c r="I196" s="22" t="s">
        <v>415</v>
      </c>
    </row>
    <row r="197" customHeight="1" spans="1:9">
      <c r="A197" s="9"/>
      <c r="B197" s="10"/>
      <c r="C197" s="9"/>
      <c r="D197" s="11" t="s">
        <v>422</v>
      </c>
      <c r="E197" s="9" t="s">
        <v>378</v>
      </c>
      <c r="F197" s="9">
        <v>2</v>
      </c>
      <c r="G197" s="12">
        <v>0.5</v>
      </c>
      <c r="H197" s="12">
        <f t="shared" si="15"/>
        <v>1</v>
      </c>
      <c r="I197" s="9"/>
    </row>
    <row r="198" customHeight="1" spans="1:9">
      <c r="A198" s="9"/>
      <c r="B198" s="10"/>
      <c r="C198" s="9"/>
      <c r="D198" s="11" t="s">
        <v>423</v>
      </c>
      <c r="E198" s="9" t="s">
        <v>378</v>
      </c>
      <c r="F198" s="9">
        <v>4</v>
      </c>
      <c r="G198" s="12">
        <v>0.5</v>
      </c>
      <c r="H198" s="12">
        <f t="shared" si="15"/>
        <v>2</v>
      </c>
      <c r="I198" s="9"/>
    </row>
    <row r="199" customHeight="1" spans="1:9">
      <c r="A199" s="9"/>
      <c r="B199" s="10"/>
      <c r="C199" s="9"/>
      <c r="D199" s="11" t="s">
        <v>424</v>
      </c>
      <c r="E199" s="9" t="s">
        <v>96</v>
      </c>
      <c r="F199" s="9"/>
      <c r="G199" s="12"/>
      <c r="H199" s="12"/>
      <c r="I199" s="9"/>
    </row>
    <row r="200" customHeight="1" spans="1:9">
      <c r="A200" s="9"/>
      <c r="B200" s="10"/>
      <c r="C200" s="9"/>
      <c r="D200" s="11" t="s">
        <v>65</v>
      </c>
      <c r="E200" s="11"/>
      <c r="F200" s="9"/>
      <c r="G200" s="12"/>
      <c r="H200" s="12"/>
      <c r="I200" s="9"/>
    </row>
    <row r="201" customHeight="1" spans="1:9">
      <c r="A201" s="9"/>
      <c r="B201" s="10"/>
      <c r="C201" s="9" t="s">
        <v>425</v>
      </c>
      <c r="D201" s="11" t="s">
        <v>426</v>
      </c>
      <c r="E201" s="9" t="s">
        <v>96</v>
      </c>
      <c r="F201" s="18">
        <v>1</v>
      </c>
      <c r="G201" s="12"/>
      <c r="H201" s="12">
        <v>5.99</v>
      </c>
      <c r="I201" s="9"/>
    </row>
    <row r="202" customHeight="1" spans="1:9">
      <c r="A202" s="9"/>
      <c r="B202" s="10"/>
      <c r="C202" s="6" t="s">
        <v>427</v>
      </c>
      <c r="D202" s="19" t="s">
        <v>428</v>
      </c>
      <c r="E202" s="6"/>
      <c r="F202" s="9"/>
      <c r="G202" s="12"/>
      <c r="H202" s="21">
        <v>97.34</v>
      </c>
      <c r="I202" s="9"/>
    </row>
    <row r="203" customHeight="1" spans="1:9">
      <c r="A203" s="9"/>
      <c r="B203" s="10"/>
      <c r="C203" s="14" t="s">
        <v>429</v>
      </c>
      <c r="D203" s="11" t="s">
        <v>430</v>
      </c>
      <c r="E203" s="9" t="s">
        <v>96</v>
      </c>
      <c r="F203" s="9"/>
      <c r="G203" s="12"/>
      <c r="H203" s="12">
        <f>H198+H197+H196+H195+H192+H191+H190+H189+H188</f>
        <v>57.349</v>
      </c>
      <c r="I203" s="9"/>
    </row>
    <row r="204" customHeight="1" spans="1:9">
      <c r="A204" s="9"/>
      <c r="B204" s="10"/>
      <c r="C204" s="17"/>
      <c r="D204" s="11" t="s">
        <v>431</v>
      </c>
      <c r="E204" s="9" t="s">
        <v>96</v>
      </c>
      <c r="F204" s="9"/>
      <c r="G204" s="9"/>
      <c r="H204" s="9">
        <f>H201+H185+H186+H187</f>
        <v>39.99</v>
      </c>
      <c r="I204" s="9"/>
    </row>
    <row r="205" customHeight="1" spans="1:9">
      <c r="A205" s="3"/>
      <c r="B205" s="3"/>
      <c r="C205" s="4" t="str">
        <f>B208</f>
        <v>飘窗栏杆 高900mm</v>
      </c>
      <c r="D205" s="4"/>
      <c r="E205" s="5" t="s">
        <v>402</v>
      </c>
      <c r="F205" s="5"/>
      <c r="G205" s="5"/>
      <c r="H205" s="5"/>
      <c r="I205" s="5"/>
    </row>
    <row r="206" customHeight="1" spans="1:9">
      <c r="A206" s="6" t="s">
        <v>1</v>
      </c>
      <c r="B206" s="7" t="s">
        <v>403</v>
      </c>
      <c r="C206" s="6" t="s">
        <v>404</v>
      </c>
      <c r="D206" s="6"/>
      <c r="E206" s="6"/>
      <c r="F206" s="6"/>
      <c r="G206" s="6"/>
      <c r="H206" s="6"/>
      <c r="I206" s="6"/>
    </row>
    <row r="207" customHeight="1" spans="1:9">
      <c r="A207" s="6"/>
      <c r="B207" s="8"/>
      <c r="C207" s="8" t="s">
        <v>405</v>
      </c>
      <c r="D207" s="8"/>
      <c r="E207" s="8" t="s">
        <v>87</v>
      </c>
      <c r="F207" s="8" t="s">
        <v>406</v>
      </c>
      <c r="G207" s="8" t="s">
        <v>407</v>
      </c>
      <c r="H207" s="8" t="s">
        <v>408</v>
      </c>
      <c r="I207" s="8" t="s">
        <v>6</v>
      </c>
    </row>
    <row r="208" customHeight="1" spans="1:9">
      <c r="A208" s="10">
        <f>结算明细表!A14</f>
        <v>11</v>
      </c>
      <c r="B208" s="10" t="str">
        <f>结算明细表!B14</f>
        <v>飘窗栏杆 高900mm</v>
      </c>
      <c r="C208" s="9" t="s">
        <v>409</v>
      </c>
      <c r="D208" s="11" t="s">
        <v>366</v>
      </c>
      <c r="E208" s="9" t="s">
        <v>96</v>
      </c>
      <c r="F208" s="9">
        <v>1</v>
      </c>
      <c r="G208" s="12">
        <v>15</v>
      </c>
      <c r="H208" s="12">
        <f t="shared" ref="H208:H219" si="16">F208*G208</f>
        <v>15</v>
      </c>
      <c r="I208" s="9"/>
    </row>
    <row r="209" customHeight="1" spans="1:9">
      <c r="A209" s="10"/>
      <c r="B209" s="10"/>
      <c r="C209" s="9" t="s">
        <v>410</v>
      </c>
      <c r="D209" s="11" t="s">
        <v>369</v>
      </c>
      <c r="E209" s="9" t="s">
        <v>96</v>
      </c>
      <c r="F209" s="13">
        <v>1</v>
      </c>
      <c r="G209" s="12">
        <v>15</v>
      </c>
      <c r="H209" s="12">
        <f t="shared" si="16"/>
        <v>15</v>
      </c>
      <c r="I209" s="9"/>
    </row>
    <row r="210" customHeight="1" spans="1:9">
      <c r="A210" s="10"/>
      <c r="B210" s="10"/>
      <c r="C210" s="9" t="s">
        <v>411</v>
      </c>
      <c r="D210" s="11" t="s">
        <v>412</v>
      </c>
      <c r="E210" s="9" t="s">
        <v>96</v>
      </c>
      <c r="F210" s="9">
        <v>1</v>
      </c>
      <c r="G210" s="12">
        <v>4</v>
      </c>
      <c r="H210" s="12">
        <v>4</v>
      </c>
      <c r="I210" s="9"/>
    </row>
    <row r="211" customHeight="1" spans="1:9">
      <c r="A211" s="10"/>
      <c r="B211" s="10"/>
      <c r="C211" s="14" t="s">
        <v>413</v>
      </c>
      <c r="D211" s="11" t="s">
        <v>414</v>
      </c>
      <c r="E211" s="9" t="s">
        <v>372</v>
      </c>
      <c r="F211" s="15">
        <v>1.52</v>
      </c>
      <c r="G211" s="12">
        <v>4.6</v>
      </c>
      <c r="H211" s="12">
        <f t="shared" si="16"/>
        <v>6.992</v>
      </c>
      <c r="I211" s="22" t="s">
        <v>415</v>
      </c>
    </row>
    <row r="212" customHeight="1" spans="1:9">
      <c r="A212" s="10"/>
      <c r="B212" s="10"/>
      <c r="C212" s="16"/>
      <c r="D212" s="11" t="s">
        <v>416</v>
      </c>
      <c r="E212" s="9" t="s">
        <v>372</v>
      </c>
      <c r="F212" s="12">
        <v>2.28</v>
      </c>
      <c r="G212" s="12">
        <v>4.8</v>
      </c>
      <c r="H212" s="12">
        <f t="shared" si="16"/>
        <v>10.944</v>
      </c>
      <c r="I212" s="22" t="s">
        <v>415</v>
      </c>
    </row>
    <row r="213" customHeight="1" spans="1:9">
      <c r="A213" s="10"/>
      <c r="B213" s="10"/>
      <c r="C213" s="16"/>
      <c r="D213" s="11" t="s">
        <v>417</v>
      </c>
      <c r="E213" s="9" t="s">
        <v>372</v>
      </c>
      <c r="F213" s="12">
        <v>1</v>
      </c>
      <c r="G213" s="12">
        <v>12</v>
      </c>
      <c r="H213" s="12">
        <f t="shared" si="16"/>
        <v>12</v>
      </c>
      <c r="I213" s="12"/>
    </row>
    <row r="214" customHeight="1" spans="1:9">
      <c r="A214" s="10"/>
      <c r="B214" s="10"/>
      <c r="C214" s="16"/>
      <c r="D214" s="11" t="s">
        <v>65</v>
      </c>
      <c r="E214" s="9"/>
      <c r="F214" s="12"/>
      <c r="G214" s="12"/>
      <c r="H214" s="12">
        <f t="shared" si="16"/>
        <v>0</v>
      </c>
      <c r="I214" s="12"/>
    </row>
    <row r="215" customHeight="1" spans="1:9">
      <c r="A215" s="10"/>
      <c r="B215" s="10"/>
      <c r="C215" s="17"/>
      <c r="F215" s="9"/>
      <c r="G215" s="12"/>
      <c r="H215" s="12">
        <f t="shared" si="16"/>
        <v>0</v>
      </c>
      <c r="I215" s="9"/>
    </row>
    <row r="216" customHeight="1" spans="1:9">
      <c r="A216" s="10"/>
      <c r="B216" s="10"/>
      <c r="C216" s="9" t="s">
        <v>418</v>
      </c>
      <c r="D216" s="20" t="s">
        <v>419</v>
      </c>
      <c r="E216" s="9" t="s">
        <v>378</v>
      </c>
      <c r="F216" s="9">
        <v>4</v>
      </c>
      <c r="G216" s="12">
        <v>0.3</v>
      </c>
      <c r="H216" s="12">
        <f t="shared" si="16"/>
        <v>1.2</v>
      </c>
      <c r="I216" s="22" t="s">
        <v>415</v>
      </c>
    </row>
    <row r="217" customHeight="1" spans="1:9">
      <c r="A217" s="10"/>
      <c r="B217" s="10"/>
      <c r="C217" s="9"/>
      <c r="D217" s="11" t="s">
        <v>420</v>
      </c>
      <c r="E217" s="9" t="s">
        <v>421</v>
      </c>
      <c r="F217" s="9">
        <v>4</v>
      </c>
      <c r="G217" s="12">
        <v>0.15</v>
      </c>
      <c r="H217" s="12">
        <f t="shared" si="16"/>
        <v>0.6</v>
      </c>
      <c r="I217" s="22" t="s">
        <v>415</v>
      </c>
    </row>
    <row r="218" customHeight="1" spans="1:9">
      <c r="A218" s="10"/>
      <c r="B218" s="10"/>
      <c r="C218" s="9"/>
      <c r="D218" s="11" t="s">
        <v>422</v>
      </c>
      <c r="E218" s="9" t="s">
        <v>378</v>
      </c>
      <c r="F218" s="9"/>
      <c r="G218" s="12"/>
      <c r="H218" s="12">
        <f t="shared" si="16"/>
        <v>0</v>
      </c>
      <c r="I218" s="9"/>
    </row>
    <row r="219" customHeight="1" spans="1:9">
      <c r="A219" s="10"/>
      <c r="B219" s="10"/>
      <c r="C219" s="9"/>
      <c r="D219" s="11" t="s">
        <v>423</v>
      </c>
      <c r="E219" s="9" t="s">
        <v>378</v>
      </c>
      <c r="F219" s="9">
        <v>4</v>
      </c>
      <c r="G219" s="12">
        <v>0.5</v>
      </c>
      <c r="H219" s="12">
        <f t="shared" si="16"/>
        <v>2</v>
      </c>
      <c r="I219" s="9"/>
    </row>
    <row r="220" customHeight="1" spans="1:9">
      <c r="A220" s="10"/>
      <c r="B220" s="10"/>
      <c r="C220" s="9"/>
      <c r="D220" s="11" t="s">
        <v>424</v>
      </c>
      <c r="E220" s="9" t="s">
        <v>96</v>
      </c>
      <c r="F220" s="9"/>
      <c r="G220" s="12"/>
      <c r="H220" s="12"/>
      <c r="I220" s="9"/>
    </row>
    <row r="221" customHeight="1" spans="1:9">
      <c r="A221" s="10"/>
      <c r="B221" s="10"/>
      <c r="C221" s="9"/>
      <c r="D221" s="11" t="s">
        <v>65</v>
      </c>
      <c r="E221" s="11"/>
      <c r="F221" s="9"/>
      <c r="G221" s="12"/>
      <c r="H221" s="12"/>
      <c r="I221" s="9"/>
    </row>
    <row r="222" customHeight="1" spans="1:9">
      <c r="A222" s="10"/>
      <c r="B222" s="10"/>
      <c r="C222" s="9" t="s">
        <v>425</v>
      </c>
      <c r="D222" s="11" t="s">
        <v>426</v>
      </c>
      <c r="E222" s="9" t="s">
        <v>96</v>
      </c>
      <c r="F222" s="18">
        <v>1</v>
      </c>
      <c r="G222" s="12"/>
      <c r="H222" s="12">
        <v>7.48</v>
      </c>
      <c r="I222" s="9"/>
    </row>
    <row r="223" customHeight="1" spans="1:9">
      <c r="A223" s="10"/>
      <c r="B223" s="10"/>
      <c r="C223" s="6" t="s">
        <v>427</v>
      </c>
      <c r="D223" s="19" t="s">
        <v>428</v>
      </c>
      <c r="E223" s="6"/>
      <c r="F223" s="9"/>
      <c r="G223" s="12"/>
      <c r="H223" s="21">
        <v>75.22</v>
      </c>
      <c r="I223" s="9"/>
    </row>
    <row r="224" customHeight="1" spans="1:9">
      <c r="A224" s="10"/>
      <c r="B224" s="10"/>
      <c r="C224" s="14" t="s">
        <v>429</v>
      </c>
      <c r="D224" s="11" t="s">
        <v>430</v>
      </c>
      <c r="E224" s="9" t="s">
        <v>96</v>
      </c>
      <c r="F224" s="9"/>
      <c r="G224" s="12"/>
      <c r="H224" s="12">
        <f>H219+H217+H216+H213+H212+H211</f>
        <v>33.736</v>
      </c>
      <c r="I224" s="9"/>
    </row>
    <row r="225" customHeight="1" spans="1:9">
      <c r="A225" s="10"/>
      <c r="B225" s="10"/>
      <c r="C225" s="17"/>
      <c r="D225" s="11" t="s">
        <v>431</v>
      </c>
      <c r="E225" s="9" t="s">
        <v>96</v>
      </c>
      <c r="F225" s="9"/>
      <c r="G225" s="9"/>
      <c r="H225" s="9">
        <f>H222+H208+H209+H210</f>
        <v>41.48</v>
      </c>
      <c r="I225" s="9"/>
    </row>
    <row r="226" s="2" customFormat="1" customHeight="1" spans="1:9">
      <c r="A226" s="3"/>
      <c r="B226" s="3"/>
      <c r="C226" s="4" t="str">
        <f>B229</f>
        <v>楼梯栏杆 塑木扶手栏杆</v>
      </c>
      <c r="D226" s="4"/>
      <c r="E226" s="5" t="s">
        <v>402</v>
      </c>
      <c r="F226" s="5"/>
      <c r="G226" s="5"/>
      <c r="H226" s="5"/>
      <c r="I226" s="5"/>
    </row>
    <row r="227" s="2" customFormat="1" customHeight="1" spans="1:9">
      <c r="A227" s="6" t="s">
        <v>1</v>
      </c>
      <c r="B227" s="7" t="s">
        <v>403</v>
      </c>
      <c r="C227" s="6" t="s">
        <v>404</v>
      </c>
      <c r="D227" s="6"/>
      <c r="E227" s="6"/>
      <c r="F227" s="6"/>
      <c r="G227" s="6"/>
      <c r="H227" s="6"/>
      <c r="I227" s="6"/>
    </row>
    <row r="228" s="2" customFormat="1" customHeight="1" spans="1:9">
      <c r="A228" s="6"/>
      <c r="B228" s="8"/>
      <c r="C228" s="8" t="s">
        <v>405</v>
      </c>
      <c r="D228" s="8"/>
      <c r="E228" s="8" t="s">
        <v>87</v>
      </c>
      <c r="F228" s="8" t="s">
        <v>406</v>
      </c>
      <c r="G228" s="8" t="s">
        <v>407</v>
      </c>
      <c r="H228" s="8" t="s">
        <v>408</v>
      </c>
      <c r="I228" s="8" t="s">
        <v>6</v>
      </c>
    </row>
    <row r="229" s="2" customFormat="1" customHeight="1" spans="1:9">
      <c r="A229" s="10">
        <f>结算明细表!A15</f>
        <v>12</v>
      </c>
      <c r="B229" s="10" t="str">
        <f>结算明细表!B15</f>
        <v>楼梯栏杆 塑木扶手栏杆</v>
      </c>
      <c r="C229" s="9" t="s">
        <v>409</v>
      </c>
      <c r="D229" s="11" t="s">
        <v>366</v>
      </c>
      <c r="E229" s="9" t="s">
        <v>96</v>
      </c>
      <c r="F229" s="9">
        <v>1</v>
      </c>
      <c r="G229" s="12">
        <v>30</v>
      </c>
      <c r="H229" s="12">
        <f>F229*G229</f>
        <v>30</v>
      </c>
      <c r="I229" s="9"/>
    </row>
    <row r="230" s="2" customFormat="1" customHeight="1" spans="1:9">
      <c r="A230" s="10"/>
      <c r="B230" s="10"/>
      <c r="C230" s="9" t="s">
        <v>410</v>
      </c>
      <c r="D230" s="11" t="s">
        <v>369</v>
      </c>
      <c r="E230" s="9" t="s">
        <v>96</v>
      </c>
      <c r="F230" s="13">
        <v>1</v>
      </c>
      <c r="G230" s="12">
        <v>30</v>
      </c>
      <c r="H230" s="12">
        <f>F230*G230</f>
        <v>30</v>
      </c>
      <c r="I230" s="9"/>
    </row>
    <row r="231" s="2" customFormat="1" customHeight="1" spans="1:9">
      <c r="A231" s="10"/>
      <c r="B231" s="10"/>
      <c r="C231" s="9" t="s">
        <v>411</v>
      </c>
      <c r="D231" s="11" t="s">
        <v>412</v>
      </c>
      <c r="E231" s="9" t="s">
        <v>96</v>
      </c>
      <c r="F231" s="9">
        <v>1</v>
      </c>
      <c r="G231" s="12">
        <v>4</v>
      </c>
      <c r="H231" s="12">
        <f t="shared" ref="H231:H242" si="17">F231*G231</f>
        <v>4</v>
      </c>
      <c r="I231" s="9"/>
    </row>
    <row r="232" s="2" customFormat="1" customHeight="1" spans="1:9">
      <c r="A232" s="10"/>
      <c r="B232" s="10"/>
      <c r="C232" s="14" t="s">
        <v>413</v>
      </c>
      <c r="D232" s="11" t="s">
        <v>441</v>
      </c>
      <c r="E232" s="9" t="s">
        <v>96</v>
      </c>
      <c r="F232" s="9">
        <v>1</v>
      </c>
      <c r="G232" s="12">
        <v>15</v>
      </c>
      <c r="H232" s="12">
        <f t="shared" si="17"/>
        <v>15</v>
      </c>
      <c r="I232" s="9"/>
    </row>
    <row r="233" s="2" customFormat="1" customHeight="1" spans="1:9">
      <c r="A233" s="10"/>
      <c r="B233" s="10"/>
      <c r="C233" s="16"/>
      <c r="D233" s="11" t="s">
        <v>442</v>
      </c>
      <c r="E233" s="9" t="s">
        <v>372</v>
      </c>
      <c r="F233" s="12">
        <v>1.85</v>
      </c>
      <c r="G233" s="12">
        <v>4.6</v>
      </c>
      <c r="H233" s="12">
        <f t="shared" si="17"/>
        <v>8.51</v>
      </c>
      <c r="I233" s="22" t="s">
        <v>415</v>
      </c>
    </row>
    <row r="234" s="2" customFormat="1" customHeight="1" spans="1:9">
      <c r="A234" s="10"/>
      <c r="B234" s="10"/>
      <c r="C234" s="16"/>
      <c r="D234" s="11" t="s">
        <v>443</v>
      </c>
      <c r="E234" s="9" t="s">
        <v>372</v>
      </c>
      <c r="F234" s="12">
        <v>4</v>
      </c>
      <c r="G234" s="12">
        <v>4.6</v>
      </c>
      <c r="H234" s="12">
        <f t="shared" si="17"/>
        <v>18.4</v>
      </c>
      <c r="I234" s="22" t="s">
        <v>415</v>
      </c>
    </row>
    <row r="235" s="2" customFormat="1" customHeight="1" spans="1:9">
      <c r="A235" s="10"/>
      <c r="B235" s="10"/>
      <c r="C235" s="16"/>
      <c r="D235" s="11" t="s">
        <v>444</v>
      </c>
      <c r="E235" s="9" t="s">
        <v>372</v>
      </c>
      <c r="F235" s="12">
        <v>3.15</v>
      </c>
      <c r="G235" s="12">
        <v>4.8</v>
      </c>
      <c r="H235" s="12">
        <f t="shared" si="17"/>
        <v>15.12</v>
      </c>
      <c r="I235" s="22"/>
    </row>
    <row r="236" s="2" customFormat="1" customHeight="1" spans="1:9">
      <c r="A236" s="10"/>
      <c r="B236" s="10"/>
      <c r="C236" s="16"/>
      <c r="D236" s="11" t="s">
        <v>417</v>
      </c>
      <c r="E236" s="9" t="s">
        <v>96</v>
      </c>
      <c r="F236" s="12">
        <v>1</v>
      </c>
      <c r="G236" s="12">
        <v>13</v>
      </c>
      <c r="H236" s="12">
        <f t="shared" si="17"/>
        <v>13</v>
      </c>
      <c r="I236" s="12"/>
    </row>
    <row r="237" s="2" customFormat="1" customHeight="1" spans="1:9">
      <c r="A237" s="10"/>
      <c r="B237" s="10"/>
      <c r="C237" s="16"/>
      <c r="D237" s="11" t="s">
        <v>445</v>
      </c>
      <c r="E237" s="9" t="s">
        <v>446</v>
      </c>
      <c r="F237" s="12">
        <v>1</v>
      </c>
      <c r="G237" s="12">
        <v>7</v>
      </c>
      <c r="H237" s="12">
        <f t="shared" si="17"/>
        <v>7</v>
      </c>
      <c r="I237" s="12"/>
    </row>
    <row r="238" s="2" customFormat="1" customHeight="1" spans="1:9">
      <c r="A238" s="10"/>
      <c r="B238" s="10"/>
      <c r="C238" s="17"/>
      <c r="F238" s="9"/>
      <c r="G238" s="12"/>
      <c r="H238" s="12">
        <f t="shared" si="17"/>
        <v>0</v>
      </c>
      <c r="I238" s="9"/>
    </row>
    <row r="239" s="2" customFormat="1" customHeight="1" spans="1:9">
      <c r="A239" s="10"/>
      <c r="B239" s="10"/>
      <c r="C239" s="9" t="s">
        <v>418</v>
      </c>
      <c r="D239" s="20" t="s">
        <v>419</v>
      </c>
      <c r="E239" s="9" t="s">
        <v>378</v>
      </c>
      <c r="F239" s="9">
        <v>4</v>
      </c>
      <c r="G239" s="12">
        <v>0.3</v>
      </c>
      <c r="H239" s="12">
        <f t="shared" si="17"/>
        <v>1.2</v>
      </c>
      <c r="I239" s="22" t="s">
        <v>415</v>
      </c>
    </row>
    <row r="240" s="2" customFormat="1" customHeight="1" spans="1:9">
      <c r="A240" s="10"/>
      <c r="B240" s="10"/>
      <c r="C240" s="9"/>
      <c r="D240" s="11" t="s">
        <v>420</v>
      </c>
      <c r="E240" s="9" t="s">
        <v>421</v>
      </c>
      <c r="F240" s="9">
        <v>2</v>
      </c>
      <c r="G240" s="12">
        <v>0.15</v>
      </c>
      <c r="H240" s="12">
        <f t="shared" si="17"/>
        <v>0.3</v>
      </c>
      <c r="I240" s="22" t="s">
        <v>415</v>
      </c>
    </row>
    <row r="241" s="2" customFormat="1" customHeight="1" spans="1:9">
      <c r="A241" s="10"/>
      <c r="B241" s="10"/>
      <c r="C241" s="9"/>
      <c r="D241" s="11" t="s">
        <v>422</v>
      </c>
      <c r="E241" s="9" t="s">
        <v>378</v>
      </c>
      <c r="F241" s="9"/>
      <c r="G241" s="12"/>
      <c r="H241" s="12">
        <f t="shared" si="17"/>
        <v>0</v>
      </c>
      <c r="I241" s="9"/>
    </row>
    <row r="242" s="2" customFormat="1" customHeight="1" spans="1:9">
      <c r="A242" s="10"/>
      <c r="B242" s="10"/>
      <c r="C242" s="9"/>
      <c r="D242" s="11" t="s">
        <v>447</v>
      </c>
      <c r="E242" s="9" t="s">
        <v>378</v>
      </c>
      <c r="F242" s="9">
        <v>2</v>
      </c>
      <c r="G242" s="12">
        <v>0.5</v>
      </c>
      <c r="H242" s="12">
        <f t="shared" si="17"/>
        <v>1</v>
      </c>
      <c r="I242" s="9"/>
    </row>
    <row r="243" s="2" customFormat="1" customHeight="1" spans="1:9">
      <c r="A243" s="10"/>
      <c r="B243" s="10"/>
      <c r="C243" s="9"/>
      <c r="D243" s="11" t="s">
        <v>424</v>
      </c>
      <c r="E243" s="9" t="s">
        <v>96</v>
      </c>
      <c r="F243" s="9"/>
      <c r="G243" s="12"/>
      <c r="H243" s="12"/>
      <c r="I243" s="9"/>
    </row>
    <row r="244" s="2" customFormat="1" customHeight="1" spans="1:9">
      <c r="A244" s="10"/>
      <c r="B244" s="10"/>
      <c r="C244" s="9"/>
      <c r="D244" s="11" t="s">
        <v>65</v>
      </c>
      <c r="E244" s="11"/>
      <c r="F244" s="9"/>
      <c r="G244" s="12"/>
      <c r="H244" s="12"/>
      <c r="I244" s="9"/>
    </row>
    <row r="245" s="2" customFormat="1" customHeight="1" spans="1:9">
      <c r="A245" s="10"/>
      <c r="B245" s="10"/>
      <c r="C245" s="9" t="s">
        <v>425</v>
      </c>
      <c r="D245" s="11" t="s">
        <v>426</v>
      </c>
      <c r="E245" s="9" t="s">
        <v>96</v>
      </c>
      <c r="F245" s="18">
        <v>1</v>
      </c>
      <c r="G245" s="12"/>
      <c r="H245" s="12">
        <v>15.47</v>
      </c>
      <c r="I245" s="9"/>
    </row>
    <row r="246" s="2" customFormat="1" customHeight="1" spans="1:9">
      <c r="A246" s="10"/>
      <c r="B246" s="10"/>
      <c r="C246" s="6" t="s">
        <v>427</v>
      </c>
      <c r="D246" s="19" t="s">
        <v>428</v>
      </c>
      <c r="E246" s="6"/>
      <c r="F246" s="9"/>
      <c r="G246" s="12"/>
      <c r="H246" s="21">
        <v>159</v>
      </c>
      <c r="I246" s="9"/>
    </row>
    <row r="247" s="2" customFormat="1" customHeight="1" spans="1:9">
      <c r="A247" s="10"/>
      <c r="B247" s="10"/>
      <c r="C247" s="14" t="s">
        <v>429</v>
      </c>
      <c r="D247" s="11" t="s">
        <v>430</v>
      </c>
      <c r="E247" s="9" t="s">
        <v>96</v>
      </c>
      <c r="F247" s="9"/>
      <c r="G247" s="12"/>
      <c r="H247" s="12">
        <f>H242+H240+H239+H237+H236+H235+H234+H233+H232</f>
        <v>79.53</v>
      </c>
      <c r="I247" s="9"/>
    </row>
    <row r="248" s="2" customFormat="1" customHeight="1" spans="1:9">
      <c r="A248" s="10"/>
      <c r="B248" s="10"/>
      <c r="C248" s="17"/>
      <c r="D248" s="11" t="s">
        <v>431</v>
      </c>
      <c r="E248" s="9" t="s">
        <v>96</v>
      </c>
      <c r="F248" s="9"/>
      <c r="G248" s="9"/>
      <c r="H248" s="9">
        <f>H245+H229+H230+H231</f>
        <v>79.47</v>
      </c>
      <c r="I248" s="9"/>
    </row>
    <row r="249" s="2" customFormat="1" customHeight="1" spans="1:9">
      <c r="A249" s="3"/>
      <c r="B249" s="3"/>
      <c r="C249" s="4" t="str">
        <f>B252</f>
        <v>空调板栏杆 600高</v>
      </c>
      <c r="D249" s="4"/>
      <c r="E249" s="5" t="s">
        <v>402</v>
      </c>
      <c r="F249" s="5"/>
      <c r="G249" s="5"/>
      <c r="H249" s="5"/>
      <c r="I249" s="5"/>
    </row>
    <row r="250" s="2" customFormat="1" customHeight="1" spans="1:9">
      <c r="A250" s="6" t="s">
        <v>1</v>
      </c>
      <c r="B250" s="7" t="s">
        <v>403</v>
      </c>
      <c r="C250" s="6" t="s">
        <v>404</v>
      </c>
      <c r="D250" s="6"/>
      <c r="E250" s="6"/>
      <c r="F250" s="6"/>
      <c r="G250" s="6"/>
      <c r="H250" s="6"/>
      <c r="I250" s="6"/>
    </row>
    <row r="251" s="2" customFormat="1" customHeight="1" spans="1:9">
      <c r="A251" s="6"/>
      <c r="B251" s="8"/>
      <c r="C251" s="8" t="s">
        <v>405</v>
      </c>
      <c r="D251" s="8"/>
      <c r="E251" s="8" t="s">
        <v>87</v>
      </c>
      <c r="F251" s="8" t="s">
        <v>406</v>
      </c>
      <c r="G251" s="8" t="s">
        <v>407</v>
      </c>
      <c r="H251" s="8" t="s">
        <v>408</v>
      </c>
      <c r="I251" s="8" t="s">
        <v>6</v>
      </c>
    </row>
    <row r="252" s="2" customFormat="1" customHeight="1" spans="1:9">
      <c r="A252" s="10">
        <f>结算明细表!A16</f>
        <v>13</v>
      </c>
      <c r="B252" s="10" t="str">
        <f>结算明细表!B16</f>
        <v>空调板栏杆 600高</v>
      </c>
      <c r="C252" s="9" t="s">
        <v>409</v>
      </c>
      <c r="D252" s="11" t="s">
        <v>366</v>
      </c>
      <c r="E252" s="9" t="s">
        <v>96</v>
      </c>
      <c r="F252" s="9">
        <v>1</v>
      </c>
      <c r="G252" s="12">
        <v>10</v>
      </c>
      <c r="H252" s="12">
        <f>F252*G252</f>
        <v>10</v>
      </c>
      <c r="I252" s="9"/>
    </row>
    <row r="253" s="2" customFormat="1" customHeight="1" spans="1:9">
      <c r="A253" s="10"/>
      <c r="B253" s="10"/>
      <c r="C253" s="9" t="s">
        <v>410</v>
      </c>
      <c r="D253" s="11" t="s">
        <v>369</v>
      </c>
      <c r="E253" s="9" t="s">
        <v>96</v>
      </c>
      <c r="F253" s="13">
        <v>1</v>
      </c>
      <c r="G253" s="12">
        <v>18</v>
      </c>
      <c r="H253" s="12">
        <v>18</v>
      </c>
      <c r="I253" s="9"/>
    </row>
    <row r="254" s="2" customFormat="1" customHeight="1" spans="1:9">
      <c r="A254" s="10"/>
      <c r="B254" s="10"/>
      <c r="C254" s="9" t="s">
        <v>411</v>
      </c>
      <c r="D254" s="11" t="s">
        <v>412</v>
      </c>
      <c r="E254" s="9" t="s">
        <v>96</v>
      </c>
      <c r="F254" s="9">
        <v>1</v>
      </c>
      <c r="G254" s="12">
        <v>4</v>
      </c>
      <c r="H254" s="12">
        <f t="shared" ref="H253:H264" si="18">F254*G254</f>
        <v>4</v>
      </c>
      <c r="I254" s="9"/>
    </row>
    <row r="255" s="2" customFormat="1" customHeight="1" spans="1:9">
      <c r="A255" s="10"/>
      <c r="B255" s="10"/>
      <c r="C255" s="16"/>
      <c r="D255" s="11" t="s">
        <v>448</v>
      </c>
      <c r="E255" s="9" t="s">
        <v>372</v>
      </c>
      <c r="F255" s="12">
        <v>0.76</v>
      </c>
      <c r="G255" s="12">
        <v>4.8</v>
      </c>
      <c r="H255" s="12">
        <f t="shared" si="18"/>
        <v>3.648</v>
      </c>
      <c r="I255" s="22" t="s">
        <v>415</v>
      </c>
    </row>
    <row r="256" s="2" customFormat="1" customHeight="1" spans="1:9">
      <c r="A256" s="10"/>
      <c r="B256" s="10"/>
      <c r="C256" s="16"/>
      <c r="D256" s="11" t="s">
        <v>449</v>
      </c>
      <c r="E256" s="9" t="s">
        <v>372</v>
      </c>
      <c r="F256" s="12">
        <v>0.88</v>
      </c>
      <c r="G256" s="12">
        <v>4.8</v>
      </c>
      <c r="H256" s="12">
        <f t="shared" si="18"/>
        <v>4.224</v>
      </c>
      <c r="I256" s="22" t="s">
        <v>415</v>
      </c>
    </row>
    <row r="257" s="2" customFormat="1" customHeight="1" spans="1:9">
      <c r="A257" s="10"/>
      <c r="B257" s="10"/>
      <c r="C257" s="16"/>
      <c r="D257" s="11" t="s">
        <v>416</v>
      </c>
      <c r="E257" s="9" t="s">
        <v>372</v>
      </c>
      <c r="F257" s="12">
        <v>1.22</v>
      </c>
      <c r="G257" s="12">
        <v>4.8</v>
      </c>
      <c r="H257" s="12">
        <f t="shared" si="18"/>
        <v>5.856</v>
      </c>
      <c r="I257" s="22"/>
    </row>
    <row r="258" s="2" customFormat="1" customHeight="1" spans="1:9">
      <c r="A258" s="10"/>
      <c r="B258" s="10"/>
      <c r="C258" s="16"/>
      <c r="D258" s="11" t="s">
        <v>417</v>
      </c>
      <c r="E258" s="9" t="s">
        <v>96</v>
      </c>
      <c r="F258" s="12">
        <v>1</v>
      </c>
      <c r="G258" s="12">
        <v>10</v>
      </c>
      <c r="H258" s="12">
        <f t="shared" si="18"/>
        <v>10</v>
      </c>
      <c r="I258" s="12"/>
    </row>
    <row r="259" s="2" customFormat="1" customHeight="1" spans="1:9">
      <c r="A259" s="10"/>
      <c r="B259" s="10"/>
      <c r="C259" s="16"/>
      <c r="D259" s="11" t="s">
        <v>65</v>
      </c>
      <c r="E259" s="9"/>
      <c r="F259" s="12"/>
      <c r="G259" s="12"/>
      <c r="H259" s="12">
        <f t="shared" si="18"/>
        <v>0</v>
      </c>
      <c r="I259" s="12"/>
    </row>
    <row r="260" s="2" customFormat="1" customHeight="1" spans="1:9">
      <c r="A260" s="10"/>
      <c r="B260" s="10"/>
      <c r="C260" s="17"/>
      <c r="F260" s="9"/>
      <c r="G260" s="12"/>
      <c r="H260" s="12">
        <f t="shared" si="18"/>
        <v>0</v>
      </c>
      <c r="I260" s="9"/>
    </row>
    <row r="261" s="2" customFormat="1" customHeight="1" spans="1:9">
      <c r="A261" s="10"/>
      <c r="B261" s="10"/>
      <c r="C261" s="9" t="s">
        <v>418</v>
      </c>
      <c r="D261" s="20" t="s">
        <v>419</v>
      </c>
      <c r="E261" s="9" t="s">
        <v>378</v>
      </c>
      <c r="F261" s="9">
        <v>4</v>
      </c>
      <c r="G261" s="12">
        <v>0.3</v>
      </c>
      <c r="H261" s="12">
        <f t="shared" si="18"/>
        <v>1.2</v>
      </c>
      <c r="I261" s="22" t="s">
        <v>415</v>
      </c>
    </row>
    <row r="262" s="2" customFormat="1" customHeight="1" spans="1:9">
      <c r="A262" s="10"/>
      <c r="B262" s="10"/>
      <c r="C262" s="9"/>
      <c r="D262" s="11" t="s">
        <v>420</v>
      </c>
      <c r="E262" s="9" t="s">
        <v>421</v>
      </c>
      <c r="F262" s="9">
        <v>2</v>
      </c>
      <c r="G262" s="12">
        <v>0.15</v>
      </c>
      <c r="H262" s="12">
        <f t="shared" si="18"/>
        <v>0.3</v>
      </c>
      <c r="I262" s="22" t="s">
        <v>415</v>
      </c>
    </row>
    <row r="263" s="2" customFormat="1" customHeight="1" spans="1:9">
      <c r="A263" s="10"/>
      <c r="B263" s="10"/>
      <c r="C263" s="9"/>
      <c r="D263" s="11" t="s">
        <v>422</v>
      </c>
      <c r="E263" s="9" t="s">
        <v>378</v>
      </c>
      <c r="F263" s="9"/>
      <c r="G263" s="12"/>
      <c r="H263" s="12">
        <f t="shared" si="18"/>
        <v>0</v>
      </c>
      <c r="I263" s="9"/>
    </row>
    <row r="264" s="2" customFormat="1" customHeight="1" spans="1:9">
      <c r="A264" s="10"/>
      <c r="B264" s="10"/>
      <c r="C264" s="9"/>
      <c r="D264" s="11" t="s">
        <v>447</v>
      </c>
      <c r="E264" s="9" t="s">
        <v>378</v>
      </c>
      <c r="F264" s="9">
        <v>2</v>
      </c>
      <c r="G264" s="12">
        <v>0.5</v>
      </c>
      <c r="H264" s="12">
        <f t="shared" si="18"/>
        <v>1</v>
      </c>
      <c r="I264" s="9"/>
    </row>
    <row r="265" s="2" customFormat="1" customHeight="1" spans="1:9">
      <c r="A265" s="10"/>
      <c r="B265" s="10"/>
      <c r="C265" s="9"/>
      <c r="D265" s="11" t="s">
        <v>424</v>
      </c>
      <c r="E265" s="9" t="s">
        <v>96</v>
      </c>
      <c r="F265" s="9"/>
      <c r="G265" s="12"/>
      <c r="H265" s="12"/>
      <c r="I265" s="9"/>
    </row>
    <row r="266" s="2" customFormat="1" customHeight="1" spans="1:9">
      <c r="A266" s="10"/>
      <c r="B266" s="10"/>
      <c r="C266" s="9"/>
      <c r="D266" s="11" t="s">
        <v>65</v>
      </c>
      <c r="E266" s="11"/>
      <c r="F266" s="9"/>
      <c r="G266" s="12"/>
      <c r="H266" s="12"/>
      <c r="I266" s="9"/>
    </row>
    <row r="267" s="2" customFormat="1" customHeight="1" spans="1:9">
      <c r="A267" s="10"/>
      <c r="B267" s="10"/>
      <c r="C267" s="9" t="s">
        <v>425</v>
      </c>
      <c r="D267" s="11" t="s">
        <v>426</v>
      </c>
      <c r="E267" s="9" t="s">
        <v>96</v>
      </c>
      <c r="F267" s="18">
        <v>1</v>
      </c>
      <c r="G267" s="12"/>
      <c r="H267" s="12">
        <v>9.77</v>
      </c>
      <c r="I267" s="9"/>
    </row>
    <row r="268" s="2" customFormat="1" customHeight="1" spans="1:9">
      <c r="A268" s="10"/>
      <c r="B268" s="10"/>
      <c r="C268" s="6" t="s">
        <v>427</v>
      </c>
      <c r="D268" s="19" t="s">
        <v>428</v>
      </c>
      <c r="E268" s="6"/>
      <c r="F268" s="9"/>
      <c r="G268" s="12"/>
      <c r="H268" s="21">
        <v>68</v>
      </c>
      <c r="I268" s="9"/>
    </row>
    <row r="269" s="2" customFormat="1" customHeight="1" spans="1:9">
      <c r="A269" s="10"/>
      <c r="B269" s="10"/>
      <c r="C269" s="14" t="s">
        <v>429</v>
      </c>
      <c r="D269" s="11" t="s">
        <v>430</v>
      </c>
      <c r="E269" s="9" t="s">
        <v>96</v>
      </c>
      <c r="F269" s="9"/>
      <c r="G269" s="12"/>
      <c r="H269" s="12">
        <f>H264+H262+H261+H258+H257+H256+H255</f>
        <v>26.228</v>
      </c>
      <c r="I269" s="9"/>
    </row>
    <row r="270" s="2" customFormat="1" customHeight="1" spans="1:9">
      <c r="A270" s="10"/>
      <c r="B270" s="10"/>
      <c r="C270" s="17"/>
      <c r="D270" s="11" t="s">
        <v>431</v>
      </c>
      <c r="E270" s="9" t="s">
        <v>96</v>
      </c>
      <c r="F270" s="9"/>
      <c r="G270" s="9"/>
      <c r="H270" s="9">
        <f>H267+H254+H253+H252</f>
        <v>41.77</v>
      </c>
      <c r="I270" s="9"/>
    </row>
    <row r="271" customHeight="1" spans="1:9">
      <c r="A271" s="3"/>
      <c r="B271" s="3"/>
      <c r="C271" s="4" t="str">
        <f>B274</f>
        <v>靠墙楼梯扶手</v>
      </c>
      <c r="D271" s="4"/>
      <c r="E271" s="5" t="s">
        <v>402</v>
      </c>
      <c r="F271" s="5"/>
      <c r="G271" s="5"/>
      <c r="H271" s="5"/>
      <c r="I271" s="5"/>
    </row>
    <row r="272" customHeight="1" spans="1:9">
      <c r="A272" s="6" t="s">
        <v>1</v>
      </c>
      <c r="B272" s="7" t="s">
        <v>403</v>
      </c>
      <c r="C272" s="6" t="s">
        <v>404</v>
      </c>
      <c r="D272" s="6"/>
      <c r="E272" s="6"/>
      <c r="F272" s="6"/>
      <c r="G272" s="6"/>
      <c r="H272" s="6"/>
      <c r="I272" s="6"/>
    </row>
    <row r="273" customHeight="1" spans="1:9">
      <c r="A273" s="6"/>
      <c r="B273" s="8"/>
      <c r="C273" s="8" t="s">
        <v>405</v>
      </c>
      <c r="D273" s="8"/>
      <c r="E273" s="8" t="s">
        <v>87</v>
      </c>
      <c r="F273" s="8" t="s">
        <v>406</v>
      </c>
      <c r="G273" s="8" t="s">
        <v>407</v>
      </c>
      <c r="H273" s="8" t="s">
        <v>408</v>
      </c>
      <c r="I273" s="8" t="s">
        <v>6</v>
      </c>
    </row>
    <row r="274" customHeight="1" spans="1:9">
      <c r="A274" s="10">
        <f>结算明细表!A17</f>
        <v>14</v>
      </c>
      <c r="B274" s="10" t="str">
        <f>结算明细表!B17</f>
        <v>靠墙楼梯扶手</v>
      </c>
      <c r="C274" s="9" t="s">
        <v>409</v>
      </c>
      <c r="D274" s="11" t="s">
        <v>366</v>
      </c>
      <c r="E274" s="9" t="s">
        <v>96</v>
      </c>
      <c r="F274" s="9">
        <v>1</v>
      </c>
      <c r="G274" s="12"/>
      <c r="H274" s="12"/>
      <c r="I274" s="9"/>
    </row>
    <row r="275" customHeight="1" spans="1:9">
      <c r="A275" s="10"/>
      <c r="B275" s="10"/>
      <c r="C275" s="9" t="s">
        <v>410</v>
      </c>
      <c r="D275" s="11" t="s">
        <v>369</v>
      </c>
      <c r="E275" s="9" t="s">
        <v>96</v>
      </c>
      <c r="F275" s="13">
        <v>1</v>
      </c>
      <c r="G275" s="12">
        <v>15</v>
      </c>
      <c r="H275" s="12">
        <f>F275*G275</f>
        <v>15</v>
      </c>
      <c r="I275" s="9"/>
    </row>
    <row r="276" customHeight="1" spans="1:9">
      <c r="A276" s="10"/>
      <c r="B276" s="10"/>
      <c r="C276" s="9" t="s">
        <v>411</v>
      </c>
      <c r="D276" s="11" t="s">
        <v>412</v>
      </c>
      <c r="E276" s="9" t="s">
        <v>96</v>
      </c>
      <c r="F276" s="9"/>
      <c r="G276" s="12"/>
      <c r="H276" s="12">
        <f t="shared" ref="H276:H284" si="19">F276*G276</f>
        <v>0</v>
      </c>
      <c r="I276" s="9"/>
    </row>
    <row r="277" customHeight="1" spans="1:9">
      <c r="A277" s="10"/>
      <c r="B277" s="10"/>
      <c r="C277" s="14" t="s">
        <v>413</v>
      </c>
      <c r="D277" s="11" t="s">
        <v>450</v>
      </c>
      <c r="E277" s="9" t="s">
        <v>96</v>
      </c>
      <c r="F277" s="15">
        <v>1</v>
      </c>
      <c r="G277" s="12">
        <v>15</v>
      </c>
      <c r="H277" s="12">
        <f t="shared" si="19"/>
        <v>15</v>
      </c>
      <c r="I277" s="22" t="s">
        <v>451</v>
      </c>
    </row>
    <row r="278" customHeight="1" spans="1:9">
      <c r="A278" s="10"/>
      <c r="B278" s="10"/>
      <c r="C278" s="16"/>
      <c r="D278" s="25" t="s">
        <v>452</v>
      </c>
      <c r="E278" s="9" t="s">
        <v>372</v>
      </c>
      <c r="F278" s="12">
        <v>2.5</v>
      </c>
      <c r="G278" s="12">
        <v>2</v>
      </c>
      <c r="H278" s="12">
        <f t="shared" si="19"/>
        <v>5</v>
      </c>
      <c r="I278" s="22"/>
    </row>
    <row r="279" customHeight="1" spans="1:9">
      <c r="A279" s="10"/>
      <c r="B279" s="10"/>
      <c r="C279" s="16"/>
      <c r="D279" s="11" t="s">
        <v>65</v>
      </c>
      <c r="E279" s="9"/>
      <c r="F279" s="12"/>
      <c r="G279" s="12"/>
      <c r="H279" s="12">
        <f t="shared" si="19"/>
        <v>0</v>
      </c>
      <c r="I279" s="12"/>
    </row>
    <row r="280" customHeight="1" spans="1:9">
      <c r="A280" s="10"/>
      <c r="B280" s="10"/>
      <c r="C280" s="17"/>
      <c r="F280" s="9"/>
      <c r="G280" s="12"/>
      <c r="H280" s="12">
        <f t="shared" si="19"/>
        <v>0</v>
      </c>
      <c r="I280" s="9"/>
    </row>
    <row r="281" customHeight="1" spans="1:9">
      <c r="A281" s="10"/>
      <c r="B281" s="10"/>
      <c r="C281" s="9" t="s">
        <v>418</v>
      </c>
      <c r="D281" s="20" t="s">
        <v>453</v>
      </c>
      <c r="E281" s="9" t="s">
        <v>421</v>
      </c>
      <c r="F281" s="9">
        <v>6</v>
      </c>
      <c r="G281" s="12">
        <v>0.15</v>
      </c>
      <c r="H281" s="12">
        <f t="shared" si="19"/>
        <v>0.9</v>
      </c>
      <c r="I281" s="22"/>
    </row>
    <row r="282" customHeight="1" spans="1:9">
      <c r="A282" s="10"/>
      <c r="B282" s="10"/>
      <c r="C282" s="9"/>
      <c r="D282" s="11" t="s">
        <v>454</v>
      </c>
      <c r="E282" s="9" t="s">
        <v>421</v>
      </c>
      <c r="F282" s="9"/>
      <c r="G282" s="12"/>
      <c r="H282" s="12">
        <f t="shared" si="19"/>
        <v>0</v>
      </c>
      <c r="I282" s="22"/>
    </row>
    <row r="283" customHeight="1" spans="1:9">
      <c r="A283" s="10"/>
      <c r="B283" s="10"/>
      <c r="C283" s="9"/>
      <c r="D283" s="11" t="s">
        <v>423</v>
      </c>
      <c r="E283" s="9" t="s">
        <v>421</v>
      </c>
      <c r="F283" s="9">
        <v>2</v>
      </c>
      <c r="G283" s="12">
        <v>0.5</v>
      </c>
      <c r="H283" s="12">
        <f t="shared" si="19"/>
        <v>1</v>
      </c>
      <c r="I283" s="9"/>
    </row>
    <row r="284" customHeight="1" spans="1:9">
      <c r="A284" s="10"/>
      <c r="B284" s="10"/>
      <c r="C284" s="9"/>
      <c r="D284" s="11" t="s">
        <v>424</v>
      </c>
      <c r="E284" s="9" t="s">
        <v>96</v>
      </c>
      <c r="F284" s="9"/>
      <c r="G284" s="12"/>
      <c r="H284" s="12">
        <f t="shared" si="19"/>
        <v>0</v>
      </c>
      <c r="I284" s="9"/>
    </row>
    <row r="285" customHeight="1" spans="1:9">
      <c r="A285" s="10"/>
      <c r="B285" s="10"/>
      <c r="C285" s="9"/>
      <c r="D285" s="11" t="s">
        <v>65</v>
      </c>
      <c r="E285" s="11"/>
      <c r="F285" s="9"/>
      <c r="G285" s="12"/>
      <c r="H285" s="12"/>
      <c r="I285" s="9"/>
    </row>
    <row r="286" customHeight="1" spans="1:9">
      <c r="A286" s="10"/>
      <c r="B286" s="10"/>
      <c r="C286" s="9" t="s">
        <v>425</v>
      </c>
      <c r="D286" s="11" t="s">
        <v>426</v>
      </c>
      <c r="E286" s="9" t="s">
        <v>96</v>
      </c>
      <c r="F286" s="18">
        <v>1</v>
      </c>
      <c r="G286" s="12"/>
      <c r="H286" s="12">
        <v>6.46</v>
      </c>
      <c r="I286" s="9"/>
    </row>
    <row r="287" customHeight="1" spans="1:9">
      <c r="A287" s="10"/>
      <c r="B287" s="10"/>
      <c r="C287" s="6" t="s">
        <v>427</v>
      </c>
      <c r="D287" s="19" t="s">
        <v>428</v>
      </c>
      <c r="E287" s="6"/>
      <c r="F287" s="9"/>
      <c r="G287" s="12"/>
      <c r="H287" s="21">
        <v>43.36</v>
      </c>
      <c r="I287" s="9"/>
    </row>
    <row r="288" customHeight="1" spans="1:9">
      <c r="A288" s="10"/>
      <c r="B288" s="10"/>
      <c r="C288" s="14" t="s">
        <v>429</v>
      </c>
      <c r="D288" s="11" t="s">
        <v>430</v>
      </c>
      <c r="E288" s="9" t="s">
        <v>96</v>
      </c>
      <c r="F288" s="9"/>
      <c r="G288" s="12"/>
      <c r="H288" s="12">
        <f>H283+H281+H278+H277</f>
        <v>21.9</v>
      </c>
      <c r="I288" s="9"/>
    </row>
    <row r="289" customHeight="1" spans="1:9">
      <c r="A289" s="10"/>
      <c r="B289" s="10"/>
      <c r="C289" s="17"/>
      <c r="D289" s="11" t="s">
        <v>431</v>
      </c>
      <c r="E289" s="9" t="s">
        <v>96</v>
      </c>
      <c r="F289" s="9"/>
      <c r="G289" s="9"/>
      <c r="H289" s="9">
        <f>H286+H275</f>
        <v>21.46</v>
      </c>
      <c r="I289" s="9"/>
    </row>
    <row r="290" customHeight="1" spans="1:9">
      <c r="A290" s="3"/>
      <c r="B290" s="3"/>
      <c r="C290" s="4" t="str">
        <f>B293</f>
        <v>不锈钢楼梯栏杆</v>
      </c>
      <c r="D290" s="4"/>
      <c r="E290" s="5" t="s">
        <v>402</v>
      </c>
      <c r="F290" s="5"/>
      <c r="G290" s="5"/>
      <c r="H290" s="5"/>
      <c r="I290" s="5"/>
    </row>
    <row r="291" customHeight="1" spans="1:9">
      <c r="A291" s="6" t="s">
        <v>1</v>
      </c>
      <c r="B291" s="7" t="s">
        <v>403</v>
      </c>
      <c r="C291" s="6" t="s">
        <v>404</v>
      </c>
      <c r="D291" s="6"/>
      <c r="E291" s="6"/>
      <c r="F291" s="6"/>
      <c r="G291" s="6"/>
      <c r="H291" s="6"/>
      <c r="I291" s="6"/>
    </row>
    <row r="292" customHeight="1" spans="1:9">
      <c r="A292" s="6"/>
      <c r="B292" s="8"/>
      <c r="C292" s="8" t="s">
        <v>405</v>
      </c>
      <c r="D292" s="8"/>
      <c r="E292" s="8" t="s">
        <v>87</v>
      </c>
      <c r="F292" s="8" t="s">
        <v>406</v>
      </c>
      <c r="G292" s="8" t="s">
        <v>407</v>
      </c>
      <c r="H292" s="8" t="s">
        <v>408</v>
      </c>
      <c r="I292" s="8" t="s">
        <v>6</v>
      </c>
    </row>
    <row r="293" customHeight="1" spans="1:9">
      <c r="A293" s="10">
        <f>结算明细表!A18</f>
        <v>15</v>
      </c>
      <c r="B293" s="10" t="str">
        <f>结算明细表!B18</f>
        <v>不锈钢楼梯栏杆</v>
      </c>
      <c r="C293" s="9" t="s">
        <v>409</v>
      </c>
      <c r="D293" s="11" t="s">
        <v>366</v>
      </c>
      <c r="E293" s="9" t="s">
        <v>96</v>
      </c>
      <c r="F293" s="9">
        <v>1</v>
      </c>
      <c r="G293" s="12">
        <v>15</v>
      </c>
      <c r="H293" s="12">
        <v>15</v>
      </c>
      <c r="I293" s="9"/>
    </row>
    <row r="294" customHeight="1" spans="1:9">
      <c r="A294" s="10"/>
      <c r="B294" s="10"/>
      <c r="C294" s="9" t="s">
        <v>410</v>
      </c>
      <c r="D294" s="11" t="s">
        <v>369</v>
      </c>
      <c r="E294" s="9" t="s">
        <v>96</v>
      </c>
      <c r="F294" s="13">
        <v>1</v>
      </c>
      <c r="G294" s="12">
        <v>20</v>
      </c>
      <c r="H294" s="12">
        <v>20</v>
      </c>
      <c r="I294" s="9"/>
    </row>
    <row r="295" customHeight="1" spans="1:9">
      <c r="A295" s="10"/>
      <c r="B295" s="10"/>
      <c r="C295" s="9" t="s">
        <v>411</v>
      </c>
      <c r="D295" s="11" t="s">
        <v>412</v>
      </c>
      <c r="E295" s="9" t="s">
        <v>96</v>
      </c>
      <c r="F295" s="9"/>
      <c r="G295" s="12"/>
      <c r="H295" s="12"/>
      <c r="I295" s="9"/>
    </row>
    <row r="296" customHeight="1" spans="1:9">
      <c r="A296" s="10"/>
      <c r="B296" s="10"/>
      <c r="C296" s="14" t="s">
        <v>413</v>
      </c>
      <c r="D296" s="25" t="s">
        <v>455</v>
      </c>
      <c r="E296" s="9" t="s">
        <v>372</v>
      </c>
      <c r="F296" s="9">
        <v>1.49</v>
      </c>
      <c r="G296" s="12">
        <v>12.2</v>
      </c>
      <c r="H296" s="12">
        <f>F296*G296</f>
        <v>18.178</v>
      </c>
      <c r="I296" s="9"/>
    </row>
    <row r="297" customHeight="1" spans="1:9">
      <c r="A297" s="10"/>
      <c r="B297" s="10"/>
      <c r="C297" s="16"/>
      <c r="D297" s="25" t="s">
        <v>456</v>
      </c>
      <c r="E297" s="9" t="s">
        <v>372</v>
      </c>
      <c r="F297" s="12">
        <v>1.24</v>
      </c>
      <c r="G297" s="12">
        <v>12.2</v>
      </c>
      <c r="H297" s="12">
        <f t="shared" ref="H297:H305" si="20">F297*G297</f>
        <v>15.128</v>
      </c>
      <c r="I297" s="22" t="s">
        <v>415</v>
      </c>
    </row>
    <row r="298" customHeight="1" spans="1:9">
      <c r="A298" s="10"/>
      <c r="B298" s="10"/>
      <c r="C298" s="16"/>
      <c r="D298" s="25" t="s">
        <v>457</v>
      </c>
      <c r="E298" s="9" t="s">
        <v>372</v>
      </c>
      <c r="F298" s="12">
        <v>2.99</v>
      </c>
      <c r="G298" s="12">
        <v>12.2</v>
      </c>
      <c r="H298" s="12">
        <f t="shared" si="20"/>
        <v>36.478</v>
      </c>
      <c r="I298" s="22" t="s">
        <v>415</v>
      </c>
    </row>
    <row r="299" customHeight="1" spans="1:9">
      <c r="A299" s="10"/>
      <c r="B299" s="10"/>
      <c r="C299" s="16"/>
      <c r="D299" s="11" t="s">
        <v>458</v>
      </c>
      <c r="E299" s="9" t="s">
        <v>372</v>
      </c>
      <c r="F299" s="12">
        <v>2.59</v>
      </c>
      <c r="G299" s="12">
        <v>12.2</v>
      </c>
      <c r="H299" s="12">
        <f t="shared" si="20"/>
        <v>31.598</v>
      </c>
      <c r="I299" s="12"/>
    </row>
    <row r="300" customHeight="1" spans="1:9">
      <c r="A300" s="10"/>
      <c r="B300" s="10"/>
      <c r="C300" s="16"/>
      <c r="D300" s="11" t="s">
        <v>65</v>
      </c>
      <c r="E300" s="9"/>
      <c r="F300" s="12"/>
      <c r="G300" s="12"/>
      <c r="H300" s="12"/>
      <c r="I300" s="12"/>
    </row>
    <row r="301" customHeight="1" spans="1:9">
      <c r="A301" s="10"/>
      <c r="B301" s="10"/>
      <c r="C301" s="17"/>
      <c r="F301" s="9"/>
      <c r="G301" s="12"/>
      <c r="H301" s="12"/>
      <c r="I301" s="9"/>
    </row>
    <row r="302" customHeight="1" spans="1:9">
      <c r="A302" s="10"/>
      <c r="B302" s="10"/>
      <c r="C302" s="9" t="s">
        <v>418</v>
      </c>
      <c r="D302" s="20" t="s">
        <v>419</v>
      </c>
      <c r="E302" s="9" t="s">
        <v>378</v>
      </c>
      <c r="F302" s="9">
        <v>6</v>
      </c>
      <c r="G302" s="12">
        <v>0.15</v>
      </c>
      <c r="H302" s="12">
        <f t="shared" si="20"/>
        <v>0.9</v>
      </c>
      <c r="I302" s="22" t="s">
        <v>415</v>
      </c>
    </row>
    <row r="303" customHeight="1" spans="1:9">
      <c r="A303" s="10"/>
      <c r="B303" s="10"/>
      <c r="C303" s="9"/>
      <c r="D303" s="11" t="s">
        <v>459</v>
      </c>
      <c r="E303" s="9" t="s">
        <v>421</v>
      </c>
      <c r="F303" s="9"/>
      <c r="G303" s="12"/>
      <c r="H303" s="12">
        <f t="shared" si="20"/>
        <v>0</v>
      </c>
      <c r="I303" s="22" t="s">
        <v>415</v>
      </c>
    </row>
    <row r="304" customHeight="1" spans="1:9">
      <c r="A304" s="10"/>
      <c r="B304" s="10"/>
      <c r="C304" s="9"/>
      <c r="D304" s="11" t="s">
        <v>422</v>
      </c>
      <c r="E304" s="9" t="s">
        <v>378</v>
      </c>
      <c r="F304" s="9">
        <v>2</v>
      </c>
      <c r="G304" s="12">
        <v>0.5</v>
      </c>
      <c r="H304" s="12">
        <f t="shared" si="20"/>
        <v>1</v>
      </c>
      <c r="I304" s="9"/>
    </row>
    <row r="305" customHeight="1" spans="1:9">
      <c r="A305" s="10"/>
      <c r="B305" s="10"/>
      <c r="C305" s="9"/>
      <c r="D305" s="11" t="s">
        <v>447</v>
      </c>
      <c r="E305" s="9" t="s">
        <v>378</v>
      </c>
      <c r="F305" s="9"/>
      <c r="G305" s="12"/>
      <c r="H305" s="12">
        <f t="shared" si="20"/>
        <v>0</v>
      </c>
      <c r="I305" s="9"/>
    </row>
    <row r="306" customHeight="1" spans="1:9">
      <c r="A306" s="10"/>
      <c r="B306" s="10"/>
      <c r="C306" s="9"/>
      <c r="D306" s="11" t="s">
        <v>424</v>
      </c>
      <c r="E306" s="9" t="s">
        <v>96</v>
      </c>
      <c r="F306" s="9"/>
      <c r="G306" s="12"/>
      <c r="H306" s="12"/>
      <c r="I306" s="9"/>
    </row>
    <row r="307" customHeight="1" spans="1:9">
      <c r="A307" s="10"/>
      <c r="B307" s="10"/>
      <c r="C307" s="9"/>
      <c r="D307" s="11" t="s">
        <v>65</v>
      </c>
      <c r="E307" s="11"/>
      <c r="F307" s="9"/>
      <c r="G307" s="12"/>
      <c r="H307" s="12"/>
      <c r="I307" s="9"/>
    </row>
    <row r="308" customHeight="1" spans="1:9">
      <c r="A308" s="10"/>
      <c r="B308" s="10"/>
      <c r="C308" s="9" t="s">
        <v>425</v>
      </c>
      <c r="D308" s="11" t="s">
        <v>426</v>
      </c>
      <c r="E308" s="9" t="s">
        <v>96</v>
      </c>
      <c r="F308" s="18">
        <v>1</v>
      </c>
      <c r="G308" s="12"/>
      <c r="H308" s="12">
        <v>7.74</v>
      </c>
      <c r="I308" s="9"/>
    </row>
    <row r="309" customHeight="1" spans="1:9">
      <c r="A309" s="10"/>
      <c r="B309" s="10"/>
      <c r="C309" s="6" t="s">
        <v>427</v>
      </c>
      <c r="D309" s="19" t="s">
        <v>428</v>
      </c>
      <c r="E309" s="6"/>
      <c r="F309" s="9"/>
      <c r="G309" s="12"/>
      <c r="H309" s="21">
        <v>146.02</v>
      </c>
      <c r="I309" s="9"/>
    </row>
    <row r="310" customHeight="1" spans="1:9">
      <c r="A310" s="10"/>
      <c r="B310" s="10"/>
      <c r="C310" s="14" t="s">
        <v>429</v>
      </c>
      <c r="D310" s="11" t="s">
        <v>430</v>
      </c>
      <c r="E310" s="9" t="s">
        <v>96</v>
      </c>
      <c r="F310" s="9"/>
      <c r="G310" s="12"/>
      <c r="H310" s="12">
        <f>H304+H302+H299++H298+H297+H296</f>
        <v>103.282</v>
      </c>
      <c r="I310" s="9"/>
    </row>
    <row r="311" customHeight="1" spans="1:9">
      <c r="A311" s="10"/>
      <c r="B311" s="10"/>
      <c r="C311" s="17"/>
      <c r="D311" s="11" t="s">
        <v>431</v>
      </c>
      <c r="E311" s="9" t="s">
        <v>96</v>
      </c>
      <c r="F311" s="9"/>
      <c r="G311" s="9"/>
      <c r="H311" s="9">
        <f>H308+H294+H293</f>
        <v>42.74</v>
      </c>
      <c r="I311" s="9"/>
    </row>
    <row r="312" customHeight="1" spans="1:9">
      <c r="A312" s="3"/>
      <c r="B312" s="3"/>
      <c r="C312" s="4" t="str">
        <f>B315</f>
        <v>不锈钢无障碍坡道栏杆 950mm高</v>
      </c>
      <c r="D312" s="4"/>
      <c r="E312" s="5" t="s">
        <v>402</v>
      </c>
      <c r="F312" s="5"/>
      <c r="G312" s="5"/>
      <c r="H312" s="5"/>
      <c r="I312" s="5"/>
    </row>
    <row r="313" customHeight="1" spans="1:9">
      <c r="A313" s="6" t="s">
        <v>1</v>
      </c>
      <c r="B313" s="7" t="s">
        <v>403</v>
      </c>
      <c r="C313" s="6" t="s">
        <v>404</v>
      </c>
      <c r="D313" s="6"/>
      <c r="E313" s="6"/>
      <c r="F313" s="6"/>
      <c r="G313" s="6"/>
      <c r="H313" s="6"/>
      <c r="I313" s="6"/>
    </row>
    <row r="314" customHeight="1" spans="1:9">
      <c r="A314" s="6"/>
      <c r="B314" s="8"/>
      <c r="C314" s="8" t="s">
        <v>405</v>
      </c>
      <c r="D314" s="8"/>
      <c r="E314" s="8" t="s">
        <v>87</v>
      </c>
      <c r="F314" s="8" t="s">
        <v>406</v>
      </c>
      <c r="G314" s="8" t="s">
        <v>407</v>
      </c>
      <c r="H314" s="8" t="s">
        <v>408</v>
      </c>
      <c r="I314" s="8" t="s">
        <v>6</v>
      </c>
    </row>
    <row r="315" customHeight="1" spans="1:9">
      <c r="A315" s="10">
        <f>结算明细表!A19</f>
        <v>16</v>
      </c>
      <c r="B315" s="10" t="str">
        <f>结算明细表!B19</f>
        <v>不锈钢无障碍坡道栏杆 950mm高</v>
      </c>
      <c r="C315" s="9" t="s">
        <v>409</v>
      </c>
      <c r="D315" s="11" t="s">
        <v>366</v>
      </c>
      <c r="E315" s="9" t="s">
        <v>96</v>
      </c>
      <c r="F315" s="9">
        <v>1</v>
      </c>
      <c r="G315" s="12">
        <v>25</v>
      </c>
      <c r="H315" s="12">
        <v>25</v>
      </c>
      <c r="I315" s="9"/>
    </row>
    <row r="316" customHeight="1" spans="1:9">
      <c r="A316" s="10"/>
      <c r="B316" s="10"/>
      <c r="C316" s="9" t="s">
        <v>410</v>
      </c>
      <c r="D316" s="11" t="s">
        <v>369</v>
      </c>
      <c r="E316" s="9" t="s">
        <v>96</v>
      </c>
      <c r="F316" s="13">
        <v>1</v>
      </c>
      <c r="G316" s="12">
        <v>25</v>
      </c>
      <c r="H316" s="12">
        <v>25</v>
      </c>
      <c r="I316" s="9"/>
    </row>
    <row r="317" customHeight="1" spans="1:9">
      <c r="A317" s="10"/>
      <c r="B317" s="10"/>
      <c r="C317" s="9" t="s">
        <v>411</v>
      </c>
      <c r="D317" s="11" t="s">
        <v>412</v>
      </c>
      <c r="E317" s="9" t="s">
        <v>96</v>
      </c>
      <c r="F317" s="9"/>
      <c r="G317" s="12"/>
      <c r="H317" s="12"/>
      <c r="I317" s="9"/>
    </row>
    <row r="318" customHeight="1" spans="1:9">
      <c r="A318" s="10"/>
      <c r="B318" s="10"/>
      <c r="C318" s="14" t="s">
        <v>413</v>
      </c>
      <c r="D318" s="25" t="s">
        <v>455</v>
      </c>
      <c r="E318" s="9" t="s">
        <v>372</v>
      </c>
      <c r="F318" s="9">
        <v>1.49</v>
      </c>
      <c r="G318" s="12">
        <v>12.2</v>
      </c>
      <c r="H318" s="12">
        <f t="shared" ref="H318:H321" si="21">F318*G318</f>
        <v>18.178</v>
      </c>
      <c r="I318" s="9"/>
    </row>
    <row r="319" customHeight="1" spans="1:9">
      <c r="A319" s="10"/>
      <c r="B319" s="10"/>
      <c r="C319" s="16"/>
      <c r="D319" s="25" t="s">
        <v>456</v>
      </c>
      <c r="E319" s="9" t="s">
        <v>372</v>
      </c>
      <c r="F319" s="12">
        <v>1.24</v>
      </c>
      <c r="G319" s="12">
        <v>12.2</v>
      </c>
      <c r="H319" s="12">
        <f t="shared" si="21"/>
        <v>15.128</v>
      </c>
      <c r="I319" s="22" t="s">
        <v>415</v>
      </c>
    </row>
    <row r="320" customHeight="1" spans="1:9">
      <c r="A320" s="10"/>
      <c r="B320" s="10"/>
      <c r="C320" s="16"/>
      <c r="D320" s="25" t="s">
        <v>457</v>
      </c>
      <c r="E320" s="9" t="s">
        <v>372</v>
      </c>
      <c r="F320" s="12">
        <v>2.99</v>
      </c>
      <c r="G320" s="12">
        <v>12.2</v>
      </c>
      <c r="H320" s="12">
        <f t="shared" si="21"/>
        <v>36.478</v>
      </c>
      <c r="I320" s="22" t="s">
        <v>415</v>
      </c>
    </row>
    <row r="321" customHeight="1" spans="1:9">
      <c r="A321" s="10"/>
      <c r="B321" s="10"/>
      <c r="C321" s="16"/>
      <c r="D321" s="11" t="s">
        <v>458</v>
      </c>
      <c r="E321" s="9" t="s">
        <v>372</v>
      </c>
      <c r="F321" s="12">
        <v>2.59</v>
      </c>
      <c r="G321" s="12">
        <v>12.2</v>
      </c>
      <c r="H321" s="12">
        <f t="shared" si="21"/>
        <v>31.598</v>
      </c>
      <c r="I321" s="12"/>
    </row>
    <row r="322" customHeight="1" spans="1:9">
      <c r="A322" s="10"/>
      <c r="B322" s="10"/>
      <c r="C322" s="16"/>
      <c r="D322" s="11" t="s">
        <v>65</v>
      </c>
      <c r="E322" s="9"/>
      <c r="F322" s="12"/>
      <c r="G322" s="12"/>
      <c r="H322" s="12"/>
      <c r="I322" s="12"/>
    </row>
    <row r="323" customHeight="1" spans="1:9">
      <c r="A323" s="10"/>
      <c r="B323" s="10"/>
      <c r="C323" s="17"/>
      <c r="F323" s="9"/>
      <c r="G323" s="12"/>
      <c r="H323" s="12"/>
      <c r="I323" s="9"/>
    </row>
    <row r="324" customHeight="1" spans="1:9">
      <c r="A324" s="10"/>
      <c r="B324" s="10"/>
      <c r="C324" s="9" t="s">
        <v>418</v>
      </c>
      <c r="D324" s="20" t="s">
        <v>419</v>
      </c>
      <c r="E324" s="9" t="s">
        <v>378</v>
      </c>
      <c r="F324" s="9">
        <v>6</v>
      </c>
      <c r="G324" s="12">
        <v>0.15</v>
      </c>
      <c r="H324" s="12">
        <f t="shared" ref="H324:H327" si="22">F324*G324</f>
        <v>0.9</v>
      </c>
      <c r="I324" s="22" t="s">
        <v>415</v>
      </c>
    </row>
    <row r="325" customHeight="1" spans="1:9">
      <c r="A325" s="10"/>
      <c r="B325" s="10"/>
      <c r="C325" s="9"/>
      <c r="D325" s="11" t="s">
        <v>459</v>
      </c>
      <c r="E325" s="9" t="s">
        <v>421</v>
      </c>
      <c r="F325" s="9"/>
      <c r="G325" s="12"/>
      <c r="H325" s="12">
        <f t="shared" si="22"/>
        <v>0</v>
      </c>
      <c r="I325" s="22" t="s">
        <v>415</v>
      </c>
    </row>
    <row r="326" customHeight="1" spans="1:9">
      <c r="A326" s="10"/>
      <c r="B326" s="10"/>
      <c r="C326" s="9"/>
      <c r="D326" s="11" t="s">
        <v>422</v>
      </c>
      <c r="E326" s="9" t="s">
        <v>378</v>
      </c>
      <c r="F326" s="9">
        <v>2</v>
      </c>
      <c r="G326" s="12">
        <v>0.5</v>
      </c>
      <c r="H326" s="12">
        <f t="shared" si="22"/>
        <v>1</v>
      </c>
      <c r="I326" s="9"/>
    </row>
    <row r="327" customHeight="1" spans="1:9">
      <c r="A327" s="10"/>
      <c r="B327" s="10"/>
      <c r="C327" s="9"/>
      <c r="D327" s="11" t="s">
        <v>447</v>
      </c>
      <c r="E327" s="9" t="s">
        <v>378</v>
      </c>
      <c r="F327" s="9"/>
      <c r="G327" s="12"/>
      <c r="H327" s="12">
        <f t="shared" si="22"/>
        <v>0</v>
      </c>
      <c r="I327" s="9"/>
    </row>
    <row r="328" customHeight="1" spans="1:9">
      <c r="A328" s="10"/>
      <c r="B328" s="10"/>
      <c r="C328" s="9"/>
      <c r="D328" s="11" t="s">
        <v>424</v>
      </c>
      <c r="E328" s="9" t="s">
        <v>96</v>
      </c>
      <c r="F328" s="9"/>
      <c r="G328" s="12"/>
      <c r="H328" s="12"/>
      <c r="I328" s="9"/>
    </row>
    <row r="329" customHeight="1" spans="1:9">
      <c r="A329" s="10"/>
      <c r="B329" s="10"/>
      <c r="C329" s="9"/>
      <c r="D329" s="11" t="s">
        <v>65</v>
      </c>
      <c r="E329" s="11"/>
      <c r="F329" s="9"/>
      <c r="G329" s="12"/>
      <c r="H329" s="12"/>
      <c r="I329" s="9"/>
    </row>
    <row r="330" customHeight="1" spans="1:9">
      <c r="A330" s="10"/>
      <c r="B330" s="10"/>
      <c r="C330" s="9" t="s">
        <v>425</v>
      </c>
      <c r="D330" s="11" t="s">
        <v>426</v>
      </c>
      <c r="E330" s="9" t="s">
        <v>96</v>
      </c>
      <c r="F330" s="18">
        <v>1</v>
      </c>
      <c r="G330" s="12"/>
      <c r="H330" s="12">
        <v>6.72</v>
      </c>
      <c r="I330" s="9"/>
    </row>
    <row r="331" customHeight="1" spans="1:9">
      <c r="A331" s="10"/>
      <c r="B331" s="10"/>
      <c r="C331" s="6" t="s">
        <v>427</v>
      </c>
      <c r="D331" s="19" t="s">
        <v>428</v>
      </c>
      <c r="E331" s="6"/>
      <c r="F331" s="9"/>
      <c r="G331" s="12"/>
      <c r="H331" s="21">
        <v>160</v>
      </c>
      <c r="I331" s="9"/>
    </row>
    <row r="332" customHeight="1" spans="1:9">
      <c r="A332" s="10"/>
      <c r="B332" s="10"/>
      <c r="C332" s="14" t="s">
        <v>429</v>
      </c>
      <c r="D332" s="11" t="s">
        <v>430</v>
      </c>
      <c r="E332" s="9" t="s">
        <v>96</v>
      </c>
      <c r="F332" s="9"/>
      <c r="G332" s="12"/>
      <c r="H332" s="12">
        <f>H326+H324+H321+H320+H319+H318</f>
        <v>103.282</v>
      </c>
      <c r="I332" s="9"/>
    </row>
    <row r="333" customHeight="1" spans="1:9">
      <c r="A333" s="10"/>
      <c r="B333" s="10"/>
      <c r="C333" s="17"/>
      <c r="D333" s="11" t="s">
        <v>431</v>
      </c>
      <c r="E333" s="9" t="s">
        <v>96</v>
      </c>
      <c r="F333" s="9"/>
      <c r="G333" s="9"/>
      <c r="H333" s="9">
        <f>H330+H315+H316</f>
        <v>56.72</v>
      </c>
      <c r="I333" s="9"/>
    </row>
    <row r="334" customHeight="1" spans="1:9">
      <c r="A334" s="3"/>
      <c r="B334" s="3"/>
      <c r="C334" s="4" t="str">
        <f>B337</f>
        <v>车库栏杆 1100mm高 L&gt;4M</v>
      </c>
      <c r="D334" s="4"/>
      <c r="E334" s="5" t="s">
        <v>402</v>
      </c>
      <c r="F334" s="5"/>
      <c r="G334" s="5"/>
      <c r="H334" s="5"/>
      <c r="I334" s="5"/>
    </row>
    <row r="335" customHeight="1" spans="1:9">
      <c r="A335" s="6" t="s">
        <v>1</v>
      </c>
      <c r="B335" s="7" t="s">
        <v>403</v>
      </c>
      <c r="C335" s="6" t="s">
        <v>404</v>
      </c>
      <c r="D335" s="6"/>
      <c r="E335" s="6"/>
      <c r="F335" s="6"/>
      <c r="G335" s="6"/>
      <c r="H335" s="6"/>
      <c r="I335" s="6"/>
    </row>
    <row r="336" customHeight="1" spans="1:9">
      <c r="A336" s="6"/>
      <c r="B336" s="8"/>
      <c r="C336" s="8" t="s">
        <v>405</v>
      </c>
      <c r="D336" s="8"/>
      <c r="E336" s="8" t="s">
        <v>87</v>
      </c>
      <c r="F336" s="8" t="s">
        <v>406</v>
      </c>
      <c r="G336" s="8" t="s">
        <v>407</v>
      </c>
      <c r="H336" s="8" t="s">
        <v>408</v>
      </c>
      <c r="I336" s="8" t="s">
        <v>6</v>
      </c>
    </row>
    <row r="337" customHeight="1" spans="1:9">
      <c r="A337" s="9">
        <f>结算明细表!A20</f>
        <v>17</v>
      </c>
      <c r="B337" s="10" t="str">
        <f>结算明细表!B20</f>
        <v>车库栏杆 1100mm高 L&gt;4M</v>
      </c>
      <c r="C337" s="9" t="s">
        <v>409</v>
      </c>
      <c r="D337" s="11" t="s">
        <v>366</v>
      </c>
      <c r="E337" s="9" t="s">
        <v>96</v>
      </c>
      <c r="F337" s="9">
        <v>1</v>
      </c>
      <c r="G337" s="12">
        <v>15</v>
      </c>
      <c r="H337" s="12">
        <f t="shared" ref="H337:H343" si="23">F337*G337</f>
        <v>15</v>
      </c>
      <c r="I337" s="9"/>
    </row>
    <row r="338" customHeight="1" spans="1:9">
      <c r="A338" s="9"/>
      <c r="B338" s="10"/>
      <c r="C338" s="9" t="s">
        <v>410</v>
      </c>
      <c r="D338" s="11" t="s">
        <v>369</v>
      </c>
      <c r="E338" s="9" t="s">
        <v>96</v>
      </c>
      <c r="F338" s="13">
        <v>1</v>
      </c>
      <c r="G338" s="12">
        <v>15</v>
      </c>
      <c r="H338" s="12">
        <f t="shared" si="23"/>
        <v>15</v>
      </c>
      <c r="I338" s="9"/>
    </row>
    <row r="339" customHeight="1" spans="1:9">
      <c r="A339" s="9"/>
      <c r="B339" s="10"/>
      <c r="C339" s="9" t="s">
        <v>411</v>
      </c>
      <c r="D339" s="11" t="s">
        <v>412</v>
      </c>
      <c r="E339" s="9" t="s">
        <v>96</v>
      </c>
      <c r="F339" s="9">
        <v>1</v>
      </c>
      <c r="G339" s="12">
        <v>4</v>
      </c>
      <c r="H339" s="12">
        <v>4</v>
      </c>
      <c r="I339" s="9"/>
    </row>
    <row r="340" customHeight="1" spans="1:9">
      <c r="A340" s="9"/>
      <c r="B340" s="10"/>
      <c r="C340" s="14" t="s">
        <v>413</v>
      </c>
      <c r="D340" s="11" t="s">
        <v>432</v>
      </c>
      <c r="E340" s="9" t="s">
        <v>372</v>
      </c>
      <c r="F340" s="15">
        <v>1.47</v>
      </c>
      <c r="G340" s="12">
        <v>4.6</v>
      </c>
      <c r="H340" s="12">
        <f t="shared" si="23"/>
        <v>6.762</v>
      </c>
      <c r="I340" s="22" t="s">
        <v>415</v>
      </c>
    </row>
    <row r="341" customHeight="1" spans="1:9">
      <c r="A341" s="9"/>
      <c r="B341" s="10"/>
      <c r="C341" s="16"/>
      <c r="D341" s="11" t="s">
        <v>460</v>
      </c>
      <c r="E341" s="9" t="s">
        <v>372</v>
      </c>
      <c r="F341" s="12">
        <v>3.11</v>
      </c>
      <c r="G341" s="12">
        <v>4.6</v>
      </c>
      <c r="H341" s="12">
        <f t="shared" si="23"/>
        <v>14.306</v>
      </c>
      <c r="I341" s="22" t="s">
        <v>415</v>
      </c>
    </row>
    <row r="342" customHeight="1" spans="1:9">
      <c r="A342" s="9"/>
      <c r="B342" s="10"/>
      <c r="C342" s="16"/>
      <c r="D342" s="11" t="s">
        <v>434</v>
      </c>
      <c r="E342" s="9" t="s">
        <v>372</v>
      </c>
      <c r="F342" s="12">
        <v>2.7</v>
      </c>
      <c r="G342" s="12">
        <v>4.8</v>
      </c>
      <c r="H342" s="12">
        <f t="shared" si="23"/>
        <v>12.96</v>
      </c>
      <c r="I342" s="22"/>
    </row>
    <row r="343" customHeight="1" spans="1:9">
      <c r="A343" s="9"/>
      <c r="B343" s="10"/>
      <c r="C343" s="16"/>
      <c r="D343" s="11" t="s">
        <v>435</v>
      </c>
      <c r="E343" s="9" t="s">
        <v>372</v>
      </c>
      <c r="F343" s="12">
        <v>1.95</v>
      </c>
      <c r="G343" s="12">
        <v>4.7</v>
      </c>
      <c r="H343" s="12">
        <f t="shared" si="23"/>
        <v>9.165</v>
      </c>
      <c r="I343" s="22"/>
    </row>
    <row r="344" customHeight="1" spans="1:9">
      <c r="A344" s="9"/>
      <c r="B344" s="10"/>
      <c r="C344" s="16"/>
      <c r="D344" s="11" t="s">
        <v>417</v>
      </c>
      <c r="E344" s="9" t="s">
        <v>372</v>
      </c>
      <c r="F344" s="9">
        <v>1</v>
      </c>
      <c r="G344" s="12">
        <v>13</v>
      </c>
      <c r="H344" s="12">
        <v>13</v>
      </c>
      <c r="I344" s="12"/>
    </row>
    <row r="345" customHeight="1" spans="1:9">
      <c r="A345" s="9"/>
      <c r="B345" s="10"/>
      <c r="C345" s="16"/>
      <c r="D345" s="11"/>
      <c r="E345" s="9"/>
      <c r="F345" s="9"/>
      <c r="G345" s="12"/>
      <c r="H345" s="12">
        <f t="shared" ref="H345:H350" si="24">F345*G345</f>
        <v>0</v>
      </c>
      <c r="I345" s="12"/>
    </row>
    <row r="346" customHeight="1" spans="1:9">
      <c r="A346" s="9"/>
      <c r="B346" s="10"/>
      <c r="C346" s="17"/>
      <c r="F346" s="9"/>
      <c r="G346" s="12"/>
      <c r="H346" s="12">
        <f t="shared" si="24"/>
        <v>0</v>
      </c>
      <c r="I346" s="9"/>
    </row>
    <row r="347" customHeight="1" spans="1:9">
      <c r="A347" s="9"/>
      <c r="B347" s="10"/>
      <c r="C347" s="9" t="s">
        <v>418</v>
      </c>
      <c r="D347" s="20" t="s">
        <v>419</v>
      </c>
      <c r="E347" s="9" t="s">
        <v>378</v>
      </c>
      <c r="F347" s="9">
        <v>4</v>
      </c>
      <c r="G347" s="12">
        <v>0.3</v>
      </c>
      <c r="H347" s="12">
        <f t="shared" si="24"/>
        <v>1.2</v>
      </c>
      <c r="I347" s="22" t="s">
        <v>415</v>
      </c>
    </row>
    <row r="348" customHeight="1" spans="1:9">
      <c r="A348" s="9"/>
      <c r="B348" s="10"/>
      <c r="C348" s="9"/>
      <c r="D348" s="11" t="s">
        <v>420</v>
      </c>
      <c r="E348" s="9" t="s">
        <v>421</v>
      </c>
      <c r="F348" s="9">
        <v>2</v>
      </c>
      <c r="G348" s="12">
        <v>0.2</v>
      </c>
      <c r="H348" s="12">
        <f t="shared" si="24"/>
        <v>0.4</v>
      </c>
      <c r="I348" s="22" t="s">
        <v>415</v>
      </c>
    </row>
    <row r="349" customHeight="1" spans="1:9">
      <c r="A349" s="9"/>
      <c r="B349" s="10"/>
      <c r="C349" s="9"/>
      <c r="D349" s="11" t="s">
        <v>422</v>
      </c>
      <c r="E349" s="9" t="s">
        <v>378</v>
      </c>
      <c r="F349" s="9">
        <v>2</v>
      </c>
      <c r="G349" s="12">
        <v>0.5</v>
      </c>
      <c r="H349" s="12">
        <f t="shared" si="24"/>
        <v>1</v>
      </c>
      <c r="I349" s="9"/>
    </row>
    <row r="350" customHeight="1" spans="1:9">
      <c r="A350" s="9"/>
      <c r="B350" s="10"/>
      <c r="C350" s="9"/>
      <c r="D350" s="11" t="s">
        <v>423</v>
      </c>
      <c r="E350" s="9" t="s">
        <v>378</v>
      </c>
      <c r="F350" s="9">
        <v>4</v>
      </c>
      <c r="G350" s="12">
        <v>0.5</v>
      </c>
      <c r="H350" s="12">
        <f t="shared" si="24"/>
        <v>2</v>
      </c>
      <c r="I350" s="9"/>
    </row>
    <row r="351" customHeight="1" spans="1:9">
      <c r="A351" s="9"/>
      <c r="B351" s="10"/>
      <c r="C351" s="9"/>
      <c r="D351" s="11" t="s">
        <v>424</v>
      </c>
      <c r="E351" s="9" t="s">
        <v>96</v>
      </c>
      <c r="F351" s="9"/>
      <c r="G351" s="12"/>
      <c r="H351" s="12"/>
      <c r="I351" s="9"/>
    </row>
    <row r="352" customHeight="1" spans="1:9">
      <c r="A352" s="9"/>
      <c r="B352" s="10"/>
      <c r="C352" s="9"/>
      <c r="D352" s="11" t="s">
        <v>65</v>
      </c>
      <c r="E352" s="11"/>
      <c r="F352" s="9"/>
      <c r="G352" s="12"/>
      <c r="H352" s="12"/>
      <c r="I352" s="9"/>
    </row>
    <row r="353" customHeight="1" spans="1:9">
      <c r="A353" s="9"/>
      <c r="B353" s="10"/>
      <c r="C353" s="9" t="s">
        <v>425</v>
      </c>
      <c r="D353" s="11" t="s">
        <v>426</v>
      </c>
      <c r="E353" s="9" t="s">
        <v>96</v>
      </c>
      <c r="F353" s="18">
        <v>1</v>
      </c>
      <c r="G353" s="12"/>
      <c r="H353" s="12">
        <v>11.4</v>
      </c>
      <c r="I353" s="9"/>
    </row>
    <row r="354" customHeight="1" spans="1:9">
      <c r="A354" s="9"/>
      <c r="B354" s="10"/>
      <c r="C354" s="6" t="s">
        <v>427</v>
      </c>
      <c r="D354" s="19" t="s">
        <v>428</v>
      </c>
      <c r="E354" s="6"/>
      <c r="F354" s="9"/>
      <c r="G354" s="12"/>
      <c r="H354" s="21">
        <v>106.19</v>
      </c>
      <c r="I354" s="9"/>
    </row>
    <row r="355" customHeight="1" spans="1:9">
      <c r="A355" s="9"/>
      <c r="B355" s="10"/>
      <c r="C355" s="14" t="s">
        <v>429</v>
      </c>
      <c r="D355" s="11" t="s">
        <v>430</v>
      </c>
      <c r="E355" s="9" t="s">
        <v>96</v>
      </c>
      <c r="F355" s="9"/>
      <c r="G355" s="12"/>
      <c r="H355" s="12">
        <f>H350+H349+H348+H347+H345+H344+H343+H342+H341+H340</f>
        <v>60.793</v>
      </c>
      <c r="I355" s="9"/>
    </row>
    <row r="356" customHeight="1" spans="1:9">
      <c r="A356" s="9"/>
      <c r="B356" s="10"/>
      <c r="C356" s="17"/>
      <c r="D356" s="11" t="s">
        <v>431</v>
      </c>
      <c r="E356" s="9" t="s">
        <v>96</v>
      </c>
      <c r="F356" s="9"/>
      <c r="G356" s="9"/>
      <c r="H356" s="9">
        <f>H353+H337+H338+H339</f>
        <v>45.4</v>
      </c>
      <c r="I356" s="9"/>
    </row>
    <row r="357" s="2" customFormat="1" ht="65.25" customHeight="1" spans="1:9">
      <c r="A357" s="23" t="str">
        <f>B360</f>
        <v>车库栏杆 1100mm高 L&gt;4M（80*80*1.5大立柱，大立柱焊接于底部钢板上底部钢板用4个膨胀螺丝与主体结构固定牢固）</v>
      </c>
      <c r="B357" s="23"/>
      <c r="C357" s="23"/>
      <c r="D357" s="23"/>
      <c r="E357" s="5" t="s">
        <v>402</v>
      </c>
      <c r="F357" s="5"/>
      <c r="G357" s="5"/>
      <c r="H357" s="5"/>
      <c r="I357" s="5"/>
    </row>
    <row r="358" s="2" customFormat="1" customHeight="1" spans="1:9">
      <c r="A358" s="6" t="s">
        <v>1</v>
      </c>
      <c r="B358" s="7" t="s">
        <v>403</v>
      </c>
      <c r="C358" s="6" t="s">
        <v>404</v>
      </c>
      <c r="D358" s="6"/>
      <c r="E358" s="6"/>
      <c r="F358" s="6"/>
      <c r="G358" s="6"/>
      <c r="H358" s="6"/>
      <c r="I358" s="6"/>
    </row>
    <row r="359" s="2" customFormat="1" customHeight="1" spans="1:9">
      <c r="A359" s="6"/>
      <c r="B359" s="8"/>
      <c r="C359" s="8" t="s">
        <v>405</v>
      </c>
      <c r="D359" s="8"/>
      <c r="E359" s="8" t="s">
        <v>87</v>
      </c>
      <c r="F359" s="8" t="s">
        <v>406</v>
      </c>
      <c r="G359" s="8" t="s">
        <v>407</v>
      </c>
      <c r="H359" s="8" t="s">
        <v>408</v>
      </c>
      <c r="I359" s="8" t="s">
        <v>6</v>
      </c>
    </row>
    <row r="360" s="2" customFormat="1" customHeight="1" spans="1:9">
      <c r="A360" s="9">
        <f>结算明细表!A21</f>
        <v>18</v>
      </c>
      <c r="B360" s="10" t="str">
        <f>结算明细表!B21</f>
        <v>车库栏杆 1100mm高 L&gt;4M（80*80*1.5大立柱，大立柱焊接于底部钢板上底部钢板用4个膨胀螺丝与主体结构固定牢固）</v>
      </c>
      <c r="C360" s="9" t="s">
        <v>409</v>
      </c>
      <c r="D360" s="11" t="s">
        <v>366</v>
      </c>
      <c r="E360" s="9" t="s">
        <v>96</v>
      </c>
      <c r="F360" s="9">
        <v>1</v>
      </c>
      <c r="G360" s="12">
        <v>15</v>
      </c>
      <c r="H360" s="12">
        <f>F360*G360</f>
        <v>15</v>
      </c>
      <c r="I360" s="9"/>
    </row>
    <row r="361" s="2" customFormat="1" customHeight="1" spans="1:9">
      <c r="A361" s="9"/>
      <c r="B361" s="10"/>
      <c r="C361" s="9" t="s">
        <v>410</v>
      </c>
      <c r="D361" s="11" t="s">
        <v>369</v>
      </c>
      <c r="E361" s="9" t="s">
        <v>96</v>
      </c>
      <c r="F361" s="13">
        <v>1</v>
      </c>
      <c r="G361" s="12">
        <v>15</v>
      </c>
      <c r="H361" s="12">
        <f>F361*G361</f>
        <v>15</v>
      </c>
      <c r="I361" s="9"/>
    </row>
    <row r="362" s="2" customFormat="1" customHeight="1" spans="1:9">
      <c r="A362" s="9"/>
      <c r="B362" s="10"/>
      <c r="C362" s="9" t="s">
        <v>411</v>
      </c>
      <c r="D362" s="11" t="s">
        <v>412</v>
      </c>
      <c r="E362" s="9" t="s">
        <v>96</v>
      </c>
      <c r="F362" s="9">
        <v>1</v>
      </c>
      <c r="G362" s="12">
        <v>4</v>
      </c>
      <c r="H362" s="12">
        <v>4</v>
      </c>
      <c r="I362" s="9"/>
    </row>
    <row r="363" s="2" customFormat="1" ht="57" customHeight="1" spans="1:9">
      <c r="A363" s="9"/>
      <c r="B363" s="10"/>
      <c r="C363" s="14" t="s">
        <v>413</v>
      </c>
      <c r="D363" s="25" t="s">
        <v>438</v>
      </c>
      <c r="E363" s="9" t="s">
        <v>372</v>
      </c>
      <c r="F363" s="9">
        <v>1.57</v>
      </c>
      <c r="G363" s="12">
        <v>4.6</v>
      </c>
      <c r="H363" s="12">
        <f>F363*G363</f>
        <v>7.222</v>
      </c>
      <c r="I363" s="22" t="s">
        <v>415</v>
      </c>
    </row>
    <row r="364" s="2" customFormat="1" customHeight="1" spans="1:9">
      <c r="A364" s="9"/>
      <c r="B364" s="10"/>
      <c r="C364" s="16"/>
      <c r="D364" s="11" t="s">
        <v>460</v>
      </c>
      <c r="E364" s="9" t="s">
        <v>372</v>
      </c>
      <c r="F364" s="15">
        <v>1.47</v>
      </c>
      <c r="G364" s="12">
        <v>4.6</v>
      </c>
      <c r="H364" s="12">
        <f t="shared" ref="H364:H367" si="25">F364*G364</f>
        <v>6.762</v>
      </c>
      <c r="I364" s="22" t="s">
        <v>415</v>
      </c>
    </row>
    <row r="365" s="2" customFormat="1" ht="11.25" spans="1:9">
      <c r="A365" s="9"/>
      <c r="B365" s="10"/>
      <c r="C365" s="16"/>
      <c r="D365" s="25" t="s">
        <v>432</v>
      </c>
      <c r="E365" s="9" t="s">
        <v>372</v>
      </c>
      <c r="F365" s="12">
        <v>3.11</v>
      </c>
      <c r="G365" s="12">
        <v>4.6</v>
      </c>
      <c r="H365" s="12">
        <f t="shared" si="25"/>
        <v>14.306</v>
      </c>
      <c r="I365" s="22"/>
    </row>
    <row r="366" s="2" customFormat="1" customHeight="1" spans="1:9">
      <c r="A366" s="9"/>
      <c r="B366" s="10"/>
      <c r="C366" s="16"/>
      <c r="D366" s="11" t="s">
        <v>434</v>
      </c>
      <c r="E366" s="9" t="s">
        <v>372</v>
      </c>
      <c r="F366" s="12">
        <v>2.7</v>
      </c>
      <c r="G366" s="12">
        <v>4.8</v>
      </c>
      <c r="H366" s="12">
        <f t="shared" si="25"/>
        <v>12.96</v>
      </c>
      <c r="I366" s="22"/>
    </row>
    <row r="367" s="2" customFormat="1" customHeight="1" spans="1:9">
      <c r="A367" s="9"/>
      <c r="B367" s="10"/>
      <c r="C367" s="16"/>
      <c r="D367" s="11" t="s">
        <v>435</v>
      </c>
      <c r="E367" s="9" t="s">
        <v>372</v>
      </c>
      <c r="F367" s="12">
        <v>1.95</v>
      </c>
      <c r="G367" s="12">
        <v>4.7</v>
      </c>
      <c r="H367" s="12">
        <f t="shared" si="25"/>
        <v>9.165</v>
      </c>
      <c r="I367" s="22"/>
    </row>
    <row r="368" s="2" customFormat="1" customHeight="1" spans="1:9">
      <c r="A368" s="9"/>
      <c r="B368" s="10"/>
      <c r="C368" s="16"/>
      <c r="D368" s="11" t="s">
        <v>417</v>
      </c>
      <c r="E368" s="9" t="s">
        <v>372</v>
      </c>
      <c r="F368" s="9">
        <v>1</v>
      </c>
      <c r="G368" s="12">
        <v>13</v>
      </c>
      <c r="H368" s="12">
        <v>13</v>
      </c>
      <c r="I368" s="12"/>
    </row>
    <row r="369" s="2" customFormat="1" customHeight="1" spans="1:9">
      <c r="A369" s="9"/>
      <c r="B369" s="10"/>
      <c r="C369" s="16"/>
      <c r="D369" s="11" t="s">
        <v>65</v>
      </c>
      <c r="E369" s="9"/>
      <c r="F369" s="9"/>
      <c r="G369" s="12"/>
      <c r="H369" s="12">
        <f t="shared" ref="H369:H374" si="26">F369*G369</f>
        <v>0</v>
      </c>
      <c r="I369" s="12"/>
    </row>
    <row r="370" s="2" customFormat="1" customHeight="1" spans="1:9">
      <c r="A370" s="9"/>
      <c r="B370" s="10"/>
      <c r="C370" s="17"/>
      <c r="F370" s="9"/>
      <c r="G370" s="12"/>
      <c r="H370" s="12">
        <f t="shared" si="26"/>
        <v>0</v>
      </c>
      <c r="I370" s="9"/>
    </row>
    <row r="371" s="2" customFormat="1" customHeight="1" spans="1:9">
      <c r="A371" s="9"/>
      <c r="B371" s="10"/>
      <c r="C371" s="9" t="s">
        <v>418</v>
      </c>
      <c r="D371" s="20" t="s">
        <v>419</v>
      </c>
      <c r="E371" s="9" t="s">
        <v>378</v>
      </c>
      <c r="F371" s="9">
        <v>4</v>
      </c>
      <c r="G371" s="12">
        <v>0.3</v>
      </c>
      <c r="H371" s="12">
        <f t="shared" si="26"/>
        <v>1.2</v>
      </c>
      <c r="I371" s="22" t="s">
        <v>415</v>
      </c>
    </row>
    <row r="372" s="2" customFormat="1" customHeight="1" spans="1:9">
      <c r="A372" s="9"/>
      <c r="B372" s="10"/>
      <c r="C372" s="9"/>
      <c r="D372" s="11" t="s">
        <v>420</v>
      </c>
      <c r="E372" s="9" t="s">
        <v>421</v>
      </c>
      <c r="F372" s="9">
        <v>2</v>
      </c>
      <c r="G372" s="12">
        <v>0.2</v>
      </c>
      <c r="H372" s="12">
        <f t="shared" si="26"/>
        <v>0.4</v>
      </c>
      <c r="I372" s="22" t="s">
        <v>415</v>
      </c>
    </row>
    <row r="373" s="2" customFormat="1" customHeight="1" spans="1:9">
      <c r="A373" s="9"/>
      <c r="B373" s="10"/>
      <c r="C373" s="9"/>
      <c r="D373" s="11" t="s">
        <v>422</v>
      </c>
      <c r="E373" s="9" t="s">
        <v>378</v>
      </c>
      <c r="F373" s="9">
        <v>2</v>
      </c>
      <c r="G373" s="12">
        <v>0.5</v>
      </c>
      <c r="H373" s="12">
        <f t="shared" si="26"/>
        <v>1</v>
      </c>
      <c r="I373" s="9"/>
    </row>
    <row r="374" s="2" customFormat="1" customHeight="1" spans="1:9">
      <c r="A374" s="9"/>
      <c r="B374" s="10"/>
      <c r="C374" s="9"/>
      <c r="D374" s="11" t="s">
        <v>423</v>
      </c>
      <c r="E374" s="9" t="s">
        <v>378</v>
      </c>
      <c r="F374" s="9">
        <v>4</v>
      </c>
      <c r="G374" s="12">
        <v>0.5</v>
      </c>
      <c r="H374" s="12">
        <f t="shared" si="26"/>
        <v>2</v>
      </c>
      <c r="I374" s="9"/>
    </row>
    <row r="375" s="2" customFormat="1" customHeight="1" spans="1:9">
      <c r="A375" s="9"/>
      <c r="B375" s="10"/>
      <c r="C375" s="9"/>
      <c r="D375" s="11" t="s">
        <v>424</v>
      </c>
      <c r="E375" s="9" t="s">
        <v>96</v>
      </c>
      <c r="F375" s="9"/>
      <c r="G375" s="12"/>
      <c r="H375" s="12"/>
      <c r="I375" s="9"/>
    </row>
    <row r="376" s="2" customFormat="1" customHeight="1" spans="1:9">
      <c r="A376" s="9"/>
      <c r="B376" s="10"/>
      <c r="C376" s="9"/>
      <c r="D376" s="11" t="s">
        <v>65</v>
      </c>
      <c r="E376" s="11"/>
      <c r="F376" s="9"/>
      <c r="G376" s="12"/>
      <c r="H376" s="12"/>
      <c r="I376" s="9"/>
    </row>
    <row r="377" s="2" customFormat="1" customHeight="1" spans="1:9">
      <c r="A377" s="9"/>
      <c r="B377" s="10"/>
      <c r="C377" s="9" t="s">
        <v>425</v>
      </c>
      <c r="D377" s="11" t="s">
        <v>426</v>
      </c>
      <c r="E377" s="9" t="s">
        <v>96</v>
      </c>
      <c r="F377" s="18">
        <v>1</v>
      </c>
      <c r="G377" s="12"/>
      <c r="H377" s="12">
        <v>11.25</v>
      </c>
      <c r="I377" s="9"/>
    </row>
    <row r="378" s="2" customFormat="1" customHeight="1" spans="1:9">
      <c r="A378" s="9"/>
      <c r="B378" s="10"/>
      <c r="C378" s="6" t="s">
        <v>427</v>
      </c>
      <c r="D378" s="19" t="s">
        <v>428</v>
      </c>
      <c r="E378" s="6"/>
      <c r="F378" s="9"/>
      <c r="G378" s="12"/>
      <c r="H378" s="21">
        <v>113.27</v>
      </c>
      <c r="I378" s="9"/>
    </row>
    <row r="379" s="2" customFormat="1" customHeight="1" spans="1:9">
      <c r="A379" s="9"/>
      <c r="B379" s="10"/>
      <c r="C379" s="14" t="s">
        <v>429</v>
      </c>
      <c r="D379" s="11" t="s">
        <v>430</v>
      </c>
      <c r="E379" s="9" t="s">
        <v>96</v>
      </c>
      <c r="F379" s="9"/>
      <c r="G379" s="12"/>
      <c r="H379" s="12">
        <f>H374+H373+H372+H371+H368+H367+H366+H365+H364+H363</f>
        <v>68.015</v>
      </c>
      <c r="I379" s="9"/>
    </row>
    <row r="380" s="2" customFormat="1" customHeight="1" spans="1:9">
      <c r="A380" s="9"/>
      <c r="B380" s="10"/>
      <c r="C380" s="17"/>
      <c r="D380" s="11" t="s">
        <v>431</v>
      </c>
      <c r="E380" s="9" t="s">
        <v>96</v>
      </c>
      <c r="F380" s="9"/>
      <c r="G380" s="9"/>
      <c r="H380" s="9">
        <f>H377+H360+H361+H362</f>
        <v>45.25</v>
      </c>
      <c r="I380" s="9"/>
    </row>
    <row r="381" s="2" customFormat="1" customHeight="1" spans="1:9">
      <c r="A381" s="13"/>
      <c r="B381" s="26"/>
      <c r="C381" s="27"/>
      <c r="D381" s="28"/>
      <c r="E381" s="27"/>
      <c r="F381" s="27"/>
      <c r="G381" s="27"/>
      <c r="H381" s="27"/>
      <c r="I381" s="27"/>
    </row>
    <row r="382" customHeight="1" spans="1:9">
      <c r="A382" s="3"/>
      <c r="B382" s="3"/>
      <c r="C382" s="4" t="str">
        <f>B385</f>
        <v>车库栏杆 1100mm高 L≤4M</v>
      </c>
      <c r="D382" s="4"/>
      <c r="E382" s="5" t="s">
        <v>402</v>
      </c>
      <c r="F382" s="5"/>
      <c r="G382" s="5"/>
      <c r="H382" s="5"/>
      <c r="I382" s="5"/>
    </row>
    <row r="383" customHeight="1" spans="1:9">
      <c r="A383" s="6" t="s">
        <v>1</v>
      </c>
      <c r="B383" s="7" t="s">
        <v>403</v>
      </c>
      <c r="C383" s="6" t="s">
        <v>404</v>
      </c>
      <c r="D383" s="6"/>
      <c r="E383" s="6"/>
      <c r="F383" s="6"/>
      <c r="G383" s="6"/>
      <c r="H383" s="6"/>
      <c r="I383" s="6"/>
    </row>
    <row r="384" customHeight="1" spans="1:9">
      <c r="A384" s="6"/>
      <c r="B384" s="8"/>
      <c r="C384" s="8" t="s">
        <v>405</v>
      </c>
      <c r="D384" s="8"/>
      <c r="E384" s="8" t="s">
        <v>87</v>
      </c>
      <c r="F384" s="8" t="s">
        <v>406</v>
      </c>
      <c r="G384" s="8" t="s">
        <v>407</v>
      </c>
      <c r="H384" s="8" t="s">
        <v>408</v>
      </c>
      <c r="I384" s="8" t="s">
        <v>6</v>
      </c>
    </row>
    <row r="385" customHeight="1" spans="1:9">
      <c r="A385" s="10">
        <f>结算明细表!A22</f>
        <v>19</v>
      </c>
      <c r="B385" s="10" t="str">
        <f>结算明细表!B22</f>
        <v>车库栏杆 1100mm高 L≤4M</v>
      </c>
      <c r="C385" s="9" t="s">
        <v>409</v>
      </c>
      <c r="D385" s="11" t="s">
        <v>366</v>
      </c>
      <c r="E385" s="9" t="s">
        <v>96</v>
      </c>
      <c r="F385" s="9">
        <v>1</v>
      </c>
      <c r="G385" s="12">
        <v>15</v>
      </c>
      <c r="H385" s="12">
        <f t="shared" ref="H385:H391" si="27">F385*G385</f>
        <v>15</v>
      </c>
      <c r="I385" s="9"/>
    </row>
    <row r="386" customHeight="1" spans="1:9">
      <c r="A386" s="10"/>
      <c r="B386" s="10"/>
      <c r="C386" s="9" t="s">
        <v>410</v>
      </c>
      <c r="D386" s="11" t="s">
        <v>369</v>
      </c>
      <c r="E386" s="9" t="s">
        <v>96</v>
      </c>
      <c r="F386" s="13">
        <v>1</v>
      </c>
      <c r="G386" s="12">
        <v>15</v>
      </c>
      <c r="H386" s="12">
        <f t="shared" si="27"/>
        <v>15</v>
      </c>
      <c r="I386" s="9"/>
    </row>
    <row r="387" customHeight="1" spans="1:9">
      <c r="A387" s="10"/>
      <c r="B387" s="10"/>
      <c r="C387" s="9" t="s">
        <v>411</v>
      </c>
      <c r="D387" s="11" t="s">
        <v>412</v>
      </c>
      <c r="E387" s="9" t="s">
        <v>96</v>
      </c>
      <c r="F387" s="9">
        <v>1</v>
      </c>
      <c r="G387" s="12">
        <v>4</v>
      </c>
      <c r="H387" s="12">
        <v>4</v>
      </c>
      <c r="I387" s="9"/>
    </row>
    <row r="388" customHeight="1" spans="1:9">
      <c r="A388" s="10"/>
      <c r="B388" s="10"/>
      <c r="C388" s="14" t="s">
        <v>413</v>
      </c>
      <c r="D388" s="11" t="s">
        <v>436</v>
      </c>
      <c r="E388" s="9" t="s">
        <v>372</v>
      </c>
      <c r="F388" s="15">
        <v>1.47</v>
      </c>
      <c r="G388" s="12">
        <v>4.6</v>
      </c>
      <c r="H388" s="12">
        <f t="shared" si="27"/>
        <v>6.762</v>
      </c>
      <c r="I388" s="22" t="s">
        <v>415</v>
      </c>
    </row>
    <row r="389" customHeight="1" spans="1:9">
      <c r="A389" s="10"/>
      <c r="B389" s="10"/>
      <c r="C389" s="16"/>
      <c r="D389" s="11" t="s">
        <v>437</v>
      </c>
      <c r="E389" s="9" t="s">
        <v>372</v>
      </c>
      <c r="F389" s="12">
        <v>3.11</v>
      </c>
      <c r="G389" s="12">
        <v>4.6</v>
      </c>
      <c r="H389" s="12">
        <f t="shared" si="27"/>
        <v>14.306</v>
      </c>
      <c r="I389" s="22" t="s">
        <v>415</v>
      </c>
    </row>
    <row r="390" customHeight="1" spans="1:9">
      <c r="A390" s="10"/>
      <c r="B390" s="10"/>
      <c r="C390" s="16"/>
      <c r="D390" s="11" t="s">
        <v>434</v>
      </c>
      <c r="E390" s="9"/>
      <c r="F390" s="12">
        <v>2.7</v>
      </c>
      <c r="G390" s="12">
        <v>4.8</v>
      </c>
      <c r="H390" s="12">
        <f t="shared" si="27"/>
        <v>12.96</v>
      </c>
      <c r="I390" s="22"/>
    </row>
    <row r="391" customHeight="1" spans="1:9">
      <c r="A391" s="10"/>
      <c r="B391" s="10"/>
      <c r="C391" s="16"/>
      <c r="D391" s="11" t="s">
        <v>435</v>
      </c>
      <c r="E391" s="9"/>
      <c r="F391" s="12">
        <v>1.95</v>
      </c>
      <c r="G391" s="12">
        <v>4.7</v>
      </c>
      <c r="H391" s="12">
        <f t="shared" si="27"/>
        <v>9.165</v>
      </c>
      <c r="I391" s="22"/>
    </row>
    <row r="392" customHeight="1" spans="1:9">
      <c r="A392" s="10"/>
      <c r="B392" s="10"/>
      <c r="C392" s="16"/>
      <c r="D392" s="11" t="s">
        <v>417</v>
      </c>
      <c r="E392" s="9" t="s">
        <v>372</v>
      </c>
      <c r="F392" s="9">
        <v>1</v>
      </c>
      <c r="G392" s="12">
        <v>13</v>
      </c>
      <c r="H392" s="12">
        <v>13</v>
      </c>
      <c r="I392" s="12"/>
    </row>
    <row r="393" customHeight="1" spans="1:9">
      <c r="A393" s="10"/>
      <c r="B393" s="10"/>
      <c r="C393" s="16"/>
      <c r="D393" s="11" t="s">
        <v>65</v>
      </c>
      <c r="E393" s="9"/>
      <c r="F393" s="9"/>
      <c r="G393" s="12"/>
      <c r="H393" s="12">
        <f t="shared" ref="H393:H398" si="28">F393*G393</f>
        <v>0</v>
      </c>
      <c r="I393" s="12"/>
    </row>
    <row r="394" customHeight="1" spans="1:9">
      <c r="A394" s="10"/>
      <c r="B394" s="10"/>
      <c r="C394" s="17"/>
      <c r="F394" s="9"/>
      <c r="G394" s="12"/>
      <c r="H394" s="12">
        <f t="shared" si="28"/>
        <v>0</v>
      </c>
      <c r="I394" s="9"/>
    </row>
    <row r="395" customHeight="1" spans="1:9">
      <c r="A395" s="10"/>
      <c r="B395" s="10"/>
      <c r="C395" s="9" t="s">
        <v>418</v>
      </c>
      <c r="D395" s="20" t="s">
        <v>419</v>
      </c>
      <c r="E395" s="9" t="s">
        <v>378</v>
      </c>
      <c r="F395" s="9">
        <v>4</v>
      </c>
      <c r="G395" s="12">
        <v>0.3</v>
      </c>
      <c r="H395" s="12">
        <f t="shared" si="28"/>
        <v>1.2</v>
      </c>
      <c r="I395" s="22" t="s">
        <v>415</v>
      </c>
    </row>
    <row r="396" customHeight="1" spans="1:9">
      <c r="A396" s="10"/>
      <c r="B396" s="10"/>
      <c r="C396" s="9"/>
      <c r="D396" s="11" t="s">
        <v>420</v>
      </c>
      <c r="E396" s="9" t="s">
        <v>421</v>
      </c>
      <c r="F396" s="9">
        <v>2</v>
      </c>
      <c r="G396" s="12">
        <v>0.2</v>
      </c>
      <c r="H396" s="12">
        <f t="shared" si="28"/>
        <v>0.4</v>
      </c>
      <c r="I396" s="22" t="s">
        <v>415</v>
      </c>
    </row>
    <row r="397" customHeight="1" spans="1:9">
      <c r="A397" s="10"/>
      <c r="B397" s="10"/>
      <c r="C397" s="9"/>
      <c r="D397" s="11" t="s">
        <v>422</v>
      </c>
      <c r="E397" s="9" t="s">
        <v>378</v>
      </c>
      <c r="F397" s="9">
        <v>2</v>
      </c>
      <c r="G397" s="12">
        <v>0.5</v>
      </c>
      <c r="H397" s="12">
        <f t="shared" si="28"/>
        <v>1</v>
      </c>
      <c r="I397" s="9"/>
    </row>
    <row r="398" customHeight="1" spans="1:9">
      <c r="A398" s="10"/>
      <c r="B398" s="10"/>
      <c r="C398" s="9"/>
      <c r="D398" s="11" t="s">
        <v>423</v>
      </c>
      <c r="E398" s="9" t="s">
        <v>378</v>
      </c>
      <c r="F398" s="9">
        <v>4</v>
      </c>
      <c r="G398" s="12">
        <v>0.5</v>
      </c>
      <c r="H398" s="12">
        <f t="shared" si="28"/>
        <v>2</v>
      </c>
      <c r="I398" s="9"/>
    </row>
    <row r="399" customHeight="1" spans="1:9">
      <c r="A399" s="10"/>
      <c r="B399" s="10"/>
      <c r="C399" s="9"/>
      <c r="D399" s="11" t="s">
        <v>424</v>
      </c>
      <c r="E399" s="9" t="s">
        <v>96</v>
      </c>
      <c r="F399" s="9"/>
      <c r="G399" s="12"/>
      <c r="H399" s="12"/>
      <c r="I399" s="9"/>
    </row>
    <row r="400" customHeight="1" spans="1:9">
      <c r="A400" s="10"/>
      <c r="B400" s="10"/>
      <c r="C400" s="9"/>
      <c r="D400" s="11" t="s">
        <v>65</v>
      </c>
      <c r="E400" s="11"/>
      <c r="F400" s="9"/>
      <c r="G400" s="12"/>
      <c r="H400" s="12"/>
      <c r="I400" s="9"/>
    </row>
    <row r="401" customHeight="1" spans="1:9">
      <c r="A401" s="10"/>
      <c r="B401" s="10"/>
      <c r="C401" s="9" t="s">
        <v>425</v>
      </c>
      <c r="D401" s="11" t="s">
        <v>426</v>
      </c>
      <c r="E401" s="9" t="s">
        <v>96</v>
      </c>
      <c r="F401" s="18">
        <v>1</v>
      </c>
      <c r="G401" s="12"/>
      <c r="H401" s="12">
        <v>6.97</v>
      </c>
      <c r="I401" s="9"/>
    </row>
    <row r="402" customHeight="1" spans="1:9">
      <c r="A402" s="10"/>
      <c r="B402" s="10"/>
      <c r="C402" s="6" t="s">
        <v>427</v>
      </c>
      <c r="D402" s="19" t="s">
        <v>428</v>
      </c>
      <c r="E402" s="6"/>
      <c r="F402" s="9"/>
      <c r="G402" s="12"/>
      <c r="H402" s="21">
        <v>101.76</v>
      </c>
      <c r="I402" s="9"/>
    </row>
    <row r="403" customHeight="1" spans="1:9">
      <c r="A403" s="10"/>
      <c r="B403" s="10"/>
      <c r="C403" s="14" t="s">
        <v>429</v>
      </c>
      <c r="D403" s="11" t="s">
        <v>430</v>
      </c>
      <c r="E403" s="9" t="s">
        <v>96</v>
      </c>
      <c r="F403" s="9"/>
      <c r="G403" s="12"/>
      <c r="H403" s="12">
        <f>H398+H397+H396+H395+H392+H391+H390+H389+H388</f>
        <v>60.793</v>
      </c>
      <c r="I403" s="9"/>
    </row>
    <row r="404" customHeight="1" spans="1:9">
      <c r="A404" s="10"/>
      <c r="B404" s="10"/>
      <c r="C404" s="17"/>
      <c r="D404" s="11" t="s">
        <v>431</v>
      </c>
      <c r="E404" s="9" t="s">
        <v>96</v>
      </c>
      <c r="F404" s="9"/>
      <c r="G404" s="9"/>
      <c r="H404" s="9">
        <f>H401+H385+H386+H387</f>
        <v>40.97</v>
      </c>
      <c r="I404" s="9"/>
    </row>
  </sheetData>
  <mergeCells count="197">
    <mergeCell ref="C1:D1"/>
    <mergeCell ref="E1:I1"/>
    <mergeCell ref="C2:I2"/>
    <mergeCell ref="C3:D3"/>
    <mergeCell ref="C22:D22"/>
    <mergeCell ref="E22:I22"/>
    <mergeCell ref="C23:I23"/>
    <mergeCell ref="C24:D24"/>
    <mergeCell ref="C43:D43"/>
    <mergeCell ref="E43:I43"/>
    <mergeCell ref="C44:I44"/>
    <mergeCell ref="C45:D45"/>
    <mergeCell ref="C66:D66"/>
    <mergeCell ref="E66:I66"/>
    <mergeCell ref="C67:I67"/>
    <mergeCell ref="C68:D68"/>
    <mergeCell ref="A89:G89"/>
    <mergeCell ref="C90:I90"/>
    <mergeCell ref="C91:D91"/>
    <mergeCell ref="C113:D113"/>
    <mergeCell ref="E113:I113"/>
    <mergeCell ref="C114:I114"/>
    <mergeCell ref="C115:D115"/>
    <mergeCell ref="C136:D136"/>
    <mergeCell ref="E136:I136"/>
    <mergeCell ref="C137:I137"/>
    <mergeCell ref="C138:D138"/>
    <mergeCell ref="C159:D159"/>
    <mergeCell ref="E159:I159"/>
    <mergeCell ref="C160:I160"/>
    <mergeCell ref="C161:D161"/>
    <mergeCell ref="C182:D182"/>
    <mergeCell ref="E182:I182"/>
    <mergeCell ref="C183:I183"/>
    <mergeCell ref="C184:D184"/>
    <mergeCell ref="C205:D205"/>
    <mergeCell ref="E205:I205"/>
    <mergeCell ref="C206:I206"/>
    <mergeCell ref="C207:D207"/>
    <mergeCell ref="C226:D226"/>
    <mergeCell ref="E226:I226"/>
    <mergeCell ref="C227:I227"/>
    <mergeCell ref="C228:D228"/>
    <mergeCell ref="C249:D249"/>
    <mergeCell ref="E249:I249"/>
    <mergeCell ref="C250:I250"/>
    <mergeCell ref="C251:D251"/>
    <mergeCell ref="C271:D271"/>
    <mergeCell ref="E271:I271"/>
    <mergeCell ref="C272:I272"/>
    <mergeCell ref="C273:D273"/>
    <mergeCell ref="C290:D290"/>
    <mergeCell ref="E290:I290"/>
    <mergeCell ref="C291:I291"/>
    <mergeCell ref="C292:D292"/>
    <mergeCell ref="C312:D312"/>
    <mergeCell ref="E312:I312"/>
    <mergeCell ref="C313:I313"/>
    <mergeCell ref="C314:D314"/>
    <mergeCell ref="C334:D334"/>
    <mergeCell ref="E334:I334"/>
    <mergeCell ref="C335:I335"/>
    <mergeCell ref="C336:D336"/>
    <mergeCell ref="A357:D357"/>
    <mergeCell ref="E357:I357"/>
    <mergeCell ref="C358:I358"/>
    <mergeCell ref="C359:D359"/>
    <mergeCell ref="C382:D382"/>
    <mergeCell ref="E382:I382"/>
    <mergeCell ref="C383:I383"/>
    <mergeCell ref="C384:D384"/>
    <mergeCell ref="A2:A3"/>
    <mergeCell ref="A4:A21"/>
    <mergeCell ref="A23:A24"/>
    <mergeCell ref="A25:A42"/>
    <mergeCell ref="A44:A45"/>
    <mergeCell ref="A46:A65"/>
    <mergeCell ref="A67:A68"/>
    <mergeCell ref="A69:A88"/>
    <mergeCell ref="A90:A91"/>
    <mergeCell ref="A92:A112"/>
    <mergeCell ref="A114:A115"/>
    <mergeCell ref="A116:A135"/>
    <mergeCell ref="A137:A138"/>
    <mergeCell ref="A139:A158"/>
    <mergeCell ref="A160:A161"/>
    <mergeCell ref="A162:A181"/>
    <mergeCell ref="A183:A184"/>
    <mergeCell ref="A185:A204"/>
    <mergeCell ref="A206:A207"/>
    <mergeCell ref="A208:A225"/>
    <mergeCell ref="A227:A228"/>
    <mergeCell ref="A229:A248"/>
    <mergeCell ref="A250:A251"/>
    <mergeCell ref="A252:A270"/>
    <mergeCell ref="A272:A273"/>
    <mergeCell ref="A274:A289"/>
    <mergeCell ref="A291:A292"/>
    <mergeCell ref="A293:A311"/>
    <mergeCell ref="A313:A314"/>
    <mergeCell ref="A315:A333"/>
    <mergeCell ref="A335:A336"/>
    <mergeCell ref="A337:A356"/>
    <mergeCell ref="A358:A359"/>
    <mergeCell ref="A360:A380"/>
    <mergeCell ref="A383:A384"/>
    <mergeCell ref="A385:A404"/>
    <mergeCell ref="B2:B3"/>
    <mergeCell ref="B4:B21"/>
    <mergeCell ref="B23:B24"/>
    <mergeCell ref="B25:B42"/>
    <mergeCell ref="B44:B45"/>
    <mergeCell ref="B46:B65"/>
    <mergeCell ref="B67:B68"/>
    <mergeCell ref="B69:B88"/>
    <mergeCell ref="B90:B91"/>
    <mergeCell ref="B92:B112"/>
    <mergeCell ref="B114:B115"/>
    <mergeCell ref="B116:B135"/>
    <mergeCell ref="B137:B138"/>
    <mergeCell ref="B139:B158"/>
    <mergeCell ref="B160:B161"/>
    <mergeCell ref="B162:B181"/>
    <mergeCell ref="B183:B184"/>
    <mergeCell ref="B185:B204"/>
    <mergeCell ref="B206:B207"/>
    <mergeCell ref="B208:B225"/>
    <mergeCell ref="B227:B228"/>
    <mergeCell ref="B229:B248"/>
    <mergeCell ref="B250:B251"/>
    <mergeCell ref="B252:B270"/>
    <mergeCell ref="B272:B273"/>
    <mergeCell ref="B274:B289"/>
    <mergeCell ref="B291:B292"/>
    <mergeCell ref="B293:B311"/>
    <mergeCell ref="B313:B314"/>
    <mergeCell ref="B315:B333"/>
    <mergeCell ref="B335:B336"/>
    <mergeCell ref="B337:B356"/>
    <mergeCell ref="B358:B359"/>
    <mergeCell ref="B360:B380"/>
    <mergeCell ref="B383:B384"/>
    <mergeCell ref="B385:B404"/>
    <mergeCell ref="C7:C11"/>
    <mergeCell ref="C12:C17"/>
    <mergeCell ref="C20:C21"/>
    <mergeCell ref="C28:C32"/>
    <mergeCell ref="C33:C38"/>
    <mergeCell ref="C41:C42"/>
    <mergeCell ref="C49:C55"/>
    <mergeCell ref="C56:C61"/>
    <mergeCell ref="C64:C65"/>
    <mergeCell ref="C72:C78"/>
    <mergeCell ref="C79:C84"/>
    <mergeCell ref="C87:C88"/>
    <mergeCell ref="C95:C102"/>
    <mergeCell ref="C103:C108"/>
    <mergeCell ref="C111:C112"/>
    <mergeCell ref="C119:C125"/>
    <mergeCell ref="C126:C131"/>
    <mergeCell ref="C134:C135"/>
    <mergeCell ref="C142:C148"/>
    <mergeCell ref="C149:C154"/>
    <mergeCell ref="C157:C158"/>
    <mergeCell ref="C165:C171"/>
    <mergeCell ref="C172:C177"/>
    <mergeCell ref="C180:C181"/>
    <mergeCell ref="C188:C194"/>
    <mergeCell ref="C195:C200"/>
    <mergeCell ref="C203:C204"/>
    <mergeCell ref="C211:C215"/>
    <mergeCell ref="C216:C221"/>
    <mergeCell ref="C224:C225"/>
    <mergeCell ref="C232:C238"/>
    <mergeCell ref="C239:C244"/>
    <mergeCell ref="C247:C248"/>
    <mergeCell ref="C255:C260"/>
    <mergeCell ref="C261:C266"/>
    <mergeCell ref="C269:C270"/>
    <mergeCell ref="C277:C280"/>
    <mergeCell ref="C281:C285"/>
    <mergeCell ref="C288:C289"/>
    <mergeCell ref="C296:C301"/>
    <mergeCell ref="C302:C307"/>
    <mergeCell ref="C310:C311"/>
    <mergeCell ref="C318:C323"/>
    <mergeCell ref="C324:C329"/>
    <mergeCell ref="C332:C333"/>
    <mergeCell ref="C340:C346"/>
    <mergeCell ref="C347:C352"/>
    <mergeCell ref="C355:C356"/>
    <mergeCell ref="C363:C370"/>
    <mergeCell ref="C371:C376"/>
    <mergeCell ref="C379:C380"/>
    <mergeCell ref="C388:C394"/>
    <mergeCell ref="C395:C400"/>
    <mergeCell ref="C403:C40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目录</vt:lpstr>
      <vt:lpstr>结算汇总表</vt:lpstr>
      <vt:lpstr>结算明细表</vt:lpstr>
      <vt:lpstr>04、工程量计算书</vt:lpstr>
      <vt:lpstr>02、百叶综合单价分析表</vt:lpstr>
      <vt:lpstr>03、栏杆综合单价分析表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2020-12-05T09:38:00Z</dcterms:created>
  <dcterms:modified xsi:type="dcterms:W3CDTF">2025-06-10T08:36:27Z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0D7F1678D3C946F78A472997CEACF851</vt:lpwstr>
  </property>
</Properties>
</file>