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17"/>
  </bookViews>
  <sheets>
    <sheet name="目录" sheetId="15" r:id="rId1"/>
    <sheet name="结算汇总表" sheetId="16" r:id="rId2"/>
    <sheet name="结算明细表" sheetId="17" r:id="rId3"/>
    <sheet name="合同价" sheetId="1" r:id="rId4"/>
    <sheet name="车库雨篷" sheetId="14" r:id="rId5"/>
    <sheet name="采光井" sheetId="13" state="hidden" r:id="rId6"/>
  </sheets>
  <definedNames>
    <definedName name="_xlnm._FilterDatabase" localSheetId="3" hidden="1">合同价!$A$4:$N$24</definedName>
    <definedName name="_xlnm._FilterDatabase" localSheetId="4" hidden="1">车库雨篷!$A$2:$I$70</definedName>
    <definedName name="_xlnm.Print_Area" localSheetId="3">合同价!$A$1:$N$24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<sst xmlns="http://schemas.openxmlformats.org/spreadsheetml/2006/main" count="414" uniqueCount="213">
  <si>
    <t>栾川山水文苑项目s1地块采光井、车库车口顶棚、人防出入口顶棚施工合同结算资料存档目录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</si>
  <si>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</si>
  <si>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</si>
  <si>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</si>
  <si>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</si>
  <si>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</si>
  <si>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</si>
  <si>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栾川山水文苑项目s1地块采光井、车库车口顶棚、人防出入口顶棚施工合同结算审批表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</si>
  <si>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</si>
  <si>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</si>
  <si>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</si>
  <si>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</si>
  <si>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</si>
  <si>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</si>
  <si>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</si>
  <si>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</si>
  <si>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</si>
  <si>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</si>
  <si>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1份12页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</si>
  <si>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</si>
  <si>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</si>
  <si>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</si>
  <si>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</si>
  <si>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</si>
  <si>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</si>
  <si>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</si>
  <si>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工程往来账目明细</t>
  </si>
  <si>
    <t>1份2页</t>
  </si>
  <si>
    <t>第9-10页</t>
  </si>
  <si>
    <t>总包工程合同价格定案表</t>
  </si>
  <si>
    <t>第11-13页</t>
  </si>
  <si>
    <t>约谈记录</t>
  </si>
  <si>
    <t>1份页</t>
  </si>
  <si>
    <t>第14页</t>
  </si>
  <si>
    <t>复印件</t>
  </si>
  <si>
    <t>栾川山水文苑项目s1地块采光井、车库车口顶棚、人防出入口顶棚施工合同及审批表</t>
  </si>
  <si>
    <t>1份19页</t>
  </si>
  <si>
    <t>第15-33页</t>
  </si>
  <si>
    <t>造价师：</t>
  </si>
  <si>
    <t>日期：</t>
  </si>
  <si>
    <t>栾川山水文苑项目s1地块采光井、车库车口顶棚、人防出入口顶棚施工合同结算汇总表</t>
  </si>
  <si>
    <t xml:space="preserve">合同编号：  LCS1-JP-052                            合同金额：500000元 </t>
  </si>
  <si>
    <t>合同名称：栾川山水文苑项目s1地块采光井、车库车口顶棚、人防出入口顶棚施工合同</t>
  </si>
  <si>
    <t>甲    方：栾川县浩德颐康文旅有限公司</t>
  </si>
  <si>
    <t>乙    方： 河南星欧钢结构工程有限公司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</si>
  <si>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</si>
  <si>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</si>
  <si>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</si>
  <si>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</si>
  <si>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</si>
  <si>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</si>
  <si>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</si>
  <si>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</si>
  <si>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</si>
  <si>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</si>
  <si>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派发单</t>
  </si>
  <si>
    <t>税率调整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</si>
  <si>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</si>
  <si>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</si>
  <si>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</si>
  <si>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</si>
  <si>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</si>
  <si>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</si>
  <si>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</si>
  <si>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</si>
  <si>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</si>
  <si>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</si>
  <si>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</si>
  <si>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</si>
  <si>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</si>
  <si>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</si>
  <si>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</si>
  <si>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</si>
  <si>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</si>
  <si>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</si>
  <si>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</si>
  <si>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</si>
  <si>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</si>
  <si>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</si>
  <si>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</si>
  <si>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栾川山水文苑项目s1地块采光井、车库车口顶棚、人防出入口顶棚施工合同结算明细表</t>
  </si>
  <si>
    <t>项目名称：栾川山水文苑项目s1地块采光井、车库车口顶棚、人防出入口顶棚施工合同</t>
  </si>
  <si>
    <t>单位</t>
  </si>
  <si>
    <t>数量</t>
  </si>
  <si>
    <t>单价</t>
  </si>
  <si>
    <t>合价</t>
  </si>
  <si>
    <t>项</t>
  </si>
  <si>
    <t>固定总价合同</t>
  </si>
  <si>
    <t>签证费用</t>
  </si>
  <si>
    <t>流程走完</t>
  </si>
  <si>
    <t>派发单及确认单</t>
  </si>
  <si>
    <t>采光井尖顶改为平顶</t>
  </si>
  <si>
    <t>m2</t>
  </si>
  <si>
    <t>协商价格，约谈记录</t>
  </si>
  <si>
    <t>泄爆口做法变更</t>
  </si>
  <si>
    <t>泄爆口、暖通预留洞、5#楼东侧锅炉房烟道口玻璃顶</t>
  </si>
  <si>
    <t>泄爆口、暖通预留洞、6#楼东侧锅炉房烟道口百叶窗</t>
  </si>
  <si>
    <t>西出入口雨棚变更 增加柱子</t>
  </si>
  <si>
    <t>t</t>
  </si>
  <si>
    <t>10*10方钢柱子</t>
  </si>
  <si>
    <t>西出入口雨棚变更 增加增加玻璃</t>
  </si>
  <si>
    <t>景观损坏玻璃更换</t>
  </si>
  <si>
    <t>安徽远溯中扣除</t>
  </si>
  <si>
    <t>1#楼连接处玻璃更换</t>
  </si>
  <si>
    <t>合计（1）+（2）+（3）</t>
  </si>
  <si>
    <t>税率3%调整1%</t>
  </si>
  <si>
    <t>结算金额</t>
  </si>
  <si>
    <t>最终结算额</t>
  </si>
  <si>
    <t>甲方：</t>
  </si>
  <si>
    <t xml:space="preserve">乙方  </t>
  </si>
  <si>
    <t>栾川山水文苑项目s1地块采光井、车库车口顶棚、人防出入口顶棚施工合同价</t>
  </si>
  <si>
    <t>项目特征描述</t>
  </si>
  <si>
    <t>计量
单位</t>
  </si>
  <si>
    <t>工程量</t>
  </si>
  <si>
    <t>其中：各子项构成（元）</t>
  </si>
  <si>
    <t>含税综合单价(元)
f=(a+b+c+d+e)</t>
  </si>
  <si>
    <t>合价(元)=g*f</t>
  </si>
  <si>
    <t>主要材料品牌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</si>
  <si>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</si>
  <si>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</si>
  <si>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</si>
  <si>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</si>
  <si>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</si>
  <si>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采光井</t>
  </si>
  <si>
    <t>采光井顶棚</t>
  </si>
  <si>
    <t>1、6+0.76pvb+6透明钢化夹胶玻璃
2、5厚50*100镀锌钢矩管外饰淡黄色氟碳漆
3、5厚50*50镀锌方钢管外饰淡黄色氟碳漆
4、1.5厚铝合金单板折制外饰淡黄色氟碳漆
5、其它满足规范和设计图纸要求</t>
  </si>
  <si>
    <t>洛玻</t>
  </si>
  <si>
    <t>铝合金百叶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</si>
  <si>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50*50</t>
    </r>
    <r>
      <rPr>
        <sz val="10"/>
        <rFont val="宋体"/>
        <charset val="1"/>
      </rPr>
      <t>铝合金方管外饰淡黄色氟碳漆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、铝合金防雨百叶</t>
    </r>
    <r>
      <rPr>
        <sz val="10"/>
        <rFont val="Arial"/>
        <charset val="1"/>
      </rPr>
      <t xml:space="preserve"> </t>
    </r>
    <r>
      <rPr>
        <sz val="10"/>
        <rFont val="宋体"/>
        <charset val="1"/>
      </rPr>
      <t>间距</t>
    </r>
    <r>
      <rPr>
        <sz val="10"/>
        <rFont val="Arial"/>
        <charset val="1"/>
      </rPr>
      <t>3cm
3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100*100</t>
    </r>
    <r>
      <rPr>
        <sz val="10"/>
        <rFont val="宋体"/>
        <charset val="1"/>
      </rPr>
      <t>热镀锌钢板焊接</t>
    </r>
    <r>
      <rPr>
        <sz val="10"/>
        <rFont val="Arial"/>
        <charset val="1"/>
      </rPr>
      <t>2</t>
    </r>
    <r>
      <rPr>
        <sz val="10"/>
        <rFont val="宋体"/>
        <charset val="1"/>
      </rPr>
      <t>直接</t>
    </r>
    <r>
      <rPr>
        <sz val="10"/>
        <rFont val="Arial"/>
        <charset val="1"/>
      </rPr>
      <t>10 L=100</t>
    </r>
    <r>
      <rPr>
        <sz val="10"/>
        <rFont val="宋体"/>
        <charset val="1"/>
      </rPr>
      <t>（预埋件）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、其它满足规范和设计图纸要求</t>
    </r>
  </si>
  <si>
    <t>广东坚美铝材</t>
  </si>
  <si>
    <t>泄爆口</t>
  </si>
  <si>
    <t>屋面板</t>
  </si>
  <si>
    <t>1、屋面板：1.0mm厚铝镁锰合金直立锁边板（矮立边咬合系统65/430型）
2、防水层：0.49mm厚聚乙烯防水透气膜
3、降噪层：6mm通风降噪丝网
4、找平层：0.8mm镀锌钢板
5、保温层：60mm厚，16kg/m%%172
6、憎水玻璃纤维吸音棉下铺无纺布
7、钢丝网：1.0*25*25
8、底板：0.5mm厚彩色镀锌穿孔吸音压型钢板5厚50x50铝合金方管
9、其它满足规范和设计图纸要求</t>
  </si>
  <si>
    <t>车库西出入口雨篷</t>
  </si>
  <si>
    <t>钢架</t>
  </si>
  <si>
    <t>1、预埋件20厚300*300镀锌钢板、20厚450*350镀锌钢板及相应螺栓
2、6厚200*200镀锌矩管外饰深咖色氟碳漆
3、6厚150*200镀锌矩管外饰深咖色氟碳漆
4、6厚150*250镀锌矩管外饰深咖色氟碳漆
6、6厚150*150镀锌矩管外饰深咖色氟碳漆
7、3厚50*80镀锌矩管外饰深咖色氟碳漆加工制作安装等成活
8、其它满足规范和设计图纸要求</t>
  </si>
  <si>
    <t>天津友发</t>
  </si>
  <si>
    <t>车库出入口玻璃顶棚</t>
  </si>
  <si>
    <t>1、6+0.76pvb钢化夹胶玻璃顶棚
2、透明玻璃胶填缝、10厚橡胶条垫片
3、胶棒透明玻璃胶填缝密封
4、耐候胶密封等
5、其它满足规范和设计图纸要求</t>
  </si>
  <si>
    <t>洛玻山东绿康耐候胶</t>
  </si>
  <si>
    <t>车库出入口玻璃侧面玻璃</t>
  </si>
  <si>
    <t>1、6+0.76pvb钢化夹胶玻璃
2、5厚橡胶垫片、深咖色密封胶填缝密封
3、5厚镀锌钢板，按形折，外饰深咖色氟碳漆
4、其它满足规范和设计图纸要求</t>
  </si>
  <si>
    <t>车库东出入口雨篷</t>
  </si>
  <si>
    <t>人防出入口顶棚</t>
  </si>
  <si>
    <t>1、预埋件10厚100*100热镀锌钢板镀锌钢板及相应螺栓
2、5厚100*100热镀锌矩管外饰面深咖色金属氟碳漆喷砂加工制作安装等成活
3、其它满足规范和设计图纸要求</t>
  </si>
  <si>
    <t>出入口玻璃顶棚</t>
  </si>
  <si>
    <t>1、6+0.76pvb+6透明钢化夹胶玻璃
2、透明玻璃胶填缝、10厚橡胶条垫片
3、胶棒透明玻璃胶填缝密封
4、耐候胶密封等
5、其它满足规范和设计图纸要求</t>
  </si>
  <si>
    <t>出入口玻璃侧面玻璃</t>
  </si>
  <si>
    <t>1、10厚单层侧面钢化玻璃
2、5厚橡胶垫片、深咖色密封胶填缝密封
3、专用不锈钢卡条，立面与柱体通长饰面深咖色金属氟碳漆喷砂
4、其它满足规范和设计图纸要求</t>
  </si>
  <si>
    <t xml:space="preserve"> </t>
  </si>
  <si>
    <t>合计</t>
  </si>
  <si>
    <t>元</t>
  </si>
  <si>
    <t>备注：1.综合单价包括且不限于人工、材料、机械、措施、检验检测、规费、管理费、利润、税金(增值税专用发票)、赶工措施、安全防护、现场文明施工措施、风险等全部费用。
     2.本工程清单，无论是否存在缺项、漏项、工程量偏差，均视为乙方已综合考虑在固定合同总价内。</t>
  </si>
  <si>
    <t>长度（m）</t>
  </si>
  <si>
    <t>深度</t>
  </si>
  <si>
    <t>宽度</t>
  </si>
  <si>
    <t>根数</t>
  </si>
  <si>
    <t>理论值</t>
  </si>
  <si>
    <t>西入口</t>
  </si>
  <si>
    <r>
      <rPr>
        <sz val="10"/>
        <rFont val="Arial"/>
        <charset val="1"/>
      </rPr>
      <t>20</t>
    </r>
    <r>
      <rPr>
        <sz val="10"/>
        <rFont val="宋体"/>
        <charset val="1"/>
      </rPr>
      <t>厚</t>
    </r>
    <r>
      <rPr>
        <sz val="10"/>
        <rFont val="Arial"/>
        <charset val="1"/>
      </rPr>
      <t>300*300</t>
    </r>
    <r>
      <rPr>
        <sz val="10"/>
        <rFont val="宋体"/>
        <charset val="1"/>
      </rPr>
      <t>镀锌钢板</t>
    </r>
  </si>
  <si>
    <r>
      <rPr>
        <sz val="10"/>
        <rFont val="Arial"/>
        <charset val="1"/>
      </rPr>
      <t>6</t>
    </r>
    <r>
      <rPr>
        <sz val="10"/>
        <rFont val="宋体"/>
        <charset val="1"/>
      </rPr>
      <t>厚</t>
    </r>
    <r>
      <rPr>
        <sz val="10"/>
        <rFont val="Arial"/>
        <charset val="1"/>
      </rPr>
      <t>200*200</t>
    </r>
    <r>
      <rPr>
        <sz val="10"/>
        <rFont val="宋体"/>
        <charset val="1"/>
      </rPr>
      <t>镀锌矩管外饰深咖色氟碳漆</t>
    </r>
  </si>
  <si>
    <r>
      <rPr>
        <sz val="10"/>
        <rFont val="Arial"/>
        <charset val="1"/>
      </rPr>
      <t>6</t>
    </r>
    <r>
      <rPr>
        <sz val="10"/>
        <rFont val="宋体"/>
        <charset val="1"/>
      </rPr>
      <t>厚</t>
    </r>
    <r>
      <rPr>
        <sz val="10"/>
        <rFont val="Arial"/>
        <charset val="1"/>
      </rPr>
      <t>150*200</t>
    </r>
    <r>
      <rPr>
        <sz val="10"/>
        <rFont val="宋体"/>
        <charset val="1"/>
      </rPr>
      <t>镀锌矩管外饰深咖色氟碳漆</t>
    </r>
  </si>
  <si>
    <r>
      <rPr>
        <sz val="10"/>
        <rFont val="Arial"/>
        <charset val="1"/>
      </rPr>
      <t>6</t>
    </r>
    <r>
      <rPr>
        <sz val="10"/>
        <rFont val="宋体"/>
        <charset val="1"/>
      </rPr>
      <t>厚</t>
    </r>
    <r>
      <rPr>
        <sz val="10"/>
        <rFont val="Arial"/>
        <charset val="1"/>
      </rPr>
      <t>150*250</t>
    </r>
    <r>
      <rPr>
        <sz val="10"/>
        <rFont val="宋体"/>
        <charset val="1"/>
      </rPr>
      <t>镀锌矩管外饰深咖色氟碳漆</t>
    </r>
  </si>
  <si>
    <r>
      <rPr>
        <sz val="10"/>
        <rFont val="Arial"/>
        <charset val="1"/>
      </rPr>
      <t>6</t>
    </r>
    <r>
      <rPr>
        <sz val="10"/>
        <rFont val="宋体"/>
        <charset val="1"/>
      </rPr>
      <t>厚</t>
    </r>
    <r>
      <rPr>
        <sz val="10"/>
        <rFont val="Arial"/>
        <charset val="1"/>
      </rPr>
      <t>150*150</t>
    </r>
    <r>
      <rPr>
        <sz val="10"/>
        <rFont val="宋体"/>
        <charset val="1"/>
      </rPr>
      <t>镀锌矩管外饰深咖色氟碳漆</t>
    </r>
  </si>
  <si>
    <r>
      <rPr>
        <sz val="10"/>
        <rFont val="Arial"/>
        <charset val="1"/>
      </rPr>
      <t>3</t>
    </r>
    <r>
      <rPr>
        <sz val="10"/>
        <rFont val="宋体"/>
        <charset val="1"/>
      </rPr>
      <t>厚</t>
    </r>
    <r>
      <rPr>
        <sz val="10"/>
        <rFont val="Arial"/>
        <charset val="1"/>
      </rPr>
      <t>50*80</t>
    </r>
    <r>
      <rPr>
        <sz val="10"/>
        <rFont val="宋体"/>
        <charset val="1"/>
      </rPr>
      <t>镀锌矩管外饰深咖色氟碳漆</t>
    </r>
  </si>
  <si>
    <r>
      <rPr>
        <sz val="10"/>
        <rFont val="Arial"/>
        <charset val="1"/>
      </rPr>
      <t>20</t>
    </r>
    <r>
      <rPr>
        <sz val="10"/>
        <rFont val="宋体"/>
        <charset val="1"/>
      </rPr>
      <t>厚</t>
    </r>
    <r>
      <rPr>
        <sz val="10"/>
        <rFont val="Arial"/>
        <charset val="1"/>
      </rPr>
      <t>450*350</t>
    </r>
    <r>
      <rPr>
        <sz val="10"/>
        <rFont val="宋体"/>
        <charset val="1"/>
      </rPr>
      <t>镀锌钢板</t>
    </r>
  </si>
  <si>
    <r>
      <rPr>
        <sz val="10"/>
        <rFont val="宋体"/>
        <charset val="1"/>
      </rPr>
      <t>玻璃顶棚</t>
    </r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</t>
    </r>
    <r>
      <rPr>
        <sz val="10"/>
        <rFont val="Arial"/>
        <charset val="1"/>
      </rPr>
      <t>6+0.76pvb</t>
    </r>
    <r>
      <rPr>
        <sz val="10"/>
        <rFont val="宋体"/>
        <charset val="1"/>
      </rPr>
      <t>钢化夹胶玻璃</t>
    </r>
  </si>
  <si>
    <r>
      <rPr>
        <sz val="10"/>
        <rFont val="宋体"/>
        <charset val="1"/>
      </rPr>
      <t>玻璃侧面</t>
    </r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、6+0.76pvb钢化夹胶玻璃
2、5厚橡胶垫片
3、5厚镀锌钢板，按形折，外饰深咖色氟碳漆</t>
    </r>
  </si>
  <si>
    <r>
      <rPr>
        <sz val="10"/>
        <rFont val="宋体"/>
        <charset val="1"/>
      </rPr>
      <t>压顶</t>
    </r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</t>
    </r>
    <r>
      <rPr>
        <sz val="10"/>
        <rFont val="Arial"/>
        <charset val="1"/>
      </rPr>
      <t>70</t>
    </r>
    <r>
      <rPr>
        <sz val="10"/>
        <rFont val="宋体"/>
        <charset val="1"/>
      </rPr>
      <t>厚</t>
    </r>
    <r>
      <rPr>
        <sz val="10"/>
        <rFont val="Arial"/>
        <charset val="1"/>
      </rPr>
      <t>600*160</t>
    </r>
    <r>
      <rPr>
        <sz val="10"/>
        <rFont val="宋体"/>
        <charset val="1"/>
      </rPr>
      <t>芝麻黑花岗石烧面按形定制侧边斜倒角</t>
    </r>
    <r>
      <rPr>
        <sz val="10"/>
        <rFont val="Arial"/>
        <charset val="1"/>
      </rPr>
      <t>10*10</t>
    </r>
    <r>
      <rPr>
        <sz val="10"/>
        <rFont val="宋体"/>
        <charset val="1"/>
      </rPr>
      <t>，下拉槽</t>
    </r>
    <r>
      <rPr>
        <sz val="10"/>
        <rFont val="Arial"/>
        <charset val="1"/>
      </rPr>
      <t xml:space="preserve">20*20
</t>
    </r>
  </si>
  <si>
    <t>仿石漆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</si>
  <si>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、外喷米白色仿石漆</t>
    </r>
    <r>
      <rPr>
        <sz val="10"/>
        <rFont val="Arial"/>
        <charset val="1"/>
      </rPr>
      <t xml:space="preserve"> </t>
    </r>
    <r>
      <rPr>
        <sz val="10"/>
        <rFont val="宋体"/>
        <charset val="1"/>
      </rPr>
      <t>拉</t>
    </r>
    <r>
      <rPr>
        <sz val="10"/>
        <rFont val="Arial"/>
        <charset val="1"/>
      </rPr>
      <t>5*5</t>
    </r>
    <r>
      <rPr>
        <sz val="10"/>
        <rFont val="宋体"/>
        <charset val="1"/>
      </rPr>
      <t>槽@100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、刮外墙腻子</t>
    </r>
    <r>
      <rPr>
        <sz val="10"/>
        <rFont val="Arial"/>
        <charset val="1"/>
      </rPr>
      <t>2-3</t>
    </r>
    <r>
      <rPr>
        <sz val="10"/>
        <rFont val="宋体"/>
        <charset val="1"/>
      </rPr>
      <t>遍，干后砂平</t>
    </r>
  </si>
  <si>
    <t>东入口</t>
  </si>
  <si>
    <t>1-1#</t>
  </si>
  <si>
    <t>人防门顶棚</t>
  </si>
  <si>
    <r>
      <rPr>
        <sz val="10"/>
        <rFont val="Arial"/>
        <charset val="1"/>
      </rPr>
      <t>10</t>
    </r>
    <r>
      <rPr>
        <sz val="10"/>
        <rFont val="宋体"/>
        <charset val="1"/>
      </rPr>
      <t>厚100*100热镀锌钢板</t>
    </r>
  </si>
  <si>
    <r>
      <rPr>
        <sz val="10"/>
        <rFont val="Arial"/>
        <charset val="1"/>
      </rPr>
      <t>5</t>
    </r>
    <r>
      <rPr>
        <sz val="10"/>
        <rFont val="宋体"/>
        <charset val="1"/>
      </rPr>
      <t>厚100*100热镀锌矩管外饰深咖色金属氟碳漆喷砂面</t>
    </r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</si>
  <si>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6+0.76pvb+6</t>
    </r>
    <r>
      <rPr>
        <sz val="10"/>
        <rFont val="宋体"/>
        <charset val="1"/>
      </rPr>
      <t>透明钢化夹胶玻璃</t>
    </r>
  </si>
  <si>
    <r>
      <rPr>
        <sz val="10"/>
        <rFont val="Arial"/>
        <charset val="1"/>
      </rPr>
      <t>1</t>
    </r>
    <r>
      <rPr>
        <sz val="10"/>
        <rFont val="宋体"/>
        <charset val="1"/>
      </rPr>
      <t>、侧面</t>
    </r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</t>
    </r>
    <r>
      <rPr>
        <sz val="10"/>
        <rFont val="Arial"/>
        <charset val="1"/>
      </rPr>
      <t>10</t>
    </r>
    <r>
      <rPr>
        <sz val="10"/>
        <rFont val="宋体"/>
        <charset val="1"/>
      </rPr>
      <t>厚单层侧边钢化玻璃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、专用不锈钢卡条，立面与柱体通长饰深咖色金属氟碳漆喷砂面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、含门及门把手</t>
    </r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</si>
  <si>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30</t>
    </r>
    <r>
      <rPr>
        <sz val="10"/>
        <rFont val="宋体"/>
        <charset val="1"/>
      </rPr>
      <t>厚</t>
    </r>
    <r>
      <rPr>
        <sz val="10"/>
        <rFont val="Arial"/>
        <charset val="1"/>
      </rPr>
      <t>1:2</t>
    </r>
    <r>
      <rPr>
        <sz val="10"/>
        <rFont val="宋体"/>
        <charset val="1"/>
      </rPr>
      <t>水泥砂浆粘接层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</t>
    </r>
    <r>
      <rPr>
        <sz val="10"/>
        <rFont val="Arial"/>
        <charset val="1"/>
      </rPr>
      <t>15</t>
    </r>
    <r>
      <rPr>
        <sz val="10"/>
        <rFont val="宋体"/>
        <charset val="1"/>
      </rPr>
      <t>厚</t>
    </r>
    <r>
      <rPr>
        <sz val="10"/>
        <rFont val="Arial"/>
        <charset val="1"/>
      </rPr>
      <t>600*300</t>
    </r>
    <r>
      <rPr>
        <sz val="10"/>
        <rFont val="宋体"/>
        <charset val="1"/>
      </rPr>
      <t>仿芝麻黑花岗岩仿石材火烧面</t>
    </r>
  </si>
  <si>
    <t>素土夯实</t>
  </si>
  <si>
    <t>1.素土夯实，密实度≥0.93
2.其它满足规范和设计图纸要求</t>
  </si>
  <si>
    <t>碎石垫层</t>
  </si>
  <si>
    <t>1.150厚级配碎石垫层，密实度≥0.93
2.其它说明：其它满足规范和设计图纸要求</t>
  </si>
  <si>
    <t>m3</t>
  </si>
  <si>
    <t>砼垫层</t>
  </si>
  <si>
    <t>1.混凝土强度等级:100厚C20混凝土
2.混凝土拌合料要求：符合规范要求
3.模板安拆费用计入综合单价，支模方式综合考虑
4.其它满足规范和设计图纸要求</t>
  </si>
  <si>
    <t>砖基础</t>
  </si>
  <si>
    <t>1.砖品种、规格、强度等级：MU10页岩砖
2.基础类型：砖基础
3.砂浆强度等级：M7.5水泥砂浆
4.其它说明：其他满足规范和图纸设计要求</t>
  </si>
  <si>
    <t>入户平台踏步 芝麻黑花岗岩火烧面</t>
  </si>
  <si>
    <t>1、100厚100*600 芝麻黑花岗岩火烧面、按形定制（含抹角、刻缝）直径8插销固定，l=150
2.30厚1：3干硬性水泥砂浆粘结层
3.其它满足规范和设计图纸要求</t>
  </si>
  <si>
    <t>m</t>
  </si>
  <si>
    <t>1、25厚220*600 芝麻黑花岗岩火烧面
2.30厚1：3干硬性水泥砂浆粘结层
3.其它满足规范和设计图纸要求</t>
  </si>
  <si>
    <t>入户平台踏步梯板面 芝麻黑花岗岩火烧面</t>
  </si>
  <si>
    <t>1、25厚70*300 芝麻黑花岗岩火烧面
2.30厚1：3干硬性水泥砂浆粘结层
3.其它满足规范和设计图纸要求</t>
  </si>
  <si>
    <t>钢筋</t>
  </si>
  <si>
    <t>1、植筋直径10mm三级钢间距120 采用A、B胶
2、其它满足规范和设计图纸要求</t>
  </si>
  <si>
    <t>3-1#</t>
  </si>
  <si>
    <r>
      <rPr>
        <sz val="10"/>
        <rFont val="Arial"/>
        <charset val="1"/>
      </rPr>
      <t>1</t>
    </r>
    <r>
      <rPr>
        <sz val="10"/>
        <rFont val="宋体"/>
        <charset val="1"/>
      </rPr>
      <t>、侧面</t>
    </r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</t>
    </r>
    <r>
      <rPr>
        <sz val="10"/>
        <rFont val="Arial"/>
        <charset val="1"/>
      </rPr>
      <t>10</t>
    </r>
    <r>
      <rPr>
        <sz val="10"/>
        <rFont val="宋体"/>
        <charset val="1"/>
      </rPr>
      <t>厚单层侧边钢化玻璃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、专用不锈钢卡条，立面与柱体通长饰深咖色金属氟碳漆喷砂面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、含门及门把手、合页</t>
    </r>
  </si>
  <si>
    <t>台踏步 芝麻黑花岗岩火烧面</t>
  </si>
  <si>
    <t>1、100厚100*550 芝麻黑花岗岩火烧面、按形定制（含抹角、刻缝） 直径8插销固定，l=150
2.30厚1：3干硬性水泥砂浆粘结层
3.其它满足规范和设计图纸要求</t>
  </si>
  <si>
    <t>入口平台芝麻黑花岗岩火烧面</t>
  </si>
  <si>
    <t>1、25厚600*370 芝麻黑花岗岩火烧面
2.30厚1：3干硬性水泥砂浆粘结层
3.其它满足规范和设计图纸要求</t>
  </si>
  <si>
    <t>踏步梯板面 芝麻黑花岗岩火烧面</t>
  </si>
  <si>
    <t>1、25厚65*550 芝麻黑花岗岩火烧面
2.30厚1：3干硬性水泥砂浆粘结层
3.其它满足规范和设计图纸要求</t>
  </si>
  <si>
    <t>4-1#</t>
  </si>
  <si>
    <t>1、100厚100*525 芝麻黑花岗岩火烧面、按形定制（含抹角、刻缝）直径8插销固定，l=150
2.30厚1：3干硬性水泥砂浆粘结层
3.其它满足规范和设计图纸要求</t>
  </si>
  <si>
    <t>1、25厚295*525 芝麻黑花岗岩火烧面
2.30厚1：3干硬性水泥砂浆粘结层
3.其它满足规范和设计图纸要求</t>
  </si>
  <si>
    <t>1、25厚75*525 芝麻黑花岗岩火烧面
2.30厚1：3干硬性水泥砂浆粘结层
3.其它满足规范和设计图纸要求</t>
  </si>
  <si>
    <r>
      <rPr>
        <sz val="10"/>
        <rFont val="Arial"/>
        <charset val="1"/>
      </rPr>
      <t>14</t>
    </r>
    <r>
      <rPr>
        <sz val="10"/>
        <rFont val="宋体"/>
        <charset val="1"/>
      </rPr>
      <t>个</t>
    </r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</si>
  <si>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6+0.76pvb+6</t>
    </r>
    <r>
      <rPr>
        <sz val="10"/>
        <rFont val="宋体"/>
        <charset val="1"/>
      </rPr>
      <t>透明钢化夹胶玻璃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50*100</t>
    </r>
    <r>
      <rPr>
        <sz val="10"/>
        <rFont val="宋体"/>
        <charset val="1"/>
      </rPr>
      <t>铝合金矩管外饰淡黄色氟碳漆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50*50</t>
    </r>
    <r>
      <rPr>
        <sz val="10"/>
        <rFont val="宋体"/>
        <charset val="1"/>
      </rPr>
      <t>铝合金方管外饰淡黄色氟碳漆</t>
    </r>
    <r>
      <rPr>
        <sz val="10"/>
        <rFont val="Arial"/>
        <charset val="1"/>
      </rPr>
      <t xml:space="preserve">
4</t>
    </r>
    <r>
      <rPr>
        <sz val="10"/>
        <rFont val="宋体"/>
        <charset val="1"/>
      </rPr>
      <t>、</t>
    </r>
    <r>
      <rPr>
        <sz val="10"/>
        <rFont val="Arial"/>
        <charset val="1"/>
      </rPr>
      <t>1.5</t>
    </r>
    <r>
      <rPr>
        <sz val="10"/>
        <rFont val="宋体"/>
        <charset val="1"/>
      </rPr>
      <t>厚铝合金单板折制外饰淡黄色氟碳漆</t>
    </r>
  </si>
  <si>
    <r>
      <rPr>
        <sz val="10"/>
        <rFont val="Arial"/>
        <charset val="1"/>
      </rPr>
      <t>1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50*50</t>
    </r>
    <r>
      <rPr>
        <sz val="10"/>
        <rFont val="宋体"/>
        <charset val="1"/>
      </rPr>
      <t>铝合金方管外饰淡黄色氟碳漆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、铝合金防雨百叶</t>
    </r>
    <r>
      <rPr>
        <sz val="10"/>
        <rFont val="Arial"/>
        <charset val="1"/>
      </rPr>
      <t xml:space="preserve"> </t>
    </r>
    <r>
      <rPr>
        <sz val="10"/>
        <rFont val="宋体"/>
        <charset val="1"/>
      </rPr>
      <t>间距</t>
    </r>
    <r>
      <rPr>
        <sz val="10"/>
        <rFont val="Arial"/>
        <charset val="1"/>
      </rPr>
      <t>2.5cm
3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100*100</t>
    </r>
    <r>
      <rPr>
        <sz val="10"/>
        <rFont val="宋体"/>
        <charset val="1"/>
      </rPr>
      <t>热镀锌钢板焊接</t>
    </r>
    <r>
      <rPr>
        <sz val="10"/>
        <rFont val="Arial"/>
        <charset val="1"/>
      </rPr>
      <t>2</t>
    </r>
    <r>
      <rPr>
        <sz val="10"/>
        <rFont val="宋体"/>
        <charset val="1"/>
      </rPr>
      <t>直接</t>
    </r>
    <r>
      <rPr>
        <sz val="10"/>
        <rFont val="Arial"/>
        <charset val="1"/>
      </rPr>
      <t>10 L=100</t>
    </r>
    <r>
      <rPr>
        <sz val="10"/>
        <rFont val="宋体"/>
        <charset val="1"/>
      </rPr>
      <t>（预埋件）</t>
    </r>
  </si>
  <si>
    <r>
      <rPr>
        <sz val="10"/>
        <rFont val="Arial"/>
        <charset val="1"/>
      </rPr>
      <t>1</t>
    </r>
    <r>
      <rPr>
        <sz val="10"/>
        <rFont val="宋体"/>
        <charset val="1"/>
      </rPr>
      <t>、屋面板：</t>
    </r>
    <r>
      <rPr>
        <sz val="10"/>
        <rFont val="Arial"/>
        <charset val="1"/>
      </rPr>
      <t>1mm</t>
    </r>
    <r>
      <rPr>
        <sz val="10"/>
        <rFont val="宋体"/>
        <charset val="1"/>
      </rPr>
      <t>厚铝镁锰合金直立锁边板（矮立边咬合系统</t>
    </r>
    <r>
      <rPr>
        <sz val="10"/>
        <rFont val="Arial"/>
        <charset val="1"/>
      </rPr>
      <t>65/430</t>
    </r>
    <r>
      <rPr>
        <sz val="10"/>
        <rFont val="宋体"/>
        <charset val="1"/>
      </rPr>
      <t>型）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、铝合金抗风夹</t>
    </r>
    <r>
      <rPr>
        <sz val="10"/>
        <rFont val="Arial"/>
        <charset val="1"/>
      </rPr>
      <t xml:space="preserve">
3</t>
    </r>
    <r>
      <rPr>
        <sz val="10"/>
        <rFont val="宋体"/>
        <charset val="1"/>
      </rPr>
      <t>、</t>
    </r>
    <r>
      <rPr>
        <sz val="10"/>
        <rFont val="Arial"/>
        <charset val="1"/>
      </rPr>
      <t>5</t>
    </r>
    <r>
      <rPr>
        <sz val="10"/>
        <rFont val="宋体"/>
        <charset val="1"/>
      </rPr>
      <t>厚</t>
    </r>
    <r>
      <rPr>
        <sz val="10"/>
        <rFont val="Arial"/>
        <charset val="1"/>
      </rPr>
      <t>50*50</t>
    </r>
    <r>
      <rPr>
        <sz val="10"/>
        <rFont val="宋体"/>
        <charset val="1"/>
      </rPr>
      <t>铝合金方管外饰淡黄色氟碳漆</t>
    </r>
  </si>
  <si>
    <r>
      <rPr>
        <sz val="10"/>
        <rFont val="宋体"/>
        <charset val="1"/>
      </rPr>
      <t>百叶窗</t>
    </r>
    <r>
      <rPr>
        <sz val="10"/>
        <rFont val="Arial"/>
        <charset val="1"/>
      </rPr>
      <t xml:space="preserve">
1</t>
    </r>
    <r>
      <rPr>
        <sz val="10"/>
        <rFont val="宋体"/>
        <charset val="1"/>
      </rPr>
      <t>、防水百叶</t>
    </r>
    <r>
      <rPr>
        <sz val="10"/>
        <rFont val="Arial"/>
        <charset val="1"/>
      </rPr>
      <t xml:space="preserve">
2</t>
    </r>
    <r>
      <rPr>
        <sz val="10"/>
        <rFont val="宋体"/>
        <charset val="1"/>
      </rPr>
      <t>、5厚50*50铝合金方管外饰淡黄色氟碳漆
3、5厚100*100热镀锌钢板焊接2直接10 L=100（预埋件）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</si>
</sst>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0000_ "/>
    <numFmt numFmtId="179" formatCode="[DBNum2][$RMB]General;[Red][DBNum2][$RMB]General"/>
    <numFmt numFmtId="180" formatCode="#,##0.00&quot;元&quot;"/>
    <numFmt numFmtId="181" formatCode="0_ "/>
  </numFmts>
  <fonts count="48">
    <font>
      <sz val="10"/>
      <name val="Arial"/>
      <charset val="1"/>
    </font>
    <font>
      <sz val="10"/>
      <name val="宋体"/>
      <charset val="1"/>
    </font>
    <font>
      <sz val="9"/>
      <name val="宋体"/>
      <charset val="134"/>
    </font>
    <font>
      <sz val="9"/>
      <name val="Arial"/>
      <charset val="1"/>
    </font>
    <font>
      <sz val="12"/>
      <name val="宋体"/>
      <charset val="134"/>
    </font>
    <font>
      <sz val="12"/>
      <name val="仿宋"/>
      <charset val="134"/>
    </font>
    <font>
      <sz val="12"/>
      <name val="仿宋"/>
      <charset val="1"/>
    </font>
    <font>
      <sz val="12"/>
      <color theme="1"/>
      <name val="仿宋"/>
      <charset val="134"/>
    </font>
    <font>
      <sz val="12"/>
      <name val="仿宋"/>
      <charset val="0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sz val="11"/>
      <color rgb="FF000000"/>
      <name val="宋体"/>
      <charset val="1"/>
    </font>
    <font>
      <sz val="11"/>
      <color rgb="FF000000"/>
      <name val="微软雅黑"/>
      <charset val="1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0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5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7" borderId="9" applyNumberFormat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7" fillId="8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6" fillId="0" borderId="0">
      <alignment vertical="center"/>
    </xf>
    <xf numFmtId="0" fontId="47" fillId="0" borderId="0"/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</cellStyleXfs>
  <cellXfs count="10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2" borderId="1" xfId="0" applyFill="1" applyBorder="1"/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top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vertical="center" wrapText="1"/>
    </xf>
    <xf numFmtId="177" fontId="5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59" applyFont="1" applyFill="1" applyAlignment="1"/>
    <xf numFmtId="0" fontId="10" fillId="3" borderId="0" xfId="59" applyFont="1" applyFill="1" applyAlignment="1">
      <alignment horizontal="center" vertical="center" wrapText="1"/>
    </xf>
    <xf numFmtId="0" fontId="2" fillId="3" borderId="0" xfId="59" applyFont="1" applyFill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" fontId="9" fillId="0" borderId="0" xfId="59" applyNumberFormat="1" applyFont="1" applyFill="1" applyAlignment="1">
      <alignment wrapText="1"/>
    </xf>
    <xf numFmtId="177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9" fontId="9" fillId="0" borderId="0" xfId="3" applyFont="1" applyFill="1" applyBorder="1" applyAlignment="1" applyProtection="1"/>
    <xf numFmtId="179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horizontal="center" vertical="center"/>
    </xf>
    <xf numFmtId="179" fontId="13" fillId="0" borderId="0" xfId="0" applyNumberFormat="1" applyFont="1" applyFill="1" applyAlignment="1">
      <alignment horizontal="center" vertical="center" wrapText="1"/>
    </xf>
    <xf numFmtId="179" fontId="14" fillId="0" borderId="0" xfId="0" applyNumberFormat="1" applyFont="1" applyFill="1" applyAlignment="1">
      <alignment horizontal="left" vertical="center" wrapText="1"/>
    </xf>
    <xf numFmtId="179" fontId="14" fillId="0" borderId="0" xfId="0" applyNumberFormat="1" applyFont="1" applyFill="1" applyBorder="1" applyAlignment="1">
      <alignment horizontal="left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justify" vertical="top" wrapText="1"/>
    </xf>
    <xf numFmtId="177" fontId="17" fillId="0" borderId="1" xfId="0" applyNumberFormat="1" applyFont="1" applyFill="1" applyBorder="1" applyAlignment="1">
      <alignment horizontal="justify" vertical="top" wrapText="1"/>
    </xf>
    <xf numFmtId="177" fontId="17" fillId="0" borderId="1" xfId="0" applyNumberFormat="1" applyFont="1" applyFill="1" applyBorder="1" applyAlignment="1">
      <alignment horizontal="center" vertical="top" wrapText="1"/>
    </xf>
    <xf numFmtId="179" fontId="17" fillId="0" borderId="1" xfId="0" applyNumberFormat="1" applyFont="1" applyFill="1" applyBorder="1" applyAlignment="1">
      <alignment horizontal="justify" vertical="top" wrapText="1"/>
    </xf>
    <xf numFmtId="180" fontId="17" fillId="0" borderId="1" xfId="0" applyNumberFormat="1" applyFont="1" applyFill="1" applyBorder="1" applyAlignment="1">
      <alignment horizontal="justify" vertical="top" wrapText="1"/>
    </xf>
    <xf numFmtId="179" fontId="14" fillId="0" borderId="1" xfId="0" applyNumberFormat="1" applyFont="1" applyFill="1" applyBorder="1" applyAlignment="1">
      <alignment horizontal="left" vertical="top" wrapText="1"/>
    </xf>
    <xf numFmtId="179" fontId="18" fillId="0" borderId="0" xfId="0" applyNumberFormat="1" applyFont="1" applyFill="1" applyAlignment="1">
      <alignment vertical="center" wrapText="1"/>
    </xf>
    <xf numFmtId="179" fontId="19" fillId="0" borderId="0" xfId="0" applyNumberFormat="1" applyFont="1" applyFill="1" applyAlignment="1">
      <alignment horizontal="left" vertical="center"/>
    </xf>
    <xf numFmtId="179" fontId="16" fillId="0" borderId="0" xfId="0" applyNumberFormat="1" applyFont="1" applyFill="1" applyAlignment="1">
      <alignment horizontal="justify" vertical="center"/>
    </xf>
    <xf numFmtId="179" fontId="16" fillId="0" borderId="0" xfId="0" applyNumberFormat="1" applyFont="1" applyFill="1" applyAlignment="1">
      <alignment horizontal="left" vertical="center" wrapText="1"/>
    </xf>
    <xf numFmtId="179" fontId="20" fillId="0" borderId="0" xfId="0" applyNumberFormat="1" applyFont="1" applyFill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Alignment="1">
      <alignment vertical="center"/>
    </xf>
    <xf numFmtId="179" fontId="22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horizontal="center" vertical="center" wrapText="1"/>
    </xf>
    <xf numFmtId="179" fontId="4" fillId="0" borderId="0" xfId="0" applyNumberFormat="1" applyFont="1" applyFill="1" applyAlignment="1">
      <alignment vertical="center" wrapText="1"/>
    </xf>
    <xf numFmtId="179" fontId="4" fillId="0" borderId="0" xfId="0" applyNumberFormat="1" applyFont="1" applyFill="1" applyAlignment="1">
      <alignment horizontal="left" vertical="center" wrapText="1"/>
    </xf>
    <xf numFmtId="179" fontId="23" fillId="0" borderId="0" xfId="0" applyNumberFormat="1" applyFont="1" applyFill="1" applyAlignment="1">
      <alignment horizontal="center" vertical="center" wrapText="1"/>
    </xf>
    <xf numFmtId="179" fontId="23" fillId="0" borderId="0" xfId="0" applyNumberFormat="1" applyFont="1" applyFill="1" applyAlignment="1">
      <alignment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181" fontId="17" fillId="0" borderId="1" xfId="0" applyNumberFormat="1" applyFont="1" applyFill="1" applyBorder="1" applyAlignment="1">
      <alignment horizontal="center" vertical="center" wrapText="1"/>
    </xf>
    <xf numFmtId="179" fontId="24" fillId="0" borderId="1" xfId="22" applyNumberFormat="1" applyFont="1" applyFill="1" applyBorder="1" applyAlignment="1">
      <alignment vertical="center" wrapText="1"/>
    </xf>
    <xf numFmtId="179" fontId="24" fillId="0" borderId="1" xfId="22" applyNumberFormat="1" applyFont="1" applyFill="1" applyBorder="1" applyAlignment="1">
      <alignment horizontal="center" vertical="center" wrapText="1"/>
    </xf>
    <xf numFmtId="179" fontId="20" fillId="0" borderId="0" xfId="0" applyNumberFormat="1" applyFont="1" applyFill="1" applyAlignment="1">
      <alignment vertical="center" wrapText="1"/>
    </xf>
    <xf numFmtId="179" fontId="25" fillId="0" borderId="0" xfId="0" applyNumberFormat="1" applyFont="1" applyFill="1" applyAlignment="1">
      <alignment vertical="center" wrapText="1"/>
    </xf>
    <xf numFmtId="179" fontId="25" fillId="0" borderId="0" xfId="0" applyNumberFormat="1" applyFont="1" applyFill="1" applyBorder="1" applyAlignment="1">
      <alignment vertical="center" wrapText="1"/>
    </xf>
    <xf numFmtId="179" fontId="4" fillId="0" borderId="1" xfId="0" applyNumberFormat="1" applyFont="1" applyFill="1" applyBorder="1" applyAlignment="1">
      <alignment horizontal="left"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凯德·风尚三期景观工程植物造价估算" xfId="49"/>
    <cellStyle name="常规 53" xfId="50"/>
    <cellStyle name="常规 3 2" xfId="51"/>
    <cellStyle name="3232" xfId="52"/>
    <cellStyle name="常规 2" xfId="53"/>
    <cellStyle name="常规_一、绿化清单1-广东、福建_2" xfId="54"/>
    <cellStyle name="常规 3" xfId="55"/>
    <cellStyle name="常规 5" xfId="56"/>
    <cellStyle name="常规 7" xfId="57"/>
    <cellStyle name="常规_蓝湖郡调拨单统计" xfId="58"/>
    <cellStyle name="Normal" xfId="59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B2" sqref="B2"/>
    </sheetView>
  </sheetViews>
  <sheetFormatPr defaultColWidth="10.2857142857143" defaultRowHeight="14.25" outlineLevelCol="6"/>
  <cols>
    <col min="1" max="1" width="5.57142857142857" style="96" customWidth="1"/>
    <col min="2" max="2" width="44.8571428571429" style="97" customWidth="1"/>
    <col min="3" max="3" width="10.1428571428571" style="96" customWidth="1"/>
    <col min="4" max="4" width="11" style="96" customWidth="1"/>
    <col min="5" max="5" width="9" style="97" customWidth="1"/>
    <col min="6" max="6" width="7.42857142857143" style="98" customWidth="1"/>
    <col min="7" max="7" width="9.71428571428571" style="97" customWidth="1"/>
    <col min="8" max="8" width="13.4285714285714" style="75"/>
    <col min="9" max="16384" width="10.2857142857143" style="75"/>
  </cols>
  <sheetData>
    <row r="1" s="75" customFormat="1" ht="45" customHeight="1" spans="1:7">
      <c r="A1" s="99" t="s">
        <v>0</v>
      </c>
      <c r="B1" s="99"/>
      <c r="C1" s="99"/>
      <c r="D1" s="99"/>
      <c r="E1" s="99"/>
      <c r="F1" s="99"/>
      <c r="G1" s="100"/>
    </row>
    <row r="2" s="75" customFormat="1" ht="39" customHeight="1" spans="1:7">
      <c r="A2" s="101" t="s">
        <v>1</v>
      </c>
      <c r="B2" s="101" t="s">
        <v>2</v>
      </c>
      <c r="C2" s="101" t="s">
        <v>3</v>
      </c>
      <c r="D2" s="101" t="s">
        <v>4</v>
      </c>
      <c r="E2" s="101" t="s">
        <v>5</v>
      </c>
      <c r="F2" s="101" t="s">
        <v>6</v>
      </c>
      <c r="G2" s="97"/>
    </row>
    <row r="3" s="92" customFormat="1" ht="27" spans="1:7">
      <c r="A3" s="102">
        <v>1</v>
      </c>
      <c r="B3" s="103" t="s">
        <v>7</v>
      </c>
      <c r="C3" s="104" t="s">
        <v>8</v>
      </c>
      <c r="D3" s="104" t="s">
        <v>9</v>
      </c>
      <c r="E3" s="103" t="s">
        <v>10</v>
      </c>
      <c r="F3" s="103"/>
      <c r="G3" s="105"/>
    </row>
    <row r="4" s="92" customFormat="1" ht="27" customHeight="1" spans="1:7">
      <c r="A4" s="102">
        <v>2</v>
      </c>
      <c r="B4" s="103" t="s">
        <v>11</v>
      </c>
      <c r="C4" s="104" t="s">
        <v>8</v>
      </c>
      <c r="D4" s="104" t="s">
        <v>12</v>
      </c>
      <c r="E4" s="103" t="s">
        <v>10</v>
      </c>
      <c r="F4" s="103"/>
      <c r="G4" s="105"/>
    </row>
    <row r="5" s="92" customFormat="1" ht="27" customHeight="1" spans="1:7">
      <c r="A5" s="102">
        <v>3</v>
      </c>
      <c r="B5" s="103" t="s">
        <v>13</v>
      </c>
      <c r="C5" s="104" t="s">
        <v>8</v>
      </c>
      <c r="D5" s="104" t="s">
        <v>14</v>
      </c>
      <c r="E5" s="103" t="s">
        <v>10</v>
      </c>
      <c r="F5" s="103"/>
      <c r="G5" s="105"/>
    </row>
    <row r="6" s="92" customFormat="1" ht="27" customHeight="1" spans="1:7">
      <c r="A6" s="102">
        <v>4</v>
      </c>
      <c r="B6" s="103" t="s">
        <v>15</v>
      </c>
      <c r="C6" s="104" t="s">
        <v>8</v>
      </c>
      <c r="D6" s="104" t="s">
        <v>16</v>
      </c>
      <c r="E6" s="103" t="s">
        <v>10</v>
      </c>
      <c r="F6" s="103"/>
      <c r="G6" s="105"/>
    </row>
    <row r="7" s="92" customFormat="1" ht="27" customHeight="1" spans="1:7">
      <c r="A7" s="102">
        <v>5</v>
      </c>
      <c r="B7" s="103" t="s">
        <v>17</v>
      </c>
      <c r="C7" s="104" t="s">
        <v>18</v>
      </c>
      <c r="D7" s="104" t="s">
        <v>19</v>
      </c>
      <c r="E7" s="103" t="s">
        <v>10</v>
      </c>
      <c r="F7" s="103"/>
      <c r="G7" s="105"/>
    </row>
    <row r="8" s="92" customFormat="1" ht="32.1" customHeight="1" spans="1:7">
      <c r="A8" s="102">
        <v>6</v>
      </c>
      <c r="B8" s="103" t="s">
        <v>20</v>
      </c>
      <c r="C8" s="104" t="s">
        <v>8</v>
      </c>
      <c r="D8" s="104" t="s">
        <v>21</v>
      </c>
      <c r="E8" s="103" t="s">
        <v>10</v>
      </c>
      <c r="F8" s="103"/>
      <c r="G8" s="106"/>
    </row>
    <row r="9" s="92" customFormat="1" ht="32.1" customHeight="1" spans="1:7">
      <c r="A9" s="102">
        <v>7</v>
      </c>
      <c r="B9" s="103" t="s">
        <v>22</v>
      </c>
      <c r="C9" s="104" t="s">
        <v>8</v>
      </c>
      <c r="D9" s="104" t="s">
        <v>23</v>
      </c>
      <c r="E9" s="103" t="s">
        <v>10</v>
      </c>
      <c r="F9" s="103"/>
      <c r="G9" s="106"/>
    </row>
    <row r="10" s="93" customFormat="1" ht="32.1" customHeight="1" spans="1:7">
      <c r="A10" s="102">
        <v>8</v>
      </c>
      <c r="B10" s="103" t="s">
        <v>24</v>
      </c>
      <c r="C10" s="104" t="s">
        <v>8</v>
      </c>
      <c r="D10" s="104" t="s">
        <v>25</v>
      </c>
      <c r="E10" s="103" t="s">
        <v>10</v>
      </c>
      <c r="F10" s="103"/>
      <c r="G10" s="107"/>
    </row>
    <row r="11" s="94" customFormat="1" ht="32.1" customHeight="1" spans="1:7">
      <c r="A11" s="102">
        <v>9</v>
      </c>
      <c r="B11" s="103" t="s">
        <v>26</v>
      </c>
      <c r="C11" s="104" t="s">
        <v>27</v>
      </c>
      <c r="D11" s="104" t="s">
        <v>28</v>
      </c>
      <c r="E11" s="103" t="s">
        <v>10</v>
      </c>
      <c r="F11" s="103"/>
      <c r="G11" s="106"/>
    </row>
    <row r="12" s="94" customFormat="1" ht="32.1" customHeight="1" spans="1:7">
      <c r="A12" s="102">
        <v>10</v>
      </c>
      <c r="B12" s="103" t="s">
        <v>29</v>
      </c>
      <c r="C12" s="104" t="s">
        <v>8</v>
      </c>
      <c r="D12" s="104" t="s">
        <v>30</v>
      </c>
      <c r="E12" s="103" t="s">
        <v>10</v>
      </c>
      <c r="F12" s="103"/>
      <c r="G12" s="106"/>
    </row>
    <row r="13" s="94" customFormat="1" ht="32.1" customHeight="1" spans="1:7">
      <c r="A13" s="102">
        <v>11</v>
      </c>
      <c r="B13" s="103" t="s">
        <v>31</v>
      </c>
      <c r="C13" s="104" t="s">
        <v>32</v>
      </c>
      <c r="D13" s="104" t="s">
        <v>33</v>
      </c>
      <c r="E13" s="103" t="s">
        <v>34</v>
      </c>
      <c r="F13" s="103"/>
      <c r="G13" s="106"/>
    </row>
    <row r="14" s="95" customFormat="1" ht="52" customHeight="1" spans="1:7">
      <c r="A14" s="102">
        <v>12</v>
      </c>
      <c r="B14" s="103" t="s">
        <v>35</v>
      </c>
      <c r="C14" s="104" t="s">
        <v>36</v>
      </c>
      <c r="D14" s="104" t="s">
        <v>37</v>
      </c>
      <c r="E14" s="103" t="s">
        <v>10</v>
      </c>
      <c r="F14" s="103"/>
      <c r="G14" s="106"/>
    </row>
    <row r="15" s="75" customFormat="1" ht="33.95" customHeight="1" spans="1:7">
      <c r="A15" s="108" t="s">
        <v>38</v>
      </c>
      <c r="B15" s="108"/>
      <c r="C15" s="108" t="s">
        <v>39</v>
      </c>
      <c r="D15" s="108"/>
      <c r="E15" s="108"/>
      <c r="F15" s="108"/>
      <c r="G15" s="97"/>
    </row>
    <row r="16" s="75" customFormat="1" ht="26.1" customHeight="1" spans="1:7">
      <c r="A16" s="108"/>
      <c r="B16" s="108"/>
      <c r="C16" s="108"/>
      <c r="D16" s="108"/>
      <c r="E16" s="108"/>
      <c r="F16" s="108"/>
      <c r="G16" s="97"/>
    </row>
    <row r="17" s="75" customFormat="1" spans="1:7">
      <c r="A17" s="96"/>
      <c r="B17" s="97"/>
      <c r="C17" s="96"/>
      <c r="D17" s="96"/>
      <c r="E17" s="97"/>
      <c r="F17" s="98"/>
      <c r="G17" s="97"/>
    </row>
    <row r="18" s="75" customFormat="1" spans="1:7">
      <c r="A18" s="96"/>
      <c r="B18" s="97"/>
      <c r="C18" s="96"/>
      <c r="D18" s="96"/>
      <c r="E18" s="97"/>
      <c r="F18" s="98"/>
      <c r="G18" s="97"/>
    </row>
    <row r="19" s="75" customFormat="1" spans="1:7">
      <c r="A19" s="96"/>
      <c r="B19" s="97"/>
      <c r="C19" s="96"/>
      <c r="D19" s="96"/>
      <c r="E19" s="97"/>
      <c r="F19" s="98"/>
      <c r="G19" s="97"/>
    </row>
    <row r="20" s="75" customFormat="1" spans="1:7">
      <c r="A20" s="96"/>
      <c r="B20" s="97"/>
      <c r="C20" s="96"/>
      <c r="D20" s="96"/>
      <c r="E20" s="97"/>
      <c r="F20" s="98"/>
      <c r="G20" s="97"/>
    </row>
    <row r="21" s="75" customFormat="1" spans="1:7">
      <c r="A21" s="96"/>
      <c r="B21" s="97"/>
      <c r="C21" s="96"/>
      <c r="D21" s="96"/>
      <c r="E21" s="97"/>
      <c r="F21" s="98"/>
      <c r="G21" s="97"/>
    </row>
    <row r="22" s="75" customFormat="1" spans="1:7">
      <c r="A22" s="96"/>
      <c r="B22" s="97"/>
      <c r="C22" s="96"/>
      <c r="D22" s="96"/>
      <c r="E22" s="97"/>
      <c r="F22" s="98"/>
      <c r="G22" s="97"/>
    </row>
    <row r="23" s="75" customFormat="1" spans="1:7">
      <c r="A23" s="96"/>
      <c r="B23" s="97"/>
      <c r="C23" s="96"/>
      <c r="D23" s="96"/>
      <c r="E23" s="97"/>
      <c r="F23" s="98"/>
      <c r="G23" s="97"/>
    </row>
    <row r="24" s="75" customFormat="1" spans="1:7">
      <c r="A24" s="96"/>
      <c r="B24" s="97"/>
      <c r="C24" s="96"/>
      <c r="D24" s="96"/>
      <c r="E24" s="97"/>
      <c r="F24" s="98"/>
      <c r="G24" s="97"/>
    </row>
    <row r="25" s="75" customFormat="1" spans="1:7">
      <c r="A25" s="96"/>
      <c r="B25" s="97"/>
      <c r="C25" s="96"/>
      <c r="D25" s="96"/>
      <c r="E25" s="97"/>
      <c r="F25" s="98"/>
      <c r="G25" s="97"/>
    </row>
    <row r="26" s="75" customFormat="1" spans="1:7">
      <c r="A26" s="96"/>
      <c r="B26" s="97"/>
      <c r="C26" s="96"/>
      <c r="D26" s="96"/>
      <c r="E26" s="97"/>
      <c r="F26" s="98"/>
      <c r="G26" s="97"/>
    </row>
    <row r="27" s="75" customFormat="1" spans="1:7">
      <c r="A27" s="96"/>
      <c r="B27" s="97"/>
      <c r="C27" s="96"/>
      <c r="D27" s="96"/>
      <c r="E27" s="97"/>
      <c r="F27" s="98"/>
      <c r="G27" s="97"/>
    </row>
    <row r="28" s="75" customFormat="1" spans="1:7">
      <c r="A28" s="96"/>
      <c r="B28" s="97"/>
      <c r="C28" s="96"/>
      <c r="D28" s="96"/>
      <c r="E28" s="97"/>
      <c r="F28" s="98"/>
      <c r="G28" s="97"/>
    </row>
    <row r="29" s="75" customFormat="1" spans="1:7">
      <c r="A29" s="96"/>
      <c r="B29" s="97"/>
      <c r="C29" s="96"/>
      <c r="D29" s="96"/>
      <c r="E29" s="97"/>
      <c r="F29" s="98"/>
      <c r="G29" s="97"/>
    </row>
    <row r="30" s="75" customFormat="1" spans="1:7">
      <c r="A30" s="96"/>
      <c r="B30" s="97"/>
      <c r="C30" s="96"/>
      <c r="D30" s="96"/>
      <c r="E30" s="97"/>
      <c r="F30" s="98"/>
      <c r="G30" s="97"/>
    </row>
    <row r="31" s="75" customFormat="1" ht="43.5" customHeight="1" spans="1:7">
      <c r="A31" s="96"/>
      <c r="B31" s="97"/>
      <c r="C31" s="96"/>
      <c r="D31" s="96"/>
      <c r="E31" s="97"/>
      <c r="F31" s="98"/>
      <c r="G31" s="97"/>
    </row>
  </sheetData>
  <mergeCells count="3">
    <mergeCell ref="A1:F1"/>
    <mergeCell ref="A15:B16"/>
    <mergeCell ref="C15:F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13" workbookViewId="0">
      <selection activeCell="L14" sqref="L14"/>
    </sheetView>
  </sheetViews>
  <sheetFormatPr defaultColWidth="10.2857142857143" defaultRowHeight="14.25" outlineLevelCol="7"/>
  <cols>
    <col min="1" max="1" width="6.57142857142857" style="75" customWidth="1"/>
    <col min="2" max="2" width="12" style="75" customWidth="1"/>
    <col min="3" max="3" width="5.14285714285714" style="75" customWidth="1"/>
    <col min="4" max="4" width="10.5714285714286" style="75" customWidth="1"/>
    <col min="5" max="5" width="12.1428571428571" style="75" customWidth="1"/>
    <col min="6" max="6" width="13.7142857142857" style="75" customWidth="1"/>
    <col min="7" max="7" width="12.1428571428571" style="75" customWidth="1"/>
    <col min="8" max="8" width="14" style="75" customWidth="1"/>
    <col min="9" max="10" width="10.2857142857143" style="75"/>
    <col min="11" max="11" width="70.1428571428571" style="75" customWidth="1"/>
    <col min="12" max="16384" width="10.2857142857143" style="75"/>
  </cols>
  <sheetData>
    <row r="1" s="75" customFormat="1" ht="54" customHeight="1" spans="1:8">
      <c r="A1" s="77" t="s">
        <v>40</v>
      </c>
      <c r="B1" s="77"/>
      <c r="C1" s="77"/>
      <c r="D1" s="77"/>
      <c r="E1" s="77"/>
      <c r="F1" s="77"/>
      <c r="G1" s="77"/>
      <c r="H1" s="77"/>
    </row>
    <row r="2" s="75" customFormat="1" ht="23" customHeight="1" spans="1:8">
      <c r="A2" s="78" t="s">
        <v>41</v>
      </c>
      <c r="B2" s="78"/>
      <c r="C2" s="78"/>
      <c r="D2" s="78"/>
      <c r="E2" s="78"/>
      <c r="F2" s="78"/>
      <c r="G2" s="78"/>
      <c r="H2" s="78"/>
    </row>
    <row r="3" s="75" customFormat="1" ht="32" customHeight="1" spans="1:8">
      <c r="A3" s="78" t="s">
        <v>42</v>
      </c>
      <c r="B3" s="78"/>
      <c r="C3" s="78"/>
      <c r="D3" s="78"/>
      <c r="E3" s="78"/>
      <c r="F3" s="78"/>
      <c r="G3" s="78"/>
      <c r="H3" s="78"/>
    </row>
    <row r="4" s="75" customFormat="1" ht="25.5" customHeight="1" spans="1:8">
      <c r="A4" s="78" t="s">
        <v>43</v>
      </c>
      <c r="B4" s="78"/>
      <c r="C4" s="78"/>
      <c r="D4" s="78"/>
      <c r="E4" s="78"/>
      <c r="F4" s="78"/>
      <c r="G4" s="78"/>
      <c r="H4" s="78"/>
    </row>
    <row r="5" s="75" customFormat="1" ht="30" customHeight="1" spans="1:8">
      <c r="A5" s="79" t="s">
        <v>44</v>
      </c>
      <c r="B5" s="79"/>
      <c r="C5" s="79"/>
      <c r="D5" s="79"/>
      <c r="E5" s="79"/>
      <c r="F5" s="79"/>
      <c r="G5" s="79"/>
      <c r="H5" s="79"/>
    </row>
    <row r="6" s="76" customFormat="1" ht="24" customHeight="1" spans="1:8">
      <c r="A6" s="80" t="s">
        <v>1</v>
      </c>
      <c r="B6" s="80" t="s">
        <v>45</v>
      </c>
      <c r="C6" s="80"/>
      <c r="D6" s="80"/>
      <c r="E6" s="80" t="s">
        <v>46</v>
      </c>
      <c r="F6" s="80" t="s">
        <v>47</v>
      </c>
      <c r="G6" s="80" t="s">
        <v>48</v>
      </c>
      <c r="H6" s="80" t="s">
        <v>49</v>
      </c>
    </row>
    <row r="7" s="75" customFormat="1" ht="20.25" customHeight="1" spans="1:8">
      <c r="A7" s="81" t="s">
        <v>50</v>
      </c>
      <c r="B7" s="82" t="s">
        <v>51</v>
      </c>
      <c r="C7" s="82"/>
      <c r="D7" s="82"/>
      <c r="E7" s="83">
        <f>E8+E9+E10+E11</f>
        <v>0</v>
      </c>
      <c r="F7" s="83">
        <v>0</v>
      </c>
      <c r="G7" s="83">
        <f>G8+G9+G10+G11</f>
        <v>0</v>
      </c>
      <c r="H7" s="83">
        <f>H8+H103+H10+H9+H11+H12+H13</f>
        <v>534800</v>
      </c>
    </row>
    <row r="8" s="75" customFormat="1" ht="20.25" customHeight="1" spans="1:8">
      <c r="A8" s="84">
        <v>1.1</v>
      </c>
      <c r="B8" s="85" t="s">
        <v>52</v>
      </c>
      <c r="C8" s="85"/>
      <c r="D8" s="85"/>
      <c r="E8" s="83">
        <v>0</v>
      </c>
      <c r="F8" s="83">
        <v>0</v>
      </c>
      <c r="G8" s="83">
        <v>0</v>
      </c>
      <c r="H8" s="83">
        <f>结算明细表!F4</f>
        <v>500000</v>
      </c>
    </row>
    <row r="9" s="75" customFormat="1" ht="20.25" customHeight="1" spans="1:8">
      <c r="A9" s="84">
        <v>1.2</v>
      </c>
      <c r="B9" s="85" t="s">
        <v>53</v>
      </c>
      <c r="C9" s="85"/>
      <c r="D9" s="85"/>
      <c r="E9" s="83">
        <v>0</v>
      </c>
      <c r="F9" s="83">
        <v>0</v>
      </c>
      <c r="G9" s="83">
        <v>0</v>
      </c>
      <c r="H9" s="83"/>
    </row>
    <row r="10" s="75" customFormat="1" ht="20.25" customHeight="1" spans="1:8">
      <c r="A10" s="84">
        <v>1.3</v>
      </c>
      <c r="B10" s="85" t="s">
        <v>54</v>
      </c>
      <c r="C10" s="85"/>
      <c r="D10" s="85"/>
      <c r="E10" s="83">
        <v>0</v>
      </c>
      <c r="F10" s="83">
        <v>0</v>
      </c>
      <c r="G10" s="83">
        <v>0</v>
      </c>
      <c r="H10" s="83">
        <f>结算明细表!F5</f>
        <v>56000</v>
      </c>
    </row>
    <row r="11" s="75" customFormat="1" ht="20.25" customHeight="1" spans="1:8">
      <c r="A11" s="84">
        <v>1.4</v>
      </c>
      <c r="B11" s="85" t="s">
        <v>55</v>
      </c>
      <c r="C11" s="85"/>
      <c r="D11" s="85"/>
      <c r="E11" s="83">
        <v>0</v>
      </c>
      <c r="F11" s="83">
        <v>0</v>
      </c>
      <c r="G11" s="83">
        <v>0</v>
      </c>
      <c r="H11" s="83">
        <f>结算明细表!F6</f>
        <v>-10578.5404213912</v>
      </c>
    </row>
    <row r="12" s="75" customFormat="1" ht="20.25" customHeight="1" spans="1:8">
      <c r="A12" s="84">
        <v>1.5</v>
      </c>
      <c r="B12" s="85" t="s">
        <v>56</v>
      </c>
      <c r="C12" s="85"/>
      <c r="D12" s="85"/>
      <c r="E12" s="85"/>
      <c r="F12" s="85"/>
      <c r="G12" s="85"/>
      <c r="H12" s="83">
        <f>结算明细表!F16</f>
        <v>-10590.7079529827</v>
      </c>
    </row>
    <row r="13" s="75" customFormat="1" ht="20.25" customHeight="1" spans="1:8">
      <c r="A13" s="84">
        <v>1.6</v>
      </c>
      <c r="B13" s="85" t="s">
        <v>57</v>
      </c>
      <c r="C13" s="85"/>
      <c r="D13" s="85"/>
      <c r="E13" s="85"/>
      <c r="F13" s="85"/>
      <c r="G13" s="85"/>
      <c r="H13" s="83">
        <f>结算明细表!F18-结算明细表!F17</f>
        <v>-30.7516256262315</v>
      </c>
    </row>
    <row r="14" s="75" customFormat="1" ht="20.25" customHeight="1" spans="1:8">
      <c r="A14" s="81" t="s">
        <v>58</v>
      </c>
      <c r="B14" s="82" t="s">
        <v>59</v>
      </c>
      <c r="C14" s="82"/>
      <c r="D14" s="82"/>
      <c r="E14" s="83">
        <v>0</v>
      </c>
      <c r="F14" s="83"/>
      <c r="G14" s="83">
        <v>0</v>
      </c>
      <c r="H14" s="83">
        <v>0</v>
      </c>
    </row>
    <row r="15" s="75" customFormat="1" ht="20.25" customHeight="1" spans="1:8">
      <c r="A15" s="84">
        <v>2.1</v>
      </c>
      <c r="B15" s="85" t="s">
        <v>60</v>
      </c>
      <c r="C15" s="85"/>
      <c r="D15" s="85"/>
      <c r="E15" s="83">
        <v>0</v>
      </c>
      <c r="F15" s="83"/>
      <c r="G15" s="83">
        <v>0</v>
      </c>
      <c r="H15" s="83">
        <v>0</v>
      </c>
    </row>
    <row r="16" s="75" customFormat="1" ht="20.25" customHeight="1" spans="1:8">
      <c r="A16" s="84">
        <v>2.2</v>
      </c>
      <c r="B16" s="85" t="s">
        <v>60</v>
      </c>
      <c r="C16" s="85"/>
      <c r="D16" s="85"/>
      <c r="E16" s="83">
        <v>0</v>
      </c>
      <c r="F16" s="83"/>
      <c r="G16" s="83">
        <v>0</v>
      </c>
      <c r="H16" s="83">
        <v>0</v>
      </c>
    </row>
    <row r="17" s="75" customFormat="1" ht="20.25" customHeight="1" spans="1:8">
      <c r="A17" s="81" t="s">
        <v>61</v>
      </c>
      <c r="B17" s="82" t="s">
        <v>62</v>
      </c>
      <c r="C17" s="82"/>
      <c r="D17" s="85" t="s">
        <v>63</v>
      </c>
      <c r="E17" s="86">
        <f>H7</f>
        <v>534800</v>
      </c>
      <c r="F17" s="86"/>
      <c r="G17" s="86"/>
      <c r="H17" s="86"/>
    </row>
    <row r="18" s="75" customFormat="1" ht="20.25" customHeight="1" spans="1:8">
      <c r="A18" s="81"/>
      <c r="B18" s="82"/>
      <c r="C18" s="82"/>
      <c r="D18" s="85" t="s">
        <v>64</v>
      </c>
      <c r="E18" s="87">
        <f>E17</f>
        <v>534800</v>
      </c>
      <c r="F18" s="87"/>
      <c r="G18" s="87"/>
      <c r="H18" s="87"/>
    </row>
    <row r="19" s="75" customFormat="1" ht="20.25" customHeight="1" spans="1:8">
      <c r="A19" s="81" t="s">
        <v>65</v>
      </c>
      <c r="B19" s="82" t="s">
        <v>66</v>
      </c>
      <c r="C19" s="82"/>
      <c r="D19" s="82"/>
      <c r="E19" s="83">
        <v>0</v>
      </c>
      <c r="F19" s="83"/>
      <c r="G19" s="83"/>
      <c r="H19" s="83"/>
    </row>
    <row r="20" s="75" customFormat="1" ht="20.25" customHeight="1" spans="1:8">
      <c r="A20" s="84">
        <v>4.1</v>
      </c>
      <c r="B20" s="85" t="s">
        <v>67</v>
      </c>
      <c r="C20" s="85"/>
      <c r="D20" s="85"/>
      <c r="E20" s="83">
        <v>0</v>
      </c>
      <c r="F20" s="83"/>
      <c r="G20" s="83"/>
      <c r="H20" s="83"/>
    </row>
    <row r="21" s="75" customFormat="1" ht="20.25" customHeight="1" spans="1:8">
      <c r="A21" s="84">
        <v>4.2</v>
      </c>
      <c r="B21" s="85" t="s">
        <v>68</v>
      </c>
      <c r="C21" s="85"/>
      <c r="D21" s="85"/>
      <c r="E21" s="83">
        <v>0</v>
      </c>
      <c r="F21" s="83"/>
      <c r="G21" s="83"/>
      <c r="H21" s="83"/>
    </row>
    <row r="22" s="75" customFormat="1" ht="20.25" customHeight="1" spans="1:8">
      <c r="A22" s="81" t="s">
        <v>69</v>
      </c>
      <c r="B22" s="82" t="s">
        <v>70</v>
      </c>
      <c r="C22" s="82"/>
      <c r="D22" s="82"/>
      <c r="E22" s="83">
        <v>0</v>
      </c>
      <c r="F22" s="83"/>
      <c r="G22" s="83"/>
      <c r="H22" s="83"/>
    </row>
    <row r="23" s="75" customFormat="1" ht="20.25" customHeight="1" spans="1:8">
      <c r="A23" s="84">
        <v>5.1</v>
      </c>
      <c r="B23" s="85" t="s">
        <v>71</v>
      </c>
      <c r="C23" s="85"/>
      <c r="D23" s="85"/>
      <c r="E23" s="85" t="s">
        <v>72</v>
      </c>
      <c r="F23" s="85"/>
      <c r="G23" s="85"/>
      <c r="H23" s="85"/>
    </row>
    <row r="24" s="75" customFormat="1" ht="20.25" customHeight="1" spans="1:8">
      <c r="A24" s="84">
        <v>5.2</v>
      </c>
      <c r="B24" s="85" t="s">
        <v>73</v>
      </c>
      <c r="C24" s="85"/>
      <c r="D24" s="85"/>
      <c r="E24" s="85" t="s">
        <v>72</v>
      </c>
      <c r="F24" s="85"/>
      <c r="G24" s="85"/>
      <c r="H24" s="85"/>
    </row>
    <row r="25" s="75" customFormat="1" ht="20.25" customHeight="1" spans="1:8">
      <c r="A25" s="81" t="s">
        <v>74</v>
      </c>
      <c r="B25" s="82" t="s">
        <v>75</v>
      </c>
      <c r="C25" s="85" t="s">
        <v>63</v>
      </c>
      <c r="D25" s="85"/>
      <c r="E25" s="86">
        <f>E17</f>
        <v>534800</v>
      </c>
      <c r="F25" s="86"/>
      <c r="G25" s="86"/>
      <c r="H25" s="86"/>
    </row>
    <row r="26" s="75" customFormat="1" ht="20.25" customHeight="1" spans="1:8">
      <c r="A26" s="81"/>
      <c r="B26" s="82"/>
      <c r="C26" s="85" t="s">
        <v>64</v>
      </c>
      <c r="D26" s="85"/>
      <c r="E26" s="87">
        <f>E18</f>
        <v>534800</v>
      </c>
      <c r="F26" s="87"/>
      <c r="G26" s="87"/>
      <c r="H26" s="87"/>
    </row>
    <row r="27" s="75" customFormat="1" ht="20.25" customHeight="1" spans="1:8">
      <c r="A27" s="81" t="s">
        <v>76</v>
      </c>
      <c r="B27" s="82" t="s">
        <v>77</v>
      </c>
      <c r="C27" s="85" t="s">
        <v>63</v>
      </c>
      <c r="D27" s="85"/>
      <c r="E27" s="86">
        <f>E25</f>
        <v>534800</v>
      </c>
      <c r="F27" s="86"/>
      <c r="G27" s="86"/>
      <c r="H27" s="86"/>
    </row>
    <row r="28" s="75" customFormat="1" ht="20.25" customHeight="1" spans="1:8">
      <c r="A28" s="81"/>
      <c r="B28" s="82"/>
      <c r="C28" s="85" t="s">
        <v>64</v>
      </c>
      <c r="D28" s="85"/>
      <c r="E28" s="87">
        <f>E18</f>
        <v>534800</v>
      </c>
      <c r="F28" s="87"/>
      <c r="G28" s="87"/>
      <c r="H28" s="87"/>
    </row>
    <row r="29" s="75" customFormat="1" spans="1:8">
      <c r="A29" s="88"/>
      <c r="B29" s="88"/>
      <c r="C29" s="88"/>
      <c r="D29" s="88"/>
      <c r="E29" s="88"/>
      <c r="F29" s="88"/>
      <c r="G29" s="88"/>
      <c r="H29" s="88"/>
    </row>
    <row r="30" s="75" customFormat="1" spans="1:8">
      <c r="A30" s="89" t="s">
        <v>78</v>
      </c>
      <c r="B30" s="89"/>
      <c r="C30" s="89"/>
      <c r="D30" s="89"/>
      <c r="E30" s="89"/>
      <c r="F30" s="89"/>
      <c r="G30" s="89"/>
      <c r="H30" s="89"/>
    </row>
    <row r="31" s="75" customFormat="1" spans="1:1">
      <c r="A31" s="90"/>
    </row>
    <row r="32" s="75" customFormat="1" spans="1:1">
      <c r="A32" s="90"/>
    </row>
    <row r="33" s="75" customFormat="1" spans="1:8">
      <c r="A33" s="89" t="s">
        <v>79</v>
      </c>
      <c r="B33" s="89"/>
      <c r="C33" s="89"/>
      <c r="D33" s="89"/>
      <c r="E33" s="89"/>
      <c r="F33" s="89"/>
      <c r="G33" s="89"/>
      <c r="H33" s="89"/>
    </row>
    <row r="34" s="75" customFormat="1" spans="1:1">
      <c r="A34" s="90"/>
    </row>
    <row r="35" s="75" customFormat="1" ht="27" customHeight="1" spans="1:8">
      <c r="A35" s="91"/>
      <c r="B35" s="91"/>
      <c r="C35" s="91"/>
      <c r="D35" s="91"/>
      <c r="E35" s="91"/>
      <c r="F35" s="91"/>
      <c r="G35" s="91"/>
      <c r="H35" s="91"/>
    </row>
  </sheetData>
  <mergeCells count="43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E17:H17"/>
    <mergeCell ref="E18:H18"/>
    <mergeCell ref="B19:D19"/>
    <mergeCell ref="B20:D20"/>
    <mergeCell ref="B21:D21"/>
    <mergeCell ref="B22:D22"/>
    <mergeCell ref="B23:D23"/>
    <mergeCell ref="E23:H23"/>
    <mergeCell ref="B24:D24"/>
    <mergeCell ref="E24:H24"/>
    <mergeCell ref="C25:D25"/>
    <mergeCell ref="E25:H25"/>
    <mergeCell ref="C26:D26"/>
    <mergeCell ref="E26:H26"/>
    <mergeCell ref="C27:D27"/>
    <mergeCell ref="E27:H27"/>
    <mergeCell ref="C28:D28"/>
    <mergeCell ref="E28:H28"/>
    <mergeCell ref="A30:H30"/>
    <mergeCell ref="A33:H33"/>
    <mergeCell ref="A35:H35"/>
    <mergeCell ref="A17:A18"/>
    <mergeCell ref="A25:A26"/>
    <mergeCell ref="A27:A28"/>
    <mergeCell ref="B25:B26"/>
    <mergeCell ref="B27:B28"/>
    <mergeCell ref="B17:C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7" workbookViewId="0">
      <selection activeCell="F9" sqref="F9"/>
    </sheetView>
  </sheetViews>
  <sheetFormatPr defaultColWidth="9" defaultRowHeight="11.25"/>
  <cols>
    <col min="1" max="1" width="5" style="64" customWidth="1"/>
    <col min="2" max="2" width="27.8571428571429" style="64" customWidth="1"/>
    <col min="3" max="3" width="6.71428571428571" style="64" customWidth="1"/>
    <col min="4" max="4" width="11.8571428571429" style="64" customWidth="1"/>
    <col min="5" max="5" width="12.2857142857143" style="64" customWidth="1"/>
    <col min="6" max="6" width="15.5714285714286" style="64" customWidth="1"/>
    <col min="7" max="7" width="17.1428571428571" style="64" customWidth="1"/>
    <col min="8" max="8" width="13" style="64"/>
    <col min="9" max="9" width="12.3333333333333" style="64"/>
    <col min="10" max="16384" width="9" style="64"/>
  </cols>
  <sheetData>
    <row r="1" s="64" customFormat="1" ht="42" customHeight="1" spans="1:7">
      <c r="A1" s="65" t="s">
        <v>80</v>
      </c>
      <c r="B1" s="65"/>
      <c r="C1" s="65"/>
      <c r="D1" s="65"/>
      <c r="E1" s="65"/>
      <c r="F1" s="65"/>
      <c r="G1" s="65"/>
    </row>
    <row r="2" s="64" customFormat="1" ht="30" customHeight="1" spans="1:7">
      <c r="A2" s="66" t="s">
        <v>81</v>
      </c>
      <c r="B2" s="66"/>
      <c r="C2" s="66"/>
      <c r="D2" s="66"/>
      <c r="E2" s="66"/>
      <c r="F2" s="66"/>
      <c r="G2" s="66"/>
    </row>
    <row r="3" s="64" customFormat="1" ht="29" customHeight="1" spans="1:7">
      <c r="A3" s="67" t="s">
        <v>1</v>
      </c>
      <c r="B3" s="68" t="s">
        <v>2</v>
      </c>
      <c r="C3" s="68" t="s">
        <v>82</v>
      </c>
      <c r="D3" s="68" t="s">
        <v>83</v>
      </c>
      <c r="E3" s="68" t="s">
        <v>84</v>
      </c>
      <c r="F3" s="68" t="s">
        <v>85</v>
      </c>
      <c r="G3" s="68" t="s">
        <v>6</v>
      </c>
    </row>
    <row r="4" s="64" customFormat="1" ht="39" customHeight="1" spans="1:8">
      <c r="A4" s="67">
        <v>1</v>
      </c>
      <c r="B4" s="69" t="s">
        <v>52</v>
      </c>
      <c r="C4" s="68" t="s">
        <v>86</v>
      </c>
      <c r="D4" s="68">
        <v>1</v>
      </c>
      <c r="E4" s="68">
        <v>500000</v>
      </c>
      <c r="F4" s="68">
        <f>E4*D4</f>
        <v>500000</v>
      </c>
      <c r="G4" s="68" t="s">
        <v>87</v>
      </c>
      <c r="H4" s="70"/>
    </row>
    <row r="5" s="64" customFormat="1" ht="39" customHeight="1" spans="1:7">
      <c r="A5" s="67">
        <v>2</v>
      </c>
      <c r="B5" s="69" t="s">
        <v>88</v>
      </c>
      <c r="C5" s="68" t="s">
        <v>86</v>
      </c>
      <c r="D5" s="68">
        <v>1</v>
      </c>
      <c r="E5" s="68">
        <v>56000</v>
      </c>
      <c r="F5" s="68">
        <f>E5*D5</f>
        <v>56000</v>
      </c>
      <c r="G5" s="68" t="s">
        <v>89</v>
      </c>
    </row>
    <row r="6" s="64" customFormat="1" ht="39" customHeight="1" spans="1:9">
      <c r="A6" s="67">
        <v>3</v>
      </c>
      <c r="B6" s="69" t="s">
        <v>90</v>
      </c>
      <c r="C6" s="68"/>
      <c r="D6" s="68"/>
      <c r="E6" s="68"/>
      <c r="F6" s="71">
        <f>SUM(F7:F14)</f>
        <v>-10578.5404213912</v>
      </c>
      <c r="G6" s="68"/>
      <c r="I6" s="74"/>
    </row>
    <row r="7" s="64" customFormat="1" ht="39" customHeight="1" spans="1:7">
      <c r="A7" s="67">
        <v>3.1</v>
      </c>
      <c r="B7" s="69" t="s">
        <v>91</v>
      </c>
      <c r="C7" s="68" t="s">
        <v>92</v>
      </c>
      <c r="D7" s="71">
        <f>合同价!E6</f>
        <v>116.1216</v>
      </c>
      <c r="E7" s="68">
        <v>-50</v>
      </c>
      <c r="F7" s="68">
        <f t="shared" ref="F7:F14" si="0">E7*D7</f>
        <v>-5806.08</v>
      </c>
      <c r="G7" s="68" t="s">
        <v>93</v>
      </c>
    </row>
    <row r="8" s="64" customFormat="1" ht="39" customHeight="1" spans="1:7">
      <c r="A8" s="67">
        <v>3.2</v>
      </c>
      <c r="B8" s="69" t="s">
        <v>94</v>
      </c>
      <c r="C8" s="68" t="s">
        <v>86</v>
      </c>
      <c r="D8" s="68">
        <v>1</v>
      </c>
      <c r="E8" s="71">
        <f>-合同价!L9-合同价!L10</f>
        <v>-23455.8170627912</v>
      </c>
      <c r="F8" s="71">
        <f t="shared" si="0"/>
        <v>-23455.8170627912</v>
      </c>
      <c r="G8" s="72"/>
    </row>
    <row r="9" s="64" customFormat="1" ht="39" customHeight="1" spans="1:7">
      <c r="A9" s="67">
        <v>3.3</v>
      </c>
      <c r="B9" s="69" t="s">
        <v>95</v>
      </c>
      <c r="C9" s="68" t="s">
        <v>92</v>
      </c>
      <c r="D9" s="68">
        <f>2.04*1.8+1.84*1.84+2.35*3.58</f>
        <v>15.4706</v>
      </c>
      <c r="E9" s="68">
        <f>合同价!K6-50</f>
        <v>348.507</v>
      </c>
      <c r="F9" s="71">
        <f t="shared" si="0"/>
        <v>5391.6123942</v>
      </c>
      <c r="G9" s="68"/>
    </row>
    <row r="10" s="64" customFormat="1" ht="39" customHeight="1" spans="1:7">
      <c r="A10" s="67">
        <v>3.4</v>
      </c>
      <c r="B10" s="69" t="s">
        <v>96</v>
      </c>
      <c r="C10" s="68" t="s">
        <v>92</v>
      </c>
      <c r="D10" s="68">
        <f>(1.5*2+1.64+1.45*4+2.15*2+3.38*2)*0.6</f>
        <v>12.9</v>
      </c>
      <c r="E10" s="68">
        <f>合同价!K7</f>
        <v>199.7994</v>
      </c>
      <c r="F10" s="71">
        <f t="shared" si="0"/>
        <v>2577.41226</v>
      </c>
      <c r="G10" s="72"/>
    </row>
    <row r="11" s="64" customFormat="1" ht="39" customHeight="1" spans="1:7">
      <c r="A11" s="67">
        <v>3.5</v>
      </c>
      <c r="B11" s="69" t="s">
        <v>97</v>
      </c>
      <c r="C11" s="68" t="s">
        <v>98</v>
      </c>
      <c r="D11" s="68">
        <f>(2.9*2+2.2)*14.92/1000</f>
        <v>0.11936</v>
      </c>
      <c r="E11" s="68">
        <f>合同价!K12</f>
        <v>10317.51</v>
      </c>
      <c r="F11" s="71">
        <f t="shared" si="0"/>
        <v>1231.4979936</v>
      </c>
      <c r="G11" s="72" t="s">
        <v>99</v>
      </c>
    </row>
    <row r="12" s="64" customFormat="1" ht="39" customHeight="1" spans="1:7">
      <c r="A12" s="67">
        <v>3.6</v>
      </c>
      <c r="B12" s="69" t="s">
        <v>100</v>
      </c>
      <c r="C12" s="68" t="s">
        <v>92</v>
      </c>
      <c r="D12" s="68">
        <f>1.2*2.02+3.84*2.02</f>
        <v>10.1808</v>
      </c>
      <c r="E12" s="68">
        <f>合同价!K14</f>
        <v>343.917</v>
      </c>
      <c r="F12" s="71">
        <f t="shared" si="0"/>
        <v>3501.3501936</v>
      </c>
      <c r="G12" s="72"/>
    </row>
    <row r="13" s="64" customFormat="1" ht="39" customHeight="1" spans="1:7">
      <c r="A13" s="67">
        <v>3.7</v>
      </c>
      <c r="B13" s="69" t="s">
        <v>101</v>
      </c>
      <c r="C13" s="68" t="s">
        <v>86</v>
      </c>
      <c r="D13" s="68">
        <v>1</v>
      </c>
      <c r="E13" s="68">
        <v>5500</v>
      </c>
      <c r="F13" s="71">
        <f t="shared" si="0"/>
        <v>5500</v>
      </c>
      <c r="G13" s="72" t="s">
        <v>102</v>
      </c>
    </row>
    <row r="14" s="64" customFormat="1" ht="39" customHeight="1" spans="1:7">
      <c r="A14" s="67">
        <v>3.8</v>
      </c>
      <c r="B14" s="69" t="s">
        <v>103</v>
      </c>
      <c r="C14" s="68" t="s">
        <v>92</v>
      </c>
      <c r="D14" s="68">
        <v>1.4</v>
      </c>
      <c r="E14" s="68">
        <f>合同价!K13</f>
        <v>343.917</v>
      </c>
      <c r="F14" s="71">
        <f t="shared" si="0"/>
        <v>481.4838</v>
      </c>
      <c r="G14" s="72"/>
    </row>
    <row r="15" s="64" customFormat="1" ht="30" customHeight="1" spans="1:7">
      <c r="A15" s="67">
        <v>4</v>
      </c>
      <c r="B15" s="69" t="s">
        <v>104</v>
      </c>
      <c r="C15" s="68"/>
      <c r="D15" s="68"/>
      <c r="E15" s="68"/>
      <c r="F15" s="71">
        <f>F4+F5+F6</f>
        <v>545421.459578609</v>
      </c>
      <c r="G15" s="72"/>
    </row>
    <row r="16" s="64" customFormat="1" ht="31" customHeight="1" spans="1:7">
      <c r="A16" s="67">
        <v>5</v>
      </c>
      <c r="B16" s="69" t="s">
        <v>105</v>
      </c>
      <c r="C16" s="68" t="s">
        <v>86</v>
      </c>
      <c r="D16" s="68">
        <f>F15/1.03</f>
        <v>529535.397649135</v>
      </c>
      <c r="E16" s="73">
        <v>0.02</v>
      </c>
      <c r="F16" s="71">
        <f>-D16*E16</f>
        <v>-10590.7079529827</v>
      </c>
      <c r="G16" s="72"/>
    </row>
    <row r="17" s="64" customFormat="1" ht="31" customHeight="1" spans="1:7">
      <c r="A17" s="67">
        <v>6</v>
      </c>
      <c r="B17" s="69" t="s">
        <v>106</v>
      </c>
      <c r="C17" s="68"/>
      <c r="D17" s="68"/>
      <c r="E17" s="68"/>
      <c r="F17" s="71">
        <f>SUM(F15:F16)</f>
        <v>534830.751625626</v>
      </c>
      <c r="G17" s="72"/>
    </row>
    <row r="18" s="64" customFormat="1" ht="39" customHeight="1" spans="1:7">
      <c r="A18" s="67">
        <v>7</v>
      </c>
      <c r="B18" s="69" t="s">
        <v>107</v>
      </c>
      <c r="C18" s="68"/>
      <c r="D18" s="68"/>
      <c r="E18" s="68"/>
      <c r="F18" s="71">
        <v>534800</v>
      </c>
      <c r="G18" s="72"/>
    </row>
    <row r="19" s="64" customFormat="1" ht="39" customHeight="1" spans="2:4">
      <c r="B19" s="64" t="s">
        <v>108</v>
      </c>
      <c r="D19" s="64" t="s">
        <v>109</v>
      </c>
    </row>
  </sheetData>
  <mergeCells count="2">
    <mergeCell ref="A1:G1"/>
    <mergeCell ref="A2:G2"/>
  </mergeCells>
  <pageMargins left="0.357638888888889" right="0.357638888888889" top="0.802777777777778" bottom="0.8027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N24"/>
  <sheetViews>
    <sheetView workbookViewId="0">
      <pane ySplit="4" topLeftCell="A9" activePane="bottomLeft" state="frozen"/>
      <selection/>
      <selection pane="bottomLeft" activeCell="C9" sqref="C9"/>
    </sheetView>
  </sheetViews>
  <sheetFormatPr defaultColWidth="9.14285714285714" defaultRowHeight="14.25"/>
  <cols>
    <col min="1" max="1" width="6.28571428571429" style="15" customWidth="1"/>
    <col min="2" max="2" width="12" style="16" customWidth="1"/>
    <col min="3" max="3" width="45.1428571428571" style="16" customWidth="1"/>
    <col min="4" max="4" width="6.42857142857143" style="17" customWidth="1"/>
    <col min="5" max="5" width="9.14285714285714" style="16" customWidth="1"/>
    <col min="6" max="6" width="8.28571428571429" style="18" customWidth="1"/>
    <col min="7" max="7" width="9.85714285714286" style="18" customWidth="1"/>
    <col min="8" max="8" width="11" style="18" customWidth="1"/>
    <col min="9" max="9" width="14.2857142857143" style="18" customWidth="1"/>
    <col min="10" max="10" width="11.1428571428571" style="18" customWidth="1"/>
    <col min="11" max="11" width="11.2857142857143" style="19" customWidth="1"/>
    <col min="12" max="12" width="12.1428571428571" style="20" customWidth="1"/>
    <col min="13" max="13" width="8" style="21" customWidth="1"/>
    <col min="14" max="14" width="9" style="21" customWidth="1"/>
    <col min="15" max="15" width="9.14285714285714" style="13"/>
    <col min="16" max="17" width="12.8571428571429" style="13"/>
    <col min="18" max="18" width="9.14285714285714" style="13"/>
    <col min="19" max="19" width="9.57142857142857" style="13"/>
    <col min="20" max="16384" width="9.14285714285714" style="13"/>
  </cols>
  <sheetData>
    <row r="1" ht="30" customHeight="1" spans="1:14">
      <c r="A1" s="22" t="s">
        <v>110</v>
      </c>
      <c r="B1" s="22"/>
      <c r="C1" s="22"/>
      <c r="D1" s="22"/>
      <c r="E1" s="22"/>
      <c r="F1" s="23"/>
      <c r="G1" s="23"/>
      <c r="H1" s="23"/>
      <c r="I1" s="23"/>
      <c r="J1" s="23"/>
      <c r="K1" s="52"/>
      <c r="L1" s="53"/>
      <c r="M1" s="54"/>
      <c r="N1" s="54"/>
    </row>
    <row r="2" s="12" customFormat="1" ht="28" customHeight="1" spans="1:14">
      <c r="A2" s="24" t="s">
        <v>1</v>
      </c>
      <c r="B2" s="24" t="s">
        <v>45</v>
      </c>
      <c r="C2" s="24" t="s">
        <v>111</v>
      </c>
      <c r="D2" s="24" t="s">
        <v>112</v>
      </c>
      <c r="E2" s="24" t="s">
        <v>113</v>
      </c>
      <c r="F2" s="25" t="s">
        <v>114</v>
      </c>
      <c r="G2" s="25"/>
      <c r="H2" s="25"/>
      <c r="I2" s="25"/>
      <c r="J2" s="25"/>
      <c r="K2" s="27" t="s">
        <v>115</v>
      </c>
      <c r="L2" s="27" t="s">
        <v>116</v>
      </c>
      <c r="M2" s="55" t="s">
        <v>6</v>
      </c>
      <c r="N2" s="55" t="s">
        <v>117</v>
      </c>
    </row>
    <row r="3" s="12" customFormat="1" ht="91" customHeight="1" spans="1:14">
      <c r="A3" s="26"/>
      <c r="B3" s="26"/>
      <c r="C3" s="26"/>
      <c r="D3" s="26"/>
      <c r="E3" s="26"/>
      <c r="F3" s="27" t="s">
        <v>118</v>
      </c>
      <c r="G3" s="27" t="s">
        <v>119</v>
      </c>
      <c r="H3" s="27" t="s">
        <v>120</v>
      </c>
      <c r="I3" s="25" t="s">
        <v>121</v>
      </c>
      <c r="J3" s="25" t="s">
        <v>122</v>
      </c>
      <c r="K3" s="56"/>
      <c r="L3" s="56"/>
      <c r="M3" s="57"/>
      <c r="N3" s="57"/>
    </row>
    <row r="4" s="12" customFormat="1" ht="19" customHeight="1" spans="1:14">
      <c r="A4" s="28"/>
      <c r="B4" s="28"/>
      <c r="C4" s="28"/>
      <c r="D4" s="28"/>
      <c r="E4" s="28"/>
      <c r="F4" s="29"/>
      <c r="G4" s="29"/>
      <c r="H4" s="29"/>
      <c r="I4" s="25">
        <v>0.15</v>
      </c>
      <c r="J4" s="25">
        <v>0.03</v>
      </c>
      <c r="K4" s="29"/>
      <c r="L4" s="29"/>
      <c r="M4" s="58"/>
      <c r="N4" s="58"/>
    </row>
    <row r="5" s="13" customFormat="1" ht="19" customHeight="1" spans="1:14">
      <c r="A5" s="30" t="s">
        <v>50</v>
      </c>
      <c r="B5" s="31" t="s">
        <v>123</v>
      </c>
      <c r="C5" s="31"/>
      <c r="D5" s="30"/>
      <c r="E5" s="32"/>
      <c r="F5" s="33"/>
      <c r="G5" s="33"/>
      <c r="H5" s="33"/>
      <c r="I5" s="33"/>
      <c r="J5" s="33"/>
      <c r="K5" s="37"/>
      <c r="L5" s="41"/>
      <c r="M5" s="59"/>
      <c r="N5" s="59"/>
    </row>
    <row r="6" s="13" customFormat="1" ht="81" customHeight="1" spans="1:14">
      <c r="A6" s="30">
        <v>1</v>
      </c>
      <c r="B6" s="31" t="s">
        <v>124</v>
      </c>
      <c r="C6" s="34" t="s">
        <v>125</v>
      </c>
      <c r="D6" s="35" t="s">
        <v>92</v>
      </c>
      <c r="E6" s="36">
        <f>2.88*2.88*14</f>
        <v>116.1216</v>
      </c>
      <c r="F6" s="37">
        <v>125</v>
      </c>
      <c r="G6" s="37">
        <v>215</v>
      </c>
      <c r="H6" s="37">
        <v>25</v>
      </c>
      <c r="I6" s="37">
        <f>(F6+G6+H6)*0.06</f>
        <v>21.9</v>
      </c>
      <c r="J6" s="41">
        <f>(F6+G6+H6+I6)*0.03</f>
        <v>11.607</v>
      </c>
      <c r="K6" s="41">
        <f>F6+G6+H6+I6+J6</f>
        <v>398.507</v>
      </c>
      <c r="L6" s="41">
        <f>E6*K6</f>
        <v>46275.2704512</v>
      </c>
      <c r="M6" s="60"/>
      <c r="N6" s="60" t="s">
        <v>126</v>
      </c>
    </row>
    <row r="7" s="13" customFormat="1" ht="74" customHeight="1" spans="1:14">
      <c r="A7" s="30">
        <v>2</v>
      </c>
      <c r="B7" s="31" t="s">
        <v>127</v>
      </c>
      <c r="C7" s="38" t="s">
        <v>128</v>
      </c>
      <c r="D7" s="35" t="s">
        <v>92</v>
      </c>
      <c r="E7" s="36">
        <f>2.35*0.6*4*14</f>
        <v>78.96</v>
      </c>
      <c r="F7" s="37">
        <v>50</v>
      </c>
      <c r="G7" s="37">
        <v>110</v>
      </c>
      <c r="H7" s="37">
        <v>23</v>
      </c>
      <c r="I7" s="37">
        <f t="shared" ref="I7:I22" si="0">(F7+G7+H7)*0.06</f>
        <v>10.98</v>
      </c>
      <c r="J7" s="41">
        <f t="shared" ref="J7:J22" si="1">(F7+G7+H7+I7)*0.03</f>
        <v>5.8194</v>
      </c>
      <c r="K7" s="41">
        <f t="shared" ref="K7:K22" si="2">F7+G7+H7+I7+J7</f>
        <v>199.7994</v>
      </c>
      <c r="L7" s="41">
        <f>E7*K7</f>
        <v>15776.160624</v>
      </c>
      <c r="M7" s="60"/>
      <c r="N7" s="60" t="s">
        <v>129</v>
      </c>
    </row>
    <row r="8" s="13" customFormat="1" ht="31" customHeight="1" spans="1:14">
      <c r="A8" s="30" t="s">
        <v>58</v>
      </c>
      <c r="B8" s="31" t="s">
        <v>130</v>
      </c>
      <c r="C8" s="31"/>
      <c r="D8" s="30"/>
      <c r="E8" s="39"/>
      <c r="F8" s="37"/>
      <c r="G8" s="37"/>
      <c r="H8" s="37"/>
      <c r="I8" s="37">
        <f t="shared" si="0"/>
        <v>0</v>
      </c>
      <c r="J8" s="41"/>
      <c r="K8" s="41"/>
      <c r="L8" s="41"/>
      <c r="M8" s="60"/>
      <c r="N8" s="60"/>
    </row>
    <row r="9" s="13" customFormat="1" ht="176" customHeight="1" spans="1:14">
      <c r="A9" s="30"/>
      <c r="B9" s="31" t="s">
        <v>131</v>
      </c>
      <c r="C9" s="40" t="s">
        <v>132</v>
      </c>
      <c r="D9" s="35" t="s">
        <v>92</v>
      </c>
      <c r="E9" s="36">
        <f>3.41*4.6</f>
        <v>15.686</v>
      </c>
      <c r="F9" s="37">
        <v>320</v>
      </c>
      <c r="G9" s="41">
        <v>844.694</v>
      </c>
      <c r="H9" s="37">
        <v>120</v>
      </c>
      <c r="I9" s="37">
        <f t="shared" si="0"/>
        <v>77.08164</v>
      </c>
      <c r="J9" s="41">
        <f t="shared" si="1"/>
        <v>40.8532692</v>
      </c>
      <c r="K9" s="41">
        <f t="shared" si="2"/>
        <v>1402.6289092</v>
      </c>
      <c r="L9" s="41">
        <f t="shared" ref="L8:L22" si="3">E9*K9</f>
        <v>22001.6370697112</v>
      </c>
      <c r="M9" s="60"/>
      <c r="N9" s="60" t="s">
        <v>129</v>
      </c>
    </row>
    <row r="10" s="13" customFormat="1" ht="90" customHeight="1" spans="1:14">
      <c r="A10" s="30"/>
      <c r="B10" s="31" t="s">
        <v>127</v>
      </c>
      <c r="C10" s="42" t="s">
        <v>128</v>
      </c>
      <c r="D10" s="35" t="s">
        <v>92</v>
      </c>
      <c r="E10" s="36">
        <f>(3.01*0.755+1.81*0.755)*2</f>
        <v>7.2782</v>
      </c>
      <c r="F10" s="37">
        <v>50</v>
      </c>
      <c r="G10" s="37">
        <v>110</v>
      </c>
      <c r="H10" s="37">
        <v>23</v>
      </c>
      <c r="I10" s="37">
        <f t="shared" si="0"/>
        <v>10.98</v>
      </c>
      <c r="J10" s="41">
        <f t="shared" si="1"/>
        <v>5.8194</v>
      </c>
      <c r="K10" s="41">
        <f t="shared" si="2"/>
        <v>199.7994</v>
      </c>
      <c r="L10" s="41">
        <f t="shared" si="3"/>
        <v>1454.17999308</v>
      </c>
      <c r="M10" s="60"/>
      <c r="N10" s="60" t="s">
        <v>129</v>
      </c>
    </row>
    <row r="11" s="13" customFormat="1" ht="30" customHeight="1" spans="1:14">
      <c r="A11" s="30" t="s">
        <v>61</v>
      </c>
      <c r="B11" s="31" t="s">
        <v>133</v>
      </c>
      <c r="C11" s="31"/>
      <c r="D11" s="30"/>
      <c r="E11" s="32"/>
      <c r="F11" s="33"/>
      <c r="G11" s="33"/>
      <c r="H11" s="33"/>
      <c r="I11" s="37">
        <f t="shared" si="0"/>
        <v>0</v>
      </c>
      <c r="J11" s="41"/>
      <c r="K11" s="41"/>
      <c r="L11" s="41"/>
      <c r="M11" s="59"/>
      <c r="N11" s="59"/>
    </row>
    <row r="12" s="13" customFormat="1" ht="136" customHeight="1" spans="1:14">
      <c r="A12" s="30">
        <v>1</v>
      </c>
      <c r="B12" s="31" t="s">
        <v>134</v>
      </c>
      <c r="C12" s="31" t="s">
        <v>135</v>
      </c>
      <c r="D12" s="30" t="s">
        <v>98</v>
      </c>
      <c r="E12" s="32">
        <f>车库雨篷!D4+车库雨篷!D5+车库雨篷!D6+车库雨篷!D7+车库雨篷!D8+车库雨篷!D9+车库雨篷!D10+车库雨篷!D11</f>
        <v>9.04079787</v>
      </c>
      <c r="F12" s="37">
        <v>3800</v>
      </c>
      <c r="G12" s="37">
        <v>4800</v>
      </c>
      <c r="H12" s="37">
        <v>850</v>
      </c>
      <c r="I12" s="37">
        <f t="shared" si="0"/>
        <v>567</v>
      </c>
      <c r="J12" s="41">
        <f t="shared" si="1"/>
        <v>300.51</v>
      </c>
      <c r="K12" s="41">
        <f t="shared" si="2"/>
        <v>10317.51</v>
      </c>
      <c r="L12" s="41">
        <f t="shared" si="3"/>
        <v>93278.5224317037</v>
      </c>
      <c r="M12" s="59"/>
      <c r="N12" s="59" t="s">
        <v>136</v>
      </c>
    </row>
    <row r="13" s="13" customFormat="1" ht="74" customHeight="1" spans="1:14">
      <c r="A13" s="30">
        <v>2</v>
      </c>
      <c r="B13" s="31" t="s">
        <v>137</v>
      </c>
      <c r="C13" s="43" t="s">
        <v>138</v>
      </c>
      <c r="D13" s="30" t="s">
        <v>92</v>
      </c>
      <c r="E13" s="39">
        <f>车库雨篷!D12</f>
        <v>288.63</v>
      </c>
      <c r="F13" s="37">
        <v>125</v>
      </c>
      <c r="G13" s="37">
        <v>165</v>
      </c>
      <c r="H13" s="37">
        <v>25</v>
      </c>
      <c r="I13" s="37">
        <f t="shared" si="0"/>
        <v>18.9</v>
      </c>
      <c r="J13" s="41">
        <f t="shared" si="1"/>
        <v>10.017</v>
      </c>
      <c r="K13" s="41">
        <f t="shared" si="2"/>
        <v>343.917</v>
      </c>
      <c r="L13" s="41">
        <f t="shared" si="3"/>
        <v>99264.76371</v>
      </c>
      <c r="M13" s="59"/>
      <c r="N13" s="59" t="s">
        <v>139</v>
      </c>
    </row>
    <row r="14" s="13" customFormat="1" ht="78" customHeight="1" spans="1:14">
      <c r="A14" s="30">
        <v>3</v>
      </c>
      <c r="B14" s="31" t="s">
        <v>140</v>
      </c>
      <c r="C14" s="43" t="s">
        <v>141</v>
      </c>
      <c r="D14" s="30" t="s">
        <v>92</v>
      </c>
      <c r="E14" s="39">
        <f>车库雨篷!D13</f>
        <v>73.376</v>
      </c>
      <c r="F14" s="37">
        <v>125</v>
      </c>
      <c r="G14" s="37">
        <v>165</v>
      </c>
      <c r="H14" s="37">
        <v>25</v>
      </c>
      <c r="I14" s="37">
        <f t="shared" si="0"/>
        <v>18.9</v>
      </c>
      <c r="J14" s="41">
        <f t="shared" si="1"/>
        <v>10.017</v>
      </c>
      <c r="K14" s="41">
        <f t="shared" si="2"/>
        <v>343.917</v>
      </c>
      <c r="L14" s="41">
        <f t="shared" si="3"/>
        <v>25235.253792</v>
      </c>
      <c r="M14" s="59"/>
      <c r="N14" s="59" t="s">
        <v>139</v>
      </c>
    </row>
    <row r="15" s="13" customFormat="1" ht="24" customHeight="1" spans="1:14">
      <c r="A15" s="30" t="s">
        <v>65</v>
      </c>
      <c r="B15" s="31" t="s">
        <v>142</v>
      </c>
      <c r="C15" s="31"/>
      <c r="D15" s="30"/>
      <c r="E15" s="39"/>
      <c r="F15" s="33"/>
      <c r="G15" s="33"/>
      <c r="H15" s="33"/>
      <c r="I15" s="37">
        <f t="shared" si="0"/>
        <v>0</v>
      </c>
      <c r="J15" s="41"/>
      <c r="K15" s="41"/>
      <c r="L15" s="41"/>
      <c r="M15" s="59"/>
      <c r="N15" s="59"/>
    </row>
    <row r="16" s="13" customFormat="1" ht="115" customHeight="1" spans="1:14">
      <c r="A16" s="30">
        <v>1</v>
      </c>
      <c r="B16" s="31" t="s">
        <v>134</v>
      </c>
      <c r="C16" s="31" t="s">
        <v>135</v>
      </c>
      <c r="D16" s="30" t="s">
        <v>98</v>
      </c>
      <c r="E16" s="39">
        <f>车库雨篷!D17+车库雨篷!D18+车库雨篷!D19+车库雨篷!D20+车库雨篷!D21+车库雨篷!D22+车库雨篷!D23</f>
        <v>4.77886964</v>
      </c>
      <c r="F16" s="37">
        <v>3800</v>
      </c>
      <c r="G16" s="37">
        <v>4800</v>
      </c>
      <c r="H16" s="37">
        <v>850</v>
      </c>
      <c r="I16" s="37">
        <f t="shared" si="0"/>
        <v>567</v>
      </c>
      <c r="J16" s="41">
        <f t="shared" si="1"/>
        <v>300.51</v>
      </c>
      <c r="K16" s="41">
        <f t="shared" si="2"/>
        <v>10317.51</v>
      </c>
      <c r="L16" s="41">
        <f t="shared" si="3"/>
        <v>49306.0352993964</v>
      </c>
      <c r="M16" s="59"/>
      <c r="N16" s="59" t="s">
        <v>136</v>
      </c>
    </row>
    <row r="17" s="13" customFormat="1" ht="70" customHeight="1" spans="1:14">
      <c r="A17" s="30">
        <v>2</v>
      </c>
      <c r="B17" s="31" t="s">
        <v>137</v>
      </c>
      <c r="C17" s="43" t="s">
        <v>138</v>
      </c>
      <c r="D17" s="30" t="s">
        <v>92</v>
      </c>
      <c r="E17" s="39">
        <f>车库雨篷!D24</f>
        <v>151.22</v>
      </c>
      <c r="F17" s="37">
        <v>125</v>
      </c>
      <c r="G17" s="37">
        <v>165</v>
      </c>
      <c r="H17" s="37">
        <v>25</v>
      </c>
      <c r="I17" s="37">
        <f t="shared" si="0"/>
        <v>18.9</v>
      </c>
      <c r="J17" s="41">
        <f t="shared" si="1"/>
        <v>10.017</v>
      </c>
      <c r="K17" s="41">
        <f t="shared" si="2"/>
        <v>343.917</v>
      </c>
      <c r="L17" s="41">
        <f t="shared" si="3"/>
        <v>52007.12874</v>
      </c>
      <c r="M17" s="59"/>
      <c r="N17" s="59" t="s">
        <v>139</v>
      </c>
    </row>
    <row r="18" s="13" customFormat="1" ht="79" customHeight="1" spans="1:14">
      <c r="A18" s="30">
        <v>3</v>
      </c>
      <c r="B18" s="31" t="s">
        <v>140</v>
      </c>
      <c r="C18" s="31" t="s">
        <v>141</v>
      </c>
      <c r="D18" s="30" t="s">
        <v>92</v>
      </c>
      <c r="E18" s="39">
        <f>车库雨篷!D25</f>
        <v>33.022</v>
      </c>
      <c r="F18" s="37">
        <v>125</v>
      </c>
      <c r="G18" s="37">
        <v>165</v>
      </c>
      <c r="H18" s="37">
        <v>25</v>
      </c>
      <c r="I18" s="37">
        <f t="shared" si="0"/>
        <v>18.9</v>
      </c>
      <c r="J18" s="41">
        <f t="shared" si="1"/>
        <v>10.017</v>
      </c>
      <c r="K18" s="41">
        <f t="shared" si="2"/>
        <v>343.917</v>
      </c>
      <c r="L18" s="41">
        <f t="shared" si="3"/>
        <v>11356.827174</v>
      </c>
      <c r="M18" s="59"/>
      <c r="N18" s="59" t="s">
        <v>139</v>
      </c>
    </row>
    <row r="19" s="13" customFormat="1" ht="38" customHeight="1" spans="1:14">
      <c r="A19" s="30" t="s">
        <v>69</v>
      </c>
      <c r="B19" s="31" t="s">
        <v>143</v>
      </c>
      <c r="C19" s="31"/>
      <c r="D19" s="30"/>
      <c r="E19" s="39"/>
      <c r="F19" s="33"/>
      <c r="G19" s="33"/>
      <c r="H19" s="33"/>
      <c r="I19" s="37">
        <f t="shared" si="0"/>
        <v>0</v>
      </c>
      <c r="J19" s="41"/>
      <c r="K19" s="41"/>
      <c r="L19" s="41"/>
      <c r="M19" s="59"/>
      <c r="N19" s="59"/>
    </row>
    <row r="20" s="13" customFormat="1" ht="82" customHeight="1" spans="1:14">
      <c r="A20" s="30">
        <v>1</v>
      </c>
      <c r="B20" s="31" t="s">
        <v>134</v>
      </c>
      <c r="C20" s="31" t="s">
        <v>144</v>
      </c>
      <c r="D20" s="30" t="s">
        <v>98</v>
      </c>
      <c r="E20" s="39">
        <f>车库雨篷!D29+车库雨篷!D30+车库雨篷!D31+车库雨篷!D44+车库雨篷!D45+车库雨篷!D46+车库雨篷!D57+车库雨篷!D58+车库雨篷!D59</f>
        <v>3.1262912</v>
      </c>
      <c r="F20" s="37">
        <v>3800</v>
      </c>
      <c r="G20" s="37">
        <v>4800</v>
      </c>
      <c r="H20" s="37">
        <v>850</v>
      </c>
      <c r="I20" s="37">
        <f t="shared" si="0"/>
        <v>567</v>
      </c>
      <c r="J20" s="41">
        <f t="shared" si="1"/>
        <v>300.51</v>
      </c>
      <c r="K20" s="41">
        <f t="shared" si="2"/>
        <v>10317.51</v>
      </c>
      <c r="L20" s="41">
        <f t="shared" si="3"/>
        <v>32255.540718912</v>
      </c>
      <c r="M20" s="59"/>
      <c r="N20" s="59" t="s">
        <v>136</v>
      </c>
    </row>
    <row r="21" s="13" customFormat="1" ht="75" customHeight="1" spans="1:14">
      <c r="A21" s="30">
        <v>2</v>
      </c>
      <c r="B21" s="31" t="s">
        <v>145</v>
      </c>
      <c r="C21" s="43" t="s">
        <v>146</v>
      </c>
      <c r="D21" s="30" t="s">
        <v>92</v>
      </c>
      <c r="E21" s="39">
        <f>车库雨篷!D32+车库雨篷!D47+车库雨篷!D60</f>
        <v>53.868</v>
      </c>
      <c r="F21" s="37">
        <v>125</v>
      </c>
      <c r="G21" s="37">
        <v>165</v>
      </c>
      <c r="H21" s="37">
        <v>25</v>
      </c>
      <c r="I21" s="37">
        <f t="shared" si="0"/>
        <v>18.9</v>
      </c>
      <c r="J21" s="41">
        <f t="shared" si="1"/>
        <v>10.017</v>
      </c>
      <c r="K21" s="41">
        <f t="shared" si="2"/>
        <v>343.917</v>
      </c>
      <c r="L21" s="41">
        <f t="shared" si="3"/>
        <v>18526.120956</v>
      </c>
      <c r="M21" s="60"/>
      <c r="N21" s="59" t="s">
        <v>139</v>
      </c>
    </row>
    <row r="22" s="14" customFormat="1" ht="75" customHeight="1" spans="1:14">
      <c r="A22" s="30">
        <v>3</v>
      </c>
      <c r="B22" s="31" t="s">
        <v>147</v>
      </c>
      <c r="C22" s="43" t="s">
        <v>148</v>
      </c>
      <c r="D22" s="44" t="s">
        <v>149</v>
      </c>
      <c r="E22" s="45">
        <f>车库雨篷!D33+车库雨篷!D48+车库雨篷!D61</f>
        <v>129.641715</v>
      </c>
      <c r="F22" s="37">
        <v>80</v>
      </c>
      <c r="G22" s="37">
        <v>95</v>
      </c>
      <c r="H22" s="37">
        <v>60</v>
      </c>
      <c r="I22" s="37">
        <f t="shared" si="0"/>
        <v>14.1</v>
      </c>
      <c r="J22" s="61">
        <f t="shared" si="1"/>
        <v>7.473</v>
      </c>
      <c r="K22" s="61">
        <f t="shared" si="2"/>
        <v>256.573</v>
      </c>
      <c r="L22" s="61">
        <f t="shared" si="3"/>
        <v>33262.563742695</v>
      </c>
      <c r="M22" s="62"/>
      <c r="N22" s="59" t="s">
        <v>139</v>
      </c>
    </row>
    <row r="23" ht="21" customHeight="1" spans="1:14">
      <c r="A23" s="46" t="s">
        <v>150</v>
      </c>
      <c r="B23" s="47"/>
      <c r="C23" s="30"/>
      <c r="D23" s="30" t="s">
        <v>151</v>
      </c>
      <c r="E23" s="30"/>
      <c r="F23" s="37"/>
      <c r="G23" s="37"/>
      <c r="H23" s="37"/>
      <c r="I23" s="37"/>
      <c r="J23" s="37"/>
      <c r="K23" s="37"/>
      <c r="L23" s="41">
        <f>SUM(L6:L22)</f>
        <v>500000.004702698</v>
      </c>
      <c r="M23" s="63"/>
      <c r="N23" s="63"/>
    </row>
    <row r="24" ht="59" customHeight="1" spans="1:14">
      <c r="A24" s="48" t="s">
        <v>152</v>
      </c>
      <c r="B24" s="49"/>
      <c r="C24" s="49"/>
      <c r="D24" s="50"/>
      <c r="E24" s="49"/>
      <c r="F24" s="51"/>
      <c r="G24" s="51"/>
      <c r="H24" s="51"/>
      <c r="I24" s="51"/>
      <c r="J24" s="51"/>
      <c r="K24" s="52"/>
      <c r="L24" s="53"/>
      <c r="M24" s="49"/>
      <c r="N24" s="49"/>
    </row>
  </sheetData>
  <sheetProtection selectLockedCells="1"/>
  <autoFilter xmlns:etc="http://www.wps.cn/officeDocument/2017/etCustomData" ref="A4:N24" etc:filterBottomFollowUsedRange="0">
    <extLst/>
  </autoFilter>
  <mergeCells count="16">
    <mergeCell ref="A1:N1"/>
    <mergeCell ref="F2:J2"/>
    <mergeCell ref="A23:B23"/>
    <mergeCell ref="A24:N24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  <mergeCell ref="N2:N4"/>
  </mergeCells>
  <pageMargins left="0.393055555555556" right="0.196527777777778" top="0.786805555555556" bottom="0.393055555555556" header="0" footer="0"/>
  <pageSetup paperSize="9" scale="8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0"/>
  <sheetViews>
    <sheetView workbookViewId="0">
      <pane ySplit="2" topLeftCell="A39" activePane="bottomLeft" state="frozen"/>
      <selection/>
      <selection pane="bottomLeft" activeCell="F42" sqref="F42"/>
    </sheetView>
  </sheetViews>
  <sheetFormatPr defaultColWidth="9.14285714285714" defaultRowHeight="12.75"/>
  <cols>
    <col min="2" max="2" width="36" customWidth="1"/>
    <col min="4" max="4" width="14.5714285714286" customWidth="1"/>
    <col min="5" max="5" width="15.1428571428571" customWidth="1"/>
  </cols>
  <sheetData>
    <row r="2" ht="34" customHeight="1" spans="1:9">
      <c r="A2" s="1" t="s">
        <v>1</v>
      </c>
      <c r="B2" s="2" t="s">
        <v>45</v>
      </c>
      <c r="C2" s="1" t="s">
        <v>82</v>
      </c>
      <c r="D2" s="1" t="s">
        <v>113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</row>
    <row r="3" ht="34" customHeight="1" spans="1:9">
      <c r="A3" s="1"/>
      <c r="B3" s="2" t="s">
        <v>158</v>
      </c>
      <c r="C3" s="1"/>
      <c r="D3" s="1"/>
      <c r="E3" s="1"/>
      <c r="F3" s="1"/>
      <c r="G3" s="1"/>
      <c r="H3" s="1"/>
      <c r="I3" s="1"/>
    </row>
    <row r="4" ht="33" customHeight="1" spans="1:9">
      <c r="A4" s="3">
        <v>1</v>
      </c>
      <c r="B4" s="4" t="s">
        <v>159</v>
      </c>
      <c r="C4" s="3" t="s">
        <v>98</v>
      </c>
      <c r="D4" s="6">
        <f>E4*F4*H4*I4/1000</f>
        <v>0.22608</v>
      </c>
      <c r="E4" s="3">
        <v>0.3</v>
      </c>
      <c r="F4" s="3">
        <v>0.3</v>
      </c>
      <c r="G4" s="3"/>
      <c r="H4" s="3">
        <f>9+6+1</f>
        <v>16</v>
      </c>
      <c r="I4" s="3">
        <f>7.85*20</f>
        <v>157</v>
      </c>
    </row>
    <row r="5" ht="33" customHeight="1" spans="1:9">
      <c r="A5" s="3">
        <v>2</v>
      </c>
      <c r="B5" s="4" t="s">
        <v>160</v>
      </c>
      <c r="C5" s="3" t="s">
        <v>98</v>
      </c>
      <c r="D5" s="6">
        <f t="shared" ref="D5:D10" si="0">E5*I5/1000</f>
        <v>0.76024</v>
      </c>
      <c r="E5" s="3">
        <f>2.15*3+(1.569+0.965+1.56+0.955+0.577+0.174)*2+2.15+0.6</f>
        <v>20.8</v>
      </c>
      <c r="F5" s="3"/>
      <c r="G5" s="3"/>
      <c r="H5" s="3"/>
      <c r="I5" s="3">
        <v>36.55</v>
      </c>
    </row>
    <row r="6" ht="33" customHeight="1" spans="1:9">
      <c r="A6" s="3">
        <v>3</v>
      </c>
      <c r="B6" s="4" t="s">
        <v>161</v>
      </c>
      <c r="C6" s="3" t="s">
        <v>98</v>
      </c>
      <c r="D6" s="6">
        <f t="shared" si="0"/>
        <v>2.22364192</v>
      </c>
      <c r="E6" s="3">
        <f>84.77-7.829-7.103</f>
        <v>69.838</v>
      </c>
      <c r="F6" s="3"/>
      <c r="G6" s="3"/>
      <c r="H6" s="3"/>
      <c r="I6" s="3">
        <v>31.84</v>
      </c>
    </row>
    <row r="7" ht="33" customHeight="1" spans="1:9">
      <c r="A7" s="3">
        <v>4</v>
      </c>
      <c r="B7" s="4" t="s">
        <v>162</v>
      </c>
      <c r="C7" s="3" t="s">
        <v>98</v>
      </c>
      <c r="D7" s="6">
        <f t="shared" si="0"/>
        <v>2.36613735</v>
      </c>
      <c r="E7" s="3">
        <f>7.649+7.648+6.848+7.097*4+7.101+7.103</f>
        <v>64.737</v>
      </c>
      <c r="F7" s="3"/>
      <c r="G7" s="3"/>
      <c r="H7" s="3"/>
      <c r="I7" s="3">
        <v>36.55</v>
      </c>
    </row>
    <row r="8" ht="33" customHeight="1" spans="1:9">
      <c r="A8" s="3">
        <v>5</v>
      </c>
      <c r="B8" s="4" t="s">
        <v>163</v>
      </c>
      <c r="C8" s="3" t="s">
        <v>98</v>
      </c>
      <c r="D8" s="6">
        <f t="shared" si="0"/>
        <v>1.8708848</v>
      </c>
      <c r="E8" s="3">
        <f>(28.63-0.55)*2+7.446+5.354</f>
        <v>68.96</v>
      </c>
      <c r="F8" s="3"/>
      <c r="G8" s="3"/>
      <c r="H8" s="3"/>
      <c r="I8" s="3">
        <v>27.13</v>
      </c>
    </row>
    <row r="9" ht="34" customHeight="1" spans="1:9">
      <c r="A9" s="3">
        <v>6</v>
      </c>
      <c r="B9" s="4" t="s">
        <v>164</v>
      </c>
      <c r="C9" s="3" t="s">
        <v>98</v>
      </c>
      <c r="D9" s="6">
        <f t="shared" si="0"/>
        <v>0.6126452</v>
      </c>
      <c r="E9" s="3">
        <f>(4.08-0.15+(4.8-0.15)*5)*3+(6.4-0.3)*3+5.215-0.15</f>
        <v>104.905</v>
      </c>
      <c r="F9" s="3"/>
      <c r="G9" s="3"/>
      <c r="H9" s="3"/>
      <c r="I9" s="3">
        <v>5.84</v>
      </c>
    </row>
    <row r="10" ht="24" customHeight="1" spans="1:9">
      <c r="A10" s="3">
        <v>7</v>
      </c>
      <c r="B10" s="4" t="s">
        <v>164</v>
      </c>
      <c r="C10" s="3"/>
      <c r="D10" s="6">
        <f t="shared" si="0"/>
        <v>0.9317136</v>
      </c>
      <c r="E10" s="3">
        <f>(7.649-0.15*2-0.05*4)*3+(6.848-0.15*2-0.05*3)*6+(7.097-0.15*2-0.05*3)*15</f>
        <v>159.54</v>
      </c>
      <c r="F10" s="3"/>
      <c r="G10" s="3"/>
      <c r="H10" s="3"/>
      <c r="I10" s="3">
        <v>5.84</v>
      </c>
    </row>
    <row r="11" ht="24" customHeight="1" spans="1:9">
      <c r="A11" s="3">
        <v>8</v>
      </c>
      <c r="B11" s="4" t="s">
        <v>165</v>
      </c>
      <c r="C11" s="3" t="s">
        <v>98</v>
      </c>
      <c r="D11" s="6">
        <f>E11*F11*H11*I11/1000</f>
        <v>0.049455</v>
      </c>
      <c r="E11" s="3">
        <v>0.45</v>
      </c>
      <c r="F11" s="3">
        <v>0.35</v>
      </c>
      <c r="G11" s="3"/>
      <c r="H11" s="3">
        <v>2</v>
      </c>
      <c r="I11" s="3">
        <f>7.85*20</f>
        <v>157</v>
      </c>
    </row>
    <row r="12" ht="58" customHeight="1" spans="1:9">
      <c r="A12" s="3">
        <v>9</v>
      </c>
      <c r="B12" s="2" t="s">
        <v>166</v>
      </c>
      <c r="C12" s="3" t="s">
        <v>92</v>
      </c>
      <c r="D12" s="6">
        <v>288.63</v>
      </c>
      <c r="E12" s="3"/>
      <c r="F12" s="3"/>
      <c r="G12" s="3"/>
      <c r="H12" s="3"/>
      <c r="I12" s="3"/>
    </row>
    <row r="13" ht="61" customHeight="1" spans="1:9">
      <c r="A13" s="3"/>
      <c r="B13" s="2" t="s">
        <v>167</v>
      </c>
      <c r="C13" s="3" t="s">
        <v>92</v>
      </c>
      <c r="D13" s="6">
        <f>3.88*2.15+4.6*2.15+8.552+5.77+8.509+5.818+2.11+1.089+5.77+8.509+5.818+2.11+1.089</f>
        <v>73.376</v>
      </c>
      <c r="E13" s="3"/>
      <c r="F13" s="3"/>
      <c r="G13" s="3"/>
      <c r="H13" s="3"/>
      <c r="I13" s="3"/>
    </row>
    <row r="14" ht="62" customHeight="1" spans="1:9">
      <c r="A14" s="3"/>
      <c r="B14" s="2" t="s">
        <v>168</v>
      </c>
      <c r="C14" s="3" t="s">
        <v>92</v>
      </c>
      <c r="D14" s="3">
        <f>E14*F14</f>
        <v>23.502375</v>
      </c>
      <c r="E14" s="3">
        <f>28.63-0.55+9.42+7.103+15.107+2.963</f>
        <v>62.673</v>
      </c>
      <c r="F14" s="3">
        <v>0.375</v>
      </c>
      <c r="G14" s="3"/>
      <c r="H14" s="3"/>
      <c r="I14" s="3"/>
    </row>
    <row r="15" ht="34" customHeight="1" spans="1:9">
      <c r="A15" s="1" t="s">
        <v>169</v>
      </c>
      <c r="B15" s="5" t="s">
        <v>170</v>
      </c>
      <c r="C15" s="3" t="s">
        <v>92</v>
      </c>
      <c r="D15" s="3">
        <f>E15*F15</f>
        <v>52.01859</v>
      </c>
      <c r="E15" s="3">
        <f>E14</f>
        <v>62.673</v>
      </c>
      <c r="F15" s="3">
        <v>0.83</v>
      </c>
      <c r="G15" s="3"/>
      <c r="H15" s="3"/>
      <c r="I15" s="3"/>
    </row>
    <row r="16" ht="46" customHeight="1" spans="1:9">
      <c r="A16" s="3"/>
      <c r="B16" s="1" t="s">
        <v>171</v>
      </c>
      <c r="C16" s="3"/>
      <c r="D16" s="3"/>
      <c r="E16" s="3"/>
      <c r="F16" s="3"/>
      <c r="G16" s="3"/>
      <c r="H16" s="3"/>
      <c r="I16" s="3"/>
    </row>
    <row r="17" ht="24" customHeight="1" spans="1:9">
      <c r="A17" s="3">
        <v>1</v>
      </c>
      <c r="B17" s="4" t="s">
        <v>159</v>
      </c>
      <c r="C17" s="3" t="s">
        <v>98</v>
      </c>
      <c r="D17" s="6">
        <f>E17*F17*H17*I17/1000</f>
        <v>0.1413</v>
      </c>
      <c r="E17" s="3">
        <v>0.3</v>
      </c>
      <c r="F17" s="3">
        <v>0.3</v>
      </c>
      <c r="G17" s="3"/>
      <c r="H17" s="3">
        <v>10</v>
      </c>
      <c r="I17" s="3">
        <f>7.85*20</f>
        <v>157</v>
      </c>
    </row>
    <row r="18" ht="24" customHeight="1" spans="1:9">
      <c r="A18" s="3">
        <v>2</v>
      </c>
      <c r="B18" s="4" t="s">
        <v>160</v>
      </c>
      <c r="C18" s="3" t="s">
        <v>98</v>
      </c>
      <c r="D18" s="6">
        <f t="shared" ref="D18:D23" si="1">E18*I18/1000</f>
        <v>0.363307</v>
      </c>
      <c r="E18" s="3">
        <f>(1.732+1.377+0.988+0.607+0.266)*2</f>
        <v>9.94</v>
      </c>
      <c r="F18" s="3"/>
      <c r="G18" s="3"/>
      <c r="H18" s="3"/>
      <c r="I18" s="3">
        <v>36.55</v>
      </c>
    </row>
    <row r="19" ht="24" customHeight="1" spans="1:9">
      <c r="A19" s="3">
        <v>3</v>
      </c>
      <c r="B19" s="4" t="s">
        <v>161</v>
      </c>
      <c r="C19" s="3" t="s">
        <v>98</v>
      </c>
      <c r="D19" s="6">
        <f t="shared" si="1"/>
        <v>1.11586464</v>
      </c>
      <c r="E19" s="3">
        <f>(18-0.1-0.377)*2</f>
        <v>35.046</v>
      </c>
      <c r="F19" s="3"/>
      <c r="G19" s="3"/>
      <c r="H19" s="3"/>
      <c r="I19" s="3">
        <v>31.84</v>
      </c>
    </row>
    <row r="20" ht="24" customHeight="1" spans="1:9">
      <c r="A20" s="3">
        <v>4</v>
      </c>
      <c r="B20" s="4" t="s">
        <v>162</v>
      </c>
      <c r="C20" s="3" t="s">
        <v>98</v>
      </c>
      <c r="D20" s="6">
        <f t="shared" si="1"/>
        <v>1.334075</v>
      </c>
      <c r="E20" s="3">
        <f>7.3*5</f>
        <v>36.5</v>
      </c>
      <c r="F20" s="3"/>
      <c r="G20" s="3"/>
      <c r="H20" s="3"/>
      <c r="I20" s="3">
        <v>36.55</v>
      </c>
    </row>
    <row r="21" ht="24" customHeight="1" spans="1:9">
      <c r="A21" s="3">
        <v>5</v>
      </c>
      <c r="B21" s="4" t="s">
        <v>163</v>
      </c>
      <c r="C21" s="3" t="s">
        <v>98</v>
      </c>
      <c r="D21" s="6">
        <f t="shared" si="1"/>
        <v>0.919707</v>
      </c>
      <c r="E21" s="3">
        <f>(17.4-0.15*3)*2</f>
        <v>33.9</v>
      </c>
      <c r="F21" s="3"/>
      <c r="G21" s="3"/>
      <c r="H21" s="3"/>
      <c r="I21" s="3">
        <v>27.13</v>
      </c>
    </row>
    <row r="22" ht="24" customHeight="1" spans="1:9">
      <c r="A22" s="3">
        <v>6</v>
      </c>
      <c r="B22" s="4" t="s">
        <v>164</v>
      </c>
      <c r="C22" s="3" t="s">
        <v>98</v>
      </c>
      <c r="D22" s="6">
        <f t="shared" si="1"/>
        <v>0.593928</v>
      </c>
      <c r="E22" s="3">
        <f>E21*3</f>
        <v>101.7</v>
      </c>
      <c r="F22" s="3"/>
      <c r="G22" s="3"/>
      <c r="H22" s="3"/>
      <c r="I22" s="3">
        <v>5.84</v>
      </c>
    </row>
    <row r="23" ht="20" customHeight="1" spans="1:9">
      <c r="A23" s="3">
        <v>7</v>
      </c>
      <c r="B23" s="4" t="s">
        <v>164</v>
      </c>
      <c r="C23" s="3"/>
      <c r="D23" s="6">
        <f t="shared" si="1"/>
        <v>0.310688</v>
      </c>
      <c r="E23" s="3">
        <f>(7.1-0.15*2-0.05*3)*8</f>
        <v>53.2</v>
      </c>
      <c r="F23" s="3"/>
      <c r="G23" s="3"/>
      <c r="H23" s="3"/>
      <c r="I23" s="3">
        <v>5.84</v>
      </c>
    </row>
    <row r="24" ht="56" customHeight="1" spans="1:9">
      <c r="A24" s="3">
        <v>8</v>
      </c>
      <c r="B24" s="2" t="s">
        <v>166</v>
      </c>
      <c r="C24" s="3" t="s">
        <v>92</v>
      </c>
      <c r="D24" s="6">
        <v>151.22</v>
      </c>
      <c r="E24" s="3"/>
      <c r="F24" s="3"/>
      <c r="G24" s="3"/>
      <c r="H24" s="3"/>
      <c r="I24" s="3"/>
    </row>
    <row r="25" ht="81" customHeight="1" spans="1:9">
      <c r="A25" s="3"/>
      <c r="B25" s="2" t="s">
        <v>167</v>
      </c>
      <c r="C25" s="3" t="s">
        <v>92</v>
      </c>
      <c r="D25" s="6">
        <f>(6.35+5.06+3.411+1.69)*2</f>
        <v>33.022</v>
      </c>
      <c r="E25" s="3"/>
      <c r="F25" s="3"/>
      <c r="G25" s="3"/>
      <c r="H25" s="3"/>
      <c r="I25" s="3"/>
    </row>
    <row r="26" ht="63" customHeight="1" spans="1:9">
      <c r="A26" s="3"/>
      <c r="B26" s="2" t="s">
        <v>168</v>
      </c>
      <c r="C26" s="3" t="s">
        <v>92</v>
      </c>
      <c r="D26" s="3">
        <f>E26*F26</f>
        <v>12.87</v>
      </c>
      <c r="E26" s="3">
        <f>17.7*2+7.5</f>
        <v>42.9</v>
      </c>
      <c r="F26" s="3">
        <v>0.3</v>
      </c>
      <c r="G26" s="3"/>
      <c r="H26" s="3"/>
      <c r="I26" s="3"/>
    </row>
    <row r="27" ht="45" customHeight="1" spans="1:9">
      <c r="A27" s="1" t="s">
        <v>169</v>
      </c>
      <c r="B27" s="5" t="s">
        <v>170</v>
      </c>
      <c r="C27" s="3" t="s">
        <v>92</v>
      </c>
      <c r="D27" s="3">
        <f>E27*F27</f>
        <v>22.737</v>
      </c>
      <c r="E27" s="3">
        <f>E26</f>
        <v>42.9</v>
      </c>
      <c r="F27" s="3">
        <v>0.53</v>
      </c>
      <c r="G27" s="3"/>
      <c r="H27" s="3"/>
      <c r="I27" s="3"/>
    </row>
    <row r="28" ht="32" customHeight="1" spans="1:9">
      <c r="A28" s="3" t="s">
        <v>172</v>
      </c>
      <c r="B28" s="1" t="s">
        <v>173</v>
      </c>
      <c r="C28" s="3"/>
      <c r="D28" s="3"/>
      <c r="E28" s="3"/>
      <c r="F28" s="3"/>
      <c r="G28" s="3"/>
      <c r="H28" s="3"/>
      <c r="I28" s="3"/>
    </row>
    <row r="29" ht="30" customHeight="1" spans="1:9">
      <c r="A29" s="3">
        <v>1</v>
      </c>
      <c r="B29" s="4" t="s">
        <v>174</v>
      </c>
      <c r="C29" s="3" t="s">
        <v>98</v>
      </c>
      <c r="D29" s="6">
        <f>E29*F29*H29*I29/1000</f>
        <v>0.010205</v>
      </c>
      <c r="E29" s="3">
        <v>0.1</v>
      </c>
      <c r="F29" s="3">
        <v>0.1</v>
      </c>
      <c r="G29" s="3"/>
      <c r="H29" s="3">
        <v>13</v>
      </c>
      <c r="I29" s="3">
        <v>78.5</v>
      </c>
    </row>
    <row r="30" ht="60" customHeight="1" spans="1:9">
      <c r="A30" s="3"/>
      <c r="B30" s="5" t="s">
        <v>175</v>
      </c>
      <c r="C30" s="3" t="s">
        <v>98</v>
      </c>
      <c r="D30" s="6">
        <f>E30*H30*I30/1000</f>
        <v>0.53339</v>
      </c>
      <c r="E30" s="3">
        <v>2.75</v>
      </c>
      <c r="F30" s="3"/>
      <c r="G30" s="3"/>
      <c r="H30" s="3">
        <v>13</v>
      </c>
      <c r="I30" s="3">
        <v>14.92</v>
      </c>
    </row>
    <row r="31" ht="39" customHeight="1" spans="1:9">
      <c r="A31" s="3"/>
      <c r="B31" s="5" t="s">
        <v>175</v>
      </c>
      <c r="C31" s="3" t="s">
        <v>98</v>
      </c>
      <c r="D31" s="6">
        <f>E31*I31/1000</f>
        <v>0.49609</v>
      </c>
      <c r="E31" s="4">
        <f>15.75+4.925*2+(2.75-0.2)*3</f>
        <v>33.25</v>
      </c>
      <c r="F31" s="3"/>
      <c r="G31" s="3"/>
      <c r="H31" s="3"/>
      <c r="I31" s="3">
        <v>14.92</v>
      </c>
    </row>
    <row r="32" ht="46" customHeight="1" spans="1:9">
      <c r="A32" s="3"/>
      <c r="B32" s="4" t="s">
        <v>176</v>
      </c>
      <c r="C32" s="3" t="s">
        <v>92</v>
      </c>
      <c r="D32" s="6">
        <v>17.82</v>
      </c>
      <c r="E32" s="3"/>
      <c r="F32" s="3"/>
      <c r="G32" s="3"/>
      <c r="H32" s="3"/>
      <c r="I32" s="3"/>
    </row>
    <row r="33" ht="84" customHeight="1" spans="1:9">
      <c r="A33" s="3"/>
      <c r="B33" s="5" t="s">
        <v>177</v>
      </c>
      <c r="C33" s="3" t="s">
        <v>92</v>
      </c>
      <c r="D33" s="6">
        <f>E33*F33</f>
        <v>45.78525</v>
      </c>
      <c r="E33" s="3">
        <v>16.15</v>
      </c>
      <c r="F33" s="3">
        <v>2.835</v>
      </c>
      <c r="G33" s="3"/>
      <c r="H33" s="3"/>
      <c r="I33" s="3"/>
    </row>
    <row r="34" ht="81" customHeight="1" spans="1:9">
      <c r="A34" s="3"/>
      <c r="B34" s="5" t="s">
        <v>178</v>
      </c>
      <c r="C34" s="3" t="s">
        <v>92</v>
      </c>
      <c r="D34" s="3">
        <f>E34*F34</f>
        <v>15.15915</v>
      </c>
      <c r="E34" s="3">
        <f>5.39+3.75+3.125*2</f>
        <v>15.39</v>
      </c>
      <c r="F34" s="3">
        <f>0.615+0.37</f>
        <v>0.985</v>
      </c>
      <c r="G34" s="3"/>
      <c r="H34" s="3"/>
      <c r="I34" s="3"/>
    </row>
    <row r="35" ht="52" customHeight="1" spans="1:9">
      <c r="A35" s="7" t="s">
        <v>179</v>
      </c>
      <c r="B35" s="7" t="s">
        <v>180</v>
      </c>
      <c r="C35" s="8" t="s">
        <v>92</v>
      </c>
      <c r="D35" s="9">
        <f>0.8*1.4</f>
        <v>1.12</v>
      </c>
      <c r="E35" s="3"/>
      <c r="F35" s="3"/>
      <c r="G35" s="3"/>
      <c r="H35" s="3"/>
      <c r="I35" s="3"/>
    </row>
    <row r="36" ht="52" customHeight="1" spans="1:9">
      <c r="A36" s="7" t="s">
        <v>181</v>
      </c>
      <c r="B36" s="7" t="s">
        <v>182</v>
      </c>
      <c r="C36" s="8" t="s">
        <v>183</v>
      </c>
      <c r="D36" s="9">
        <f>D35*0.15</f>
        <v>0.168</v>
      </c>
      <c r="E36" s="3"/>
      <c r="F36" s="3"/>
      <c r="G36" s="3"/>
      <c r="H36" s="3"/>
      <c r="I36" s="3"/>
    </row>
    <row r="37" ht="61" customHeight="1" spans="1:9">
      <c r="A37" s="7" t="s">
        <v>184</v>
      </c>
      <c r="B37" s="7" t="s">
        <v>185</v>
      </c>
      <c r="C37" s="8" t="s">
        <v>183</v>
      </c>
      <c r="D37" s="9">
        <f>D35*0.1</f>
        <v>0.112</v>
      </c>
      <c r="E37" s="3"/>
      <c r="F37" s="3"/>
      <c r="G37" s="3"/>
      <c r="H37" s="3"/>
      <c r="I37" s="3"/>
    </row>
    <row r="38" ht="61" customHeight="1" spans="1:9">
      <c r="A38" s="7" t="s">
        <v>186</v>
      </c>
      <c r="B38" s="7" t="s">
        <v>187</v>
      </c>
      <c r="C38" s="8" t="s">
        <v>183</v>
      </c>
      <c r="D38" s="9">
        <f>0.22*1.2</f>
        <v>0.264</v>
      </c>
      <c r="E38" s="3"/>
      <c r="F38" s="3"/>
      <c r="G38" s="3"/>
      <c r="H38" s="3"/>
      <c r="I38" s="3"/>
    </row>
    <row r="39" ht="61" customHeight="1" spans="1:9">
      <c r="A39" s="7" t="s">
        <v>188</v>
      </c>
      <c r="B39" s="7" t="s">
        <v>189</v>
      </c>
      <c r="C39" s="8" t="s">
        <v>190</v>
      </c>
      <c r="D39" s="10">
        <f>1.2*3</f>
        <v>3.6</v>
      </c>
      <c r="E39" s="3"/>
      <c r="F39" s="3"/>
      <c r="G39" s="3"/>
      <c r="H39" s="3"/>
      <c r="I39" s="3"/>
    </row>
    <row r="40" ht="61" customHeight="1" spans="1:9">
      <c r="A40" s="7" t="s">
        <v>188</v>
      </c>
      <c r="B40" s="7" t="s">
        <v>191</v>
      </c>
      <c r="C40" s="8" t="s">
        <v>92</v>
      </c>
      <c r="D40" s="10">
        <f>1.2*0.22*2</f>
        <v>0.528</v>
      </c>
      <c r="E40" s="3"/>
      <c r="F40" s="3"/>
      <c r="G40" s="3"/>
      <c r="H40" s="3"/>
      <c r="I40" s="3"/>
    </row>
    <row r="41" ht="61" customHeight="1" spans="1:9">
      <c r="A41" s="7" t="s">
        <v>192</v>
      </c>
      <c r="B41" s="7" t="s">
        <v>193</v>
      </c>
      <c r="C41" s="8" t="s">
        <v>92</v>
      </c>
      <c r="D41" s="10">
        <f>0.125*1.2*3</f>
        <v>0.45</v>
      </c>
      <c r="E41" s="3"/>
      <c r="F41" s="3"/>
      <c r="G41" s="3"/>
      <c r="H41" s="3"/>
      <c r="I41" s="3"/>
    </row>
    <row r="42" ht="61" customHeight="1" spans="1:9">
      <c r="A42" s="7" t="s">
        <v>194</v>
      </c>
      <c r="B42" s="7" t="s">
        <v>195</v>
      </c>
      <c r="C42" s="8" t="s">
        <v>98</v>
      </c>
      <c r="D42" s="11">
        <f>E42*H42*I42/1000</f>
        <v>0.004319</v>
      </c>
      <c r="E42" s="3">
        <v>0.35</v>
      </c>
      <c r="F42" s="3"/>
      <c r="G42" s="3"/>
      <c r="H42" s="3">
        <f>10*2</f>
        <v>20</v>
      </c>
      <c r="I42" s="3">
        <v>0.617</v>
      </c>
    </row>
    <row r="43" ht="20" customHeight="1" spans="1:9">
      <c r="A43" s="3" t="s">
        <v>196</v>
      </c>
      <c r="B43" s="1" t="s">
        <v>173</v>
      </c>
      <c r="C43" s="3"/>
      <c r="D43" s="3"/>
      <c r="E43" s="3"/>
      <c r="F43" s="3"/>
      <c r="G43" s="3"/>
      <c r="H43" s="3"/>
      <c r="I43" s="3"/>
    </row>
    <row r="44" ht="33" customHeight="1" spans="1:9">
      <c r="A44" s="3">
        <v>1</v>
      </c>
      <c r="B44" s="4" t="s">
        <v>174</v>
      </c>
      <c r="C44" s="3" t="s">
        <v>98</v>
      </c>
      <c r="D44" s="6">
        <f>E44*F44*H44*I44/1000</f>
        <v>0.010205</v>
      </c>
      <c r="E44" s="3">
        <v>0.1</v>
      </c>
      <c r="F44" s="3">
        <v>0.1</v>
      </c>
      <c r="G44" s="3"/>
      <c r="H44" s="3">
        <v>13</v>
      </c>
      <c r="I44" s="3">
        <v>78.5</v>
      </c>
    </row>
    <row r="45" ht="32" customHeight="1" spans="1:9">
      <c r="A45" s="3"/>
      <c r="B45" s="5" t="s">
        <v>175</v>
      </c>
      <c r="C45" s="3" t="s">
        <v>98</v>
      </c>
      <c r="D45" s="6">
        <f>E45*H45*I45/1000</f>
        <v>0.53339</v>
      </c>
      <c r="E45" s="3">
        <v>2.75</v>
      </c>
      <c r="F45" s="3"/>
      <c r="G45" s="3"/>
      <c r="H45" s="3">
        <v>13</v>
      </c>
      <c r="I45" s="3">
        <v>14.92</v>
      </c>
    </row>
    <row r="46" ht="29" customHeight="1" spans="1:9">
      <c r="A46" s="3"/>
      <c r="B46" s="5" t="s">
        <v>175</v>
      </c>
      <c r="C46" s="3" t="s">
        <v>98</v>
      </c>
      <c r="D46" s="6">
        <f>E46*I46/1000</f>
        <v>0.511383</v>
      </c>
      <c r="E46" s="4">
        <f>16.25+5.15*2+(2.775-0.2)*3</f>
        <v>34.275</v>
      </c>
      <c r="F46" s="3"/>
      <c r="G46" s="3"/>
      <c r="H46" s="3"/>
      <c r="I46" s="3">
        <v>14.92</v>
      </c>
    </row>
    <row r="47" ht="29" customHeight="1" spans="1:9">
      <c r="A47" s="3"/>
      <c r="B47" s="4" t="s">
        <v>176</v>
      </c>
      <c r="C47" s="3" t="s">
        <v>92</v>
      </c>
      <c r="D47" s="6">
        <v>18.678</v>
      </c>
      <c r="E47" s="3"/>
      <c r="F47" s="3"/>
      <c r="G47" s="3"/>
      <c r="H47" s="3"/>
      <c r="I47" s="3"/>
    </row>
    <row r="48" ht="63.75" spans="1:9">
      <c r="A48" s="3"/>
      <c r="B48" s="5" t="s">
        <v>197</v>
      </c>
      <c r="C48" s="3" t="s">
        <v>92</v>
      </c>
      <c r="D48" s="6">
        <f>E48*F48</f>
        <v>47.20275</v>
      </c>
      <c r="E48" s="3">
        <v>16.65</v>
      </c>
      <c r="F48" s="3">
        <v>2.835</v>
      </c>
      <c r="G48" s="3"/>
      <c r="H48" s="3"/>
      <c r="I48" s="3"/>
    </row>
    <row r="49" ht="37.5" spans="1:9">
      <c r="A49" s="3"/>
      <c r="B49" s="5" t="s">
        <v>178</v>
      </c>
      <c r="C49" s="3" t="s">
        <v>92</v>
      </c>
      <c r="D49" s="3">
        <f>E49*F49</f>
        <v>8.9131</v>
      </c>
      <c r="E49" s="3">
        <f>17.86-1.2</f>
        <v>16.66</v>
      </c>
      <c r="F49" s="3">
        <f>0.165+0.37</f>
        <v>0.535</v>
      </c>
      <c r="G49" s="3"/>
      <c r="H49" s="3"/>
      <c r="I49" s="3"/>
    </row>
    <row r="50" ht="22.5" spans="1:9">
      <c r="A50" s="7" t="s">
        <v>179</v>
      </c>
      <c r="B50" s="7" t="s">
        <v>180</v>
      </c>
      <c r="C50" s="8" t="s">
        <v>92</v>
      </c>
      <c r="D50" s="9">
        <f>E50*F50</f>
        <v>1.625</v>
      </c>
      <c r="E50" s="3">
        <v>1.25</v>
      </c>
      <c r="F50" s="3">
        <v>1.3</v>
      </c>
      <c r="G50" s="3"/>
      <c r="H50" s="3"/>
      <c r="I50" s="3"/>
    </row>
    <row r="51" ht="22.5" spans="1:9">
      <c r="A51" s="7" t="s">
        <v>181</v>
      </c>
      <c r="B51" s="7" t="s">
        <v>182</v>
      </c>
      <c r="C51" s="8" t="s">
        <v>183</v>
      </c>
      <c r="D51" s="9">
        <f>D50*0.15</f>
        <v>0.24375</v>
      </c>
      <c r="E51" s="3"/>
      <c r="F51" s="3"/>
      <c r="G51" s="3"/>
      <c r="H51" s="3"/>
      <c r="I51" s="3"/>
    </row>
    <row r="52" ht="63" customHeight="1" spans="1:9">
      <c r="A52" s="7" t="s">
        <v>184</v>
      </c>
      <c r="B52" s="7" t="s">
        <v>185</v>
      </c>
      <c r="C52" s="8" t="s">
        <v>183</v>
      </c>
      <c r="D52" s="9">
        <f>D50*0.1</f>
        <v>0.1625</v>
      </c>
      <c r="E52" s="3"/>
      <c r="F52" s="3"/>
      <c r="G52" s="3"/>
      <c r="H52" s="3"/>
      <c r="I52" s="3"/>
    </row>
    <row r="53" ht="65" customHeight="1" spans="1:9">
      <c r="A53" s="7" t="s">
        <v>198</v>
      </c>
      <c r="B53" s="7" t="s">
        <v>199</v>
      </c>
      <c r="C53" s="8" t="s">
        <v>190</v>
      </c>
      <c r="D53" s="10">
        <f>1.1</f>
        <v>1.1</v>
      </c>
      <c r="E53" s="3"/>
      <c r="F53" s="3"/>
      <c r="G53" s="3"/>
      <c r="H53" s="3"/>
      <c r="I53" s="3"/>
    </row>
    <row r="54" ht="45" spans="1:9">
      <c r="A54" s="7" t="s">
        <v>200</v>
      </c>
      <c r="B54" s="7" t="s">
        <v>201</v>
      </c>
      <c r="C54" s="8" t="s">
        <v>92</v>
      </c>
      <c r="D54" s="10">
        <f>1.1*1.155</f>
        <v>1.2705</v>
      </c>
      <c r="E54" s="3"/>
      <c r="F54" s="3"/>
      <c r="G54" s="3"/>
      <c r="H54" s="3"/>
      <c r="I54" s="3"/>
    </row>
    <row r="55" ht="59" customHeight="1" spans="1:9">
      <c r="A55" s="7" t="s">
        <v>202</v>
      </c>
      <c r="B55" s="7" t="s">
        <v>203</v>
      </c>
      <c r="C55" s="8" t="s">
        <v>92</v>
      </c>
      <c r="D55" s="10">
        <f>0.065*1.1</f>
        <v>0.0715</v>
      </c>
      <c r="E55" s="3"/>
      <c r="F55" s="3"/>
      <c r="G55" s="3"/>
      <c r="H55" s="3"/>
      <c r="I55" s="3"/>
    </row>
    <row r="56" spans="1:9">
      <c r="A56" s="3" t="s">
        <v>204</v>
      </c>
      <c r="B56" s="1" t="s">
        <v>173</v>
      </c>
      <c r="C56" s="3"/>
      <c r="D56" s="3"/>
      <c r="E56" s="3"/>
      <c r="F56" s="3"/>
      <c r="G56" s="3"/>
      <c r="H56" s="3"/>
      <c r="I56" s="3"/>
    </row>
    <row r="57" spans="1:9">
      <c r="A57" s="3">
        <v>1</v>
      </c>
      <c r="B57" s="4" t="s">
        <v>174</v>
      </c>
      <c r="C57" s="3" t="s">
        <v>98</v>
      </c>
      <c r="D57" s="6">
        <f>E57*F57*H57*I57/1000</f>
        <v>0.010205</v>
      </c>
      <c r="E57" s="3">
        <v>0.1</v>
      </c>
      <c r="F57" s="3">
        <v>0.1</v>
      </c>
      <c r="G57" s="3"/>
      <c r="H57" s="3">
        <v>13</v>
      </c>
      <c r="I57" s="3">
        <v>78.5</v>
      </c>
    </row>
    <row r="58" ht="24.75" spans="1:9">
      <c r="A58" s="3"/>
      <c r="B58" s="5" t="s">
        <v>175</v>
      </c>
      <c r="C58" s="3" t="s">
        <v>98</v>
      </c>
      <c r="D58" s="6">
        <f>E58*H58*I58/1000</f>
        <v>0.53339</v>
      </c>
      <c r="E58" s="3">
        <v>2.75</v>
      </c>
      <c r="F58" s="3"/>
      <c r="G58" s="3"/>
      <c r="H58" s="3">
        <v>13</v>
      </c>
      <c r="I58" s="3">
        <v>14.92</v>
      </c>
    </row>
    <row r="59" ht="24.75" spans="1:9">
      <c r="A59" s="3"/>
      <c r="B59" s="5" t="s">
        <v>175</v>
      </c>
      <c r="C59" s="3" t="s">
        <v>98</v>
      </c>
      <c r="D59" s="6">
        <f>E59*I59/1000</f>
        <v>0.4880332</v>
      </c>
      <c r="E59" s="4">
        <f>15.68+4.89*2+(2.55-0.2)*3+0.2</f>
        <v>32.71</v>
      </c>
      <c r="F59" s="3"/>
      <c r="G59" s="3"/>
      <c r="H59" s="3"/>
      <c r="I59" s="3">
        <v>14.92</v>
      </c>
    </row>
    <row r="60" ht="26" customHeight="1" spans="1:9">
      <c r="A60" s="3"/>
      <c r="B60" s="4" t="s">
        <v>176</v>
      </c>
      <c r="C60" s="3" t="s">
        <v>92</v>
      </c>
      <c r="D60" s="6">
        <v>17.37</v>
      </c>
      <c r="E60" s="3"/>
      <c r="F60" s="3"/>
      <c r="G60" s="3"/>
      <c r="H60" s="3"/>
      <c r="I60" s="3"/>
    </row>
    <row r="61" ht="63.75" spans="1:9">
      <c r="A61" s="3"/>
      <c r="B61" s="5" t="s">
        <v>197</v>
      </c>
      <c r="C61" s="3" t="s">
        <v>92</v>
      </c>
      <c r="D61" s="6">
        <f>E61*F61</f>
        <v>36.653715</v>
      </c>
      <c r="E61" s="3">
        <f>16.079-2.95-0.2</f>
        <v>12.929</v>
      </c>
      <c r="F61" s="3">
        <v>2.835</v>
      </c>
      <c r="G61" s="3"/>
      <c r="H61" s="3"/>
      <c r="I61" s="3"/>
    </row>
    <row r="62" ht="37.5" spans="1:9">
      <c r="A62" s="3"/>
      <c r="B62" s="5" t="s">
        <v>178</v>
      </c>
      <c r="C62" s="3" t="s">
        <v>92</v>
      </c>
      <c r="D62" s="3">
        <f>E62*F62</f>
        <v>9.98049</v>
      </c>
      <c r="E62" s="3">
        <f>5.36+2.945+2.269+1.67+0.47</f>
        <v>12.714</v>
      </c>
      <c r="F62" s="3">
        <f>0.465+0.32</f>
        <v>0.785</v>
      </c>
      <c r="G62" s="3"/>
      <c r="H62" s="3"/>
      <c r="I62" s="3"/>
    </row>
    <row r="63" ht="22.5" spans="1:9">
      <c r="A63" s="7" t="s">
        <v>179</v>
      </c>
      <c r="B63" s="7" t="s">
        <v>180</v>
      </c>
      <c r="C63" s="8" t="s">
        <v>92</v>
      </c>
      <c r="D63" s="9">
        <f>0.8*1.25</f>
        <v>1</v>
      </c>
      <c r="E63" s="3"/>
      <c r="F63" s="3"/>
      <c r="G63" s="3"/>
      <c r="H63" s="3"/>
      <c r="I63" s="3"/>
    </row>
    <row r="64" ht="36" customHeight="1" spans="1:9">
      <c r="A64" s="7" t="s">
        <v>181</v>
      </c>
      <c r="B64" s="7" t="s">
        <v>182</v>
      </c>
      <c r="C64" s="8" t="s">
        <v>183</v>
      </c>
      <c r="D64" s="9">
        <f>D63*0.15</f>
        <v>0.15</v>
      </c>
      <c r="E64" s="3"/>
      <c r="F64" s="3"/>
      <c r="G64" s="3"/>
      <c r="H64" s="3"/>
      <c r="I64" s="3"/>
    </row>
    <row r="65" ht="69" customHeight="1" spans="1:9">
      <c r="A65" s="7" t="s">
        <v>184</v>
      </c>
      <c r="B65" s="7" t="s">
        <v>185</v>
      </c>
      <c r="C65" s="8" t="s">
        <v>183</v>
      </c>
      <c r="D65" s="9">
        <f>D63*0.1</f>
        <v>0.1</v>
      </c>
      <c r="E65" s="3"/>
      <c r="F65" s="3"/>
      <c r="G65" s="3"/>
      <c r="H65" s="3"/>
      <c r="I65" s="3"/>
    </row>
    <row r="66" ht="59" customHeight="1" spans="1:9">
      <c r="A66" s="7" t="s">
        <v>186</v>
      </c>
      <c r="B66" s="7" t="s">
        <v>187</v>
      </c>
      <c r="C66" s="8" t="s">
        <v>183</v>
      </c>
      <c r="D66" s="9">
        <f>0.161*1.05</f>
        <v>0.16905</v>
      </c>
      <c r="E66" s="3"/>
      <c r="F66" s="3"/>
      <c r="G66" s="3"/>
      <c r="H66" s="3"/>
      <c r="I66" s="3"/>
    </row>
    <row r="67" ht="58" customHeight="1" spans="1:9">
      <c r="A67" s="7" t="s">
        <v>188</v>
      </c>
      <c r="B67" s="7" t="s">
        <v>205</v>
      </c>
      <c r="C67" s="8" t="s">
        <v>190</v>
      </c>
      <c r="D67" s="10">
        <f>1.05*3</f>
        <v>3.15</v>
      </c>
      <c r="E67" s="3"/>
      <c r="F67" s="3"/>
      <c r="G67" s="3"/>
      <c r="H67" s="3"/>
      <c r="I67" s="3"/>
    </row>
    <row r="68" ht="57" customHeight="1" spans="1:9">
      <c r="A68" s="7" t="s">
        <v>188</v>
      </c>
      <c r="B68" s="7" t="s">
        <v>206</v>
      </c>
      <c r="C68" s="8" t="s">
        <v>92</v>
      </c>
      <c r="D68" s="10">
        <f>1.05*0.295*2</f>
        <v>0.6195</v>
      </c>
      <c r="E68" s="3"/>
      <c r="F68" s="3"/>
      <c r="G68" s="3"/>
      <c r="H68" s="3"/>
      <c r="I68" s="3"/>
    </row>
    <row r="69" ht="65" customHeight="1" spans="1:9">
      <c r="A69" s="7" t="s">
        <v>192</v>
      </c>
      <c r="B69" s="7" t="s">
        <v>207</v>
      </c>
      <c r="C69" s="8" t="s">
        <v>92</v>
      </c>
      <c r="D69" s="10">
        <f>0.075*1.05*3</f>
        <v>0.23625</v>
      </c>
      <c r="E69" s="3"/>
      <c r="F69" s="3"/>
      <c r="G69" s="3"/>
      <c r="H69" s="3"/>
      <c r="I69" s="3"/>
    </row>
    <row r="70" ht="30" customHeight="1" spans="1:9">
      <c r="A70" s="7" t="s">
        <v>194</v>
      </c>
      <c r="B70" s="7" t="s">
        <v>195</v>
      </c>
      <c r="C70" s="8" t="s">
        <v>98</v>
      </c>
      <c r="D70" s="11">
        <f>E70*H70*I70/1000</f>
        <v>0.0038871</v>
      </c>
      <c r="E70" s="3">
        <v>0.35</v>
      </c>
      <c r="F70" s="3"/>
      <c r="G70" s="3"/>
      <c r="H70" s="3">
        <f>9*2</f>
        <v>18</v>
      </c>
      <c r="I70" s="3">
        <v>0.617</v>
      </c>
    </row>
  </sheetData>
  <autoFilter xmlns:etc="http://www.wps.cn/officeDocument/2017/etCustomData" ref="A2:I70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G6" sqref="G6"/>
    </sheetView>
  </sheetViews>
  <sheetFormatPr defaultColWidth="9.14285714285714" defaultRowHeight="12.75"/>
  <cols>
    <col min="1" max="1" width="13.7142857142857" customWidth="1"/>
    <col min="2" max="2" width="40" customWidth="1"/>
    <col min="4" max="4" width="11.8571428571429" customWidth="1"/>
  </cols>
  <sheetData>
    <row r="1" ht="36" customHeight="1" spans="1:10">
      <c r="A1" s="1" t="s">
        <v>1</v>
      </c>
      <c r="B1" s="2" t="s">
        <v>45</v>
      </c>
      <c r="C1" s="1" t="s">
        <v>82</v>
      </c>
      <c r="D1" s="1" t="s">
        <v>113</v>
      </c>
      <c r="E1" s="1" t="s">
        <v>153</v>
      </c>
      <c r="F1" s="1" t="s">
        <v>154</v>
      </c>
      <c r="G1" s="1" t="s">
        <v>155</v>
      </c>
      <c r="H1" s="1" t="s">
        <v>156</v>
      </c>
      <c r="I1" s="1" t="s">
        <v>157</v>
      </c>
      <c r="J1" s="3"/>
    </row>
    <row r="2" ht="40" customHeight="1" spans="1:10">
      <c r="A2" s="3">
        <v>1</v>
      </c>
      <c r="B2" s="1" t="s">
        <v>123</v>
      </c>
      <c r="C2" s="4" t="s">
        <v>208</v>
      </c>
      <c r="D2" s="3"/>
      <c r="E2" s="3"/>
      <c r="F2" s="3"/>
      <c r="G2" s="3"/>
      <c r="H2" s="3"/>
      <c r="I2" s="3"/>
      <c r="J2" s="3"/>
    </row>
    <row r="3" ht="71" customHeight="1" spans="1:10">
      <c r="A3" s="1" t="s">
        <v>123</v>
      </c>
      <c r="B3" s="5" t="s">
        <v>209</v>
      </c>
      <c r="C3" s="3" t="s">
        <v>92</v>
      </c>
      <c r="D3" s="3">
        <f>2.88*2.88*14</f>
        <v>116.1216</v>
      </c>
      <c r="E3" s="3"/>
      <c r="F3" s="3"/>
      <c r="G3" s="3"/>
      <c r="H3" s="3"/>
      <c r="I3" s="3"/>
      <c r="J3" s="3"/>
    </row>
    <row r="4" ht="62" customHeight="1" spans="1:10">
      <c r="A4" s="1" t="s">
        <v>127</v>
      </c>
      <c r="B4" s="5" t="s">
        <v>210</v>
      </c>
      <c r="C4" s="3" t="s">
        <v>92</v>
      </c>
      <c r="D4" s="3">
        <f>2.35*0.6*4*14</f>
        <v>78.96</v>
      </c>
      <c r="E4" s="3"/>
      <c r="F4" s="3"/>
      <c r="G4" s="3"/>
      <c r="H4" s="3"/>
      <c r="I4" s="3"/>
      <c r="J4" s="3"/>
    </row>
    <row r="5" ht="57" customHeight="1" spans="1:10">
      <c r="A5" s="1" t="s">
        <v>130</v>
      </c>
      <c r="B5" s="5" t="s">
        <v>211</v>
      </c>
      <c r="C5" s="3" t="s">
        <v>92</v>
      </c>
      <c r="D5" s="3">
        <f>3.41*4.6</f>
        <v>15.686</v>
      </c>
      <c r="E5" s="3"/>
      <c r="F5" s="3"/>
      <c r="G5" s="3"/>
      <c r="H5" s="3"/>
      <c r="I5" s="3"/>
      <c r="J5" s="3"/>
    </row>
    <row r="6" ht="78" customHeight="1" spans="1:10">
      <c r="A6" s="3"/>
      <c r="B6" s="2" t="s">
        <v>212</v>
      </c>
      <c r="C6" s="3" t="s">
        <v>92</v>
      </c>
      <c r="D6" s="3">
        <f>(3.01*0.755+1.81*0.755)*2</f>
        <v>7.2782</v>
      </c>
      <c r="E6" s="3"/>
      <c r="F6" s="3"/>
      <c r="G6" s="3"/>
      <c r="H6" s="3"/>
      <c r="I6" s="3"/>
      <c r="J6" s="3"/>
    </row>
    <row r="7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目录</vt:lpstr>
      <vt:lpstr>结算汇总表</vt:lpstr>
      <vt:lpstr>结算明细表</vt:lpstr>
      <vt:lpstr>合同价</vt:lpstr>
      <vt:lpstr>车库雨篷</vt:lpstr>
      <vt:lpstr>采光井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dcterms:created xsi:type="dcterms:W3CDTF">2020-11-19T09:45:00Z</dcterms:created>
  <dcterms:modified xsi:type="dcterms:W3CDTF">2025-06-19T03:08:50Z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5FEA40E1A1D44997A0D519FDF58007FC_13</vt:lpwstr>
  </property>
</Properties>
</file>