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36" firstSheet="1" activeTab="5"/>
  </bookViews>
  <sheets>
    <sheet name="Sheet2" sheetId="20" state="hidden" r:id="rId1"/>
    <sheet name="01汇总表" sheetId="9" r:id="rId2"/>
    <sheet name="Sheet1" sheetId="19" state="hidden" r:id="rId3"/>
    <sheet name="02公区精装土建工程清单" sheetId="12" r:id="rId4"/>
    <sheet name="03天逸项目配套用房精装土建工程清单" sheetId="30" r:id="rId5"/>
    <sheet name="04公区及配套用房精装安装工程清单" sheetId="31" r:id="rId6"/>
    <sheet name="门头钢结构工程量计算" sheetId="13" state="hidden" r:id="rId7"/>
  </sheets>
  <definedNames>
    <definedName name="_xlnm._FilterDatabase" localSheetId="6" hidden="1">门头钢结构工程量计算!$A$2:$G$22</definedName>
    <definedName name="_xlnm._FilterDatabase" localSheetId="3" hidden="1">'02公区精装土建工程清单'!$A$6:$V$57</definedName>
    <definedName name="_xlnm._FilterDatabase" localSheetId="4" hidden="1">'03天逸项目配套用房精装土建工程清单'!$A$4:$T$30</definedName>
    <definedName name="_xlnm._FilterDatabase" localSheetId="5" hidden="1">'04公区及配套用房精装安装工程清单'!$A$1:$R$68</definedName>
    <definedName name="_xlnm.Print_Titles" localSheetId="3">'02公区精装土建工程清单'!$1:$5</definedName>
    <definedName name="_xlnm.Print_Area" localSheetId="3">'02公区精装土建工程清单'!$A$1:$Q$57</definedName>
    <definedName name="_xlnm.Print_Area" localSheetId="1">'01汇总表'!$A$1:$F$13</definedName>
    <definedName name="_xlnm.Print_Area" localSheetId="2">Sheet1!$A$1:$I$53</definedName>
    <definedName name="_xlnm.Print_Area" localSheetId="0">Sheet2!$A$1:$I$55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89A999F47824457889A425291FC5AE80"/>
        <xdr:cNvPicPr>
          <a:picLocks noChangeAspect="1"/>
        </xdr:cNvPicPr>
      </xdr:nvPicPr>
      <xdr:blipFill>
        <a:blip r:embed="rId1"/>
        <a:stretch>
          <a:fillRect/>
        </a:stretch>
      </xdr:blipFill>
      <xdr:spPr>
        <a:xfrm>
          <a:off x="8415655" y="3911600"/>
          <a:ext cx="10372725" cy="7753350"/>
        </a:xfrm>
        <a:prstGeom prst="rect">
          <a:avLst/>
        </a:prstGeom>
        <a:noFill/>
        <a:ln w="9525">
          <a:noFill/>
        </a:ln>
      </xdr:spPr>
    </xdr:pic>
  </etc:cellImage>
</etc:cellImages>
</file>

<file path=xl/sharedStrings.xml><?xml version="1.0" encoding="utf-8"?>
<sst xmlns="http://schemas.openxmlformats.org/spreadsheetml/2006/main" count="656" uniqueCount="203">
  <si>
    <t>价格汇总表（洛阳市洛龙区天逸项目公区装修工程）</t>
  </si>
  <si>
    <t>序 号</t>
  </si>
  <si>
    <t>项目名称</t>
  </si>
  <si>
    <t>单位</t>
  </si>
  <si>
    <t>含税9%
金额 (元)</t>
  </si>
  <si>
    <t>含税9%金额
合计(元)</t>
  </si>
  <si>
    <t>备注</t>
  </si>
  <si>
    <t>一</t>
  </si>
  <si>
    <t>公区精装土建</t>
  </si>
  <si>
    <t>/</t>
  </si>
  <si>
    <t>地面</t>
  </si>
  <si>
    <t>项</t>
  </si>
  <si>
    <t>墙面</t>
  </si>
  <si>
    <t>天棚</t>
  </si>
  <si>
    <t>其他</t>
  </si>
  <si>
    <t>二</t>
  </si>
  <si>
    <t>配套用房精装土建</t>
  </si>
  <si>
    <t>三</t>
  </si>
  <si>
    <t>公区及配套用房精装安装</t>
  </si>
  <si>
    <t>含税9%总金额(元)</t>
  </si>
  <si>
    <t>价格清单（天逸项目高层公区精装装饰工程--土建）（装饰部分）</t>
  </si>
  <si>
    <t>工程名称：天逸项目公区精装装饰工程--土建</t>
  </si>
  <si>
    <t>序号</t>
  </si>
  <si>
    <t>工程项目名称</t>
  </si>
  <si>
    <t>工程内容</t>
  </si>
  <si>
    <t>工程量
g</t>
  </si>
  <si>
    <t>西塔楼</t>
  </si>
  <si>
    <t>东塔楼</t>
  </si>
  <si>
    <t>其中：各子项构成（元）</t>
  </si>
  <si>
    <t>含税综合单价(元)
f=(a+b+c+d+e)</t>
  </si>
  <si>
    <t>合价(元)=g*f</t>
  </si>
  <si>
    <t>备 注
（品牌/厂家）</t>
  </si>
  <si>
    <t>人工费
a</t>
  </si>
  <si>
    <t>含损耗主材费小计</t>
  </si>
  <si>
    <t>主材费</t>
  </si>
  <si>
    <t>主材损耗率</t>
  </si>
  <si>
    <t>机械、辅材及其他c</t>
  </si>
  <si>
    <t>管理费及利润
d=(a+b+c)*费率</t>
  </si>
  <si>
    <t>税金
e=(a+b+c+d)*费率</t>
  </si>
  <si>
    <t>b=x*（1+y）</t>
  </si>
  <si>
    <t>x</t>
  </si>
  <si>
    <t xml:space="preserve"> y</t>
  </si>
  <si>
    <t>地下大堂（侯梯厅）地面</t>
  </si>
  <si>
    <t>块料楼地面</t>
  </si>
  <si>
    <t>1、钢筋混凝土结构板，表面清理平整
2、素水泥浆一道
3、20 厚1:3千硬性水泥砂浆              
4、800*800mm地砖+同色美缝（颜色同大堂样板）面积按照展开面积据实结算</t>
  </si>
  <si>
    <t>㎡</t>
  </si>
  <si>
    <t>金意陶</t>
  </si>
  <si>
    <t>块料楼梯面层</t>
  </si>
  <si>
    <t>1.踏步地砖（颜色同大堂样板）(踏步导防滑槽) 
2、素水泥浆一道
3、20 厚1:3千硬性水泥砂浆              
4、踏步地砖（颜色同大堂样板）
5.具体要求及做法：详见设计图纸及建设单位要求，面积按照投影面积核算</t>
  </si>
  <si>
    <t>踢脚线</t>
  </si>
  <si>
    <t>100mm高踢脚（颜色同大堂样板）</t>
  </si>
  <si>
    <t>m</t>
  </si>
  <si>
    <t>首层大堂地面</t>
  </si>
  <si>
    <t>1.钢筋混凝土结构板，表面清理平整
2.750*1500mm瓷砖+同色美缝剂
3.素水泥粘接层
4.20厚1:3干硬性砂浆 
5.素水泥浆一道(内掺建筑胶)
6.原建筑细石混凝土找平层
7.具体要求及做法：详见设计图纸及建设单位要求，面积按照展开面积据实结算</t>
  </si>
  <si>
    <t>标准层候梯厅及走道地面</t>
  </si>
  <si>
    <t>1.钢筋混凝土结构板，表面清理平整
2.800*800mm瓷砖+同色美缝剂
3.素水泥粘接层
4.20厚1:3干硬性砂浆 
5.素水泥浆一道(内掺建筑胶)
6.原建筑细石混凝土找平层
7.具体要求及做法：详见设计图纸及建设单位要求，面积按照展开面积据实结算</t>
  </si>
  <si>
    <t>楼梯间地面（2-6层）</t>
  </si>
  <si>
    <t>地下光厅墙面</t>
  </si>
  <si>
    <t>岩板墙面</t>
  </si>
  <si>
    <t>1、水泥砂浆墙面打磨平整
2、L50*5镀锌角钢及不锈钢干挂件
3、12mm厚岩板干挂（颜色及规格依据设计要求）
4、内嵌1.0mm厚201不锈钢线条
5、单元发光字安装及管线预留到位
6、面积按照展开面积据实结算</t>
  </si>
  <si>
    <t>地下单元门</t>
  </si>
  <si>
    <t>玻璃单元门+1.2mm厚不锈钢门框</t>
  </si>
  <si>
    <t>发光字</t>
  </si>
  <si>
    <t>1.18mm厚亚克力透光字
2.具体要求及做法：详见设计图纸及建设单位要求</t>
  </si>
  <si>
    <t>个</t>
  </si>
  <si>
    <t>地下大堂走廊墙面</t>
  </si>
  <si>
    <t>乳胶漆墙面</t>
  </si>
  <si>
    <t>1、墙面水泥砂浆找平
2、刮腻子两遍，分遍磨平
3、白色防水乳胶漆两遍</t>
  </si>
  <si>
    <t>三棵树</t>
  </si>
  <si>
    <t>地下大堂侯梯厅墙面</t>
  </si>
  <si>
    <t>墙面砖</t>
  </si>
  <si>
    <t>1、素水泥浆一遍
2、3~4 厚1:1水泥砂浆加水重20%的建筑胶粘接层         
3、800*800mm墙砖+同色美缝（颜色同大堂样板）
4.嵌缝材料种类：嵌缝
5.防护层材料种类：综合考虑
6.其他未尽事项参见设计说明和施工图纸，面积按照展开面积据实结算</t>
  </si>
  <si>
    <t>不锈钢电梯门套</t>
  </si>
  <si>
    <t>1、18mm厚阻燃胶板基层+配套角钢
2、1.0mm厚201不锈钢面层（颜色同公区样板）</t>
  </si>
  <si>
    <t>楼梯间墙面（-2-6层）</t>
  </si>
  <si>
    <t>首层走道墙面</t>
  </si>
  <si>
    <t>块料墙面</t>
  </si>
  <si>
    <t>首层大堂墙面</t>
  </si>
  <si>
    <t>镜面墙</t>
  </si>
  <si>
    <t>1、水泥砂浆墙面打磨平整
2、镜面安装保证平整度             
3、1.2mm厚201不锈钢镜框，木工板基层，黑镜</t>
  </si>
  <si>
    <t>单元门</t>
  </si>
  <si>
    <t>1、2.5*4.2m玻璃门
2、1.2mm厚201不锈钢门框
3、上部吊顶部位不锈钢翻边</t>
  </si>
  <si>
    <t>标准层候梯厅及走道墙面</t>
  </si>
  <si>
    <t>地下光厅</t>
  </si>
  <si>
    <t>穿孔铝板平顶</t>
  </si>
  <si>
    <t>1、钢筋混凝土顶板清理干净
2、38 系列轻钢龙骨双层骨架：主龙骨中距900 ~1000，次龙骨中距450，横撑龙骨中距900
3、穿孔铝板及内部硬质灯带安装
4、综合考虑检修口、各类孔洞的预留及后期开孔，投影面积计取，单价综合考虑</t>
  </si>
  <si>
    <t>北新建材</t>
  </si>
  <si>
    <t>地下大堂（侯梯厅）</t>
  </si>
  <si>
    <t>石膏板吊顶</t>
  </si>
  <si>
    <t>1、钢筋混凝土顶板清理干净
2、38 系列轻钢龙骨双层骨架：主龙骨中距900 ~1000，次龙骨中距450，横撑龙骨中距900
3、9.5厚双层石膏板，自攻螺钉拧牢,孔眼用腻子填平
4、刮腻子两遍，分遍磨平
5、白色防水乳胶漆两遍
6、综合考虑检修口、各类孔槽的预留、制作安装费
7.含脚手架搭设、拆除及搬运等费用
8.具体要求及做法：详见设计图纸及建设单位要求，投影面积计取，单价综合考虑</t>
  </si>
  <si>
    <t>地下大堂走廊</t>
  </si>
  <si>
    <t>首层大堂</t>
  </si>
  <si>
    <t>标准层</t>
  </si>
  <si>
    <t>四</t>
  </si>
  <si>
    <t>软装</t>
  </si>
  <si>
    <t>1、1.5*2.3m软装挂画（样式同大堂样板）</t>
  </si>
  <si>
    <t>副</t>
  </si>
  <si>
    <t>3.4m四座联排沙发（样式同大堂样板）</t>
  </si>
  <si>
    <t>套</t>
  </si>
  <si>
    <t>合计</t>
  </si>
  <si>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</si>
  <si>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所有一切与之相关的所需全部费用。</t>
  </si>
  <si>
    <t>价格清单（天逸项目配套用房精装装饰工程--土建）（装饰部分）</t>
  </si>
  <si>
    <t>工程名称：天逸项目配套用房精装工程清单-土建</t>
  </si>
  <si>
    <t>公厕</t>
  </si>
  <si>
    <t>1、钢筋混凝土结构板，表面清理平整
2、素水泥浆一道
3、40厚C20细石混凝土
4、20 厚1:3干硬性水泥砂浆        
5、800*800mm地砖+同色美缝（颜色同大堂样板）    
6、按照展开面积据实结算</t>
  </si>
  <si>
    <t>防水乳胶漆</t>
  </si>
  <si>
    <t>1、钢筋混凝土顶板打磨平整
2、刮腻子两遍，分遍磨平
3、白色防水乳胶漆两遍，面积按照投影面积核算</t>
  </si>
  <si>
    <t>1、墙面水泥砂浆找平
2、刮腻子两遍，分遍磨平
3、白色防水乳胶漆两遍，，按照展开面积据实结算</t>
  </si>
  <si>
    <t>公厕洁具</t>
  </si>
  <si>
    <t>无障碍设施安装到位</t>
  </si>
  <si>
    <t>1、洗手台
2、包含洗手盆、水龙头、五金配件等</t>
  </si>
  <si>
    <t>无障碍卫生间洁具</t>
  </si>
  <si>
    <t>公厕隔断</t>
  </si>
  <si>
    <t>成品隔断</t>
  </si>
  <si>
    <t>m2</t>
  </si>
  <si>
    <t>物业用房</t>
  </si>
  <si>
    <t>1.踏步地砖（颜色同大堂样板）(踏步导防滑槽) 
2.10厚专用粘接剂 
3.20厚1:3干硬性水泥砂浆找平
4.界面剂一道
5.具体要求及做法：详见设计图纸及建设单位要求，面积按照投影面积核算</t>
  </si>
  <si>
    <t>白色乳胶漆</t>
  </si>
  <si>
    <t>1、钢筋混凝土顶板打磨平整
2、刮腻子两遍，分遍磨平
3、白色防水乳胶漆两遍</t>
  </si>
  <si>
    <t>卫生间地面</t>
  </si>
  <si>
    <t>1、钢筋混凝土结构板，表面清理平整
2、素水泥浆一道
3、最薄处 30厚1:3 水泥砂浆找平，找坡1% 坡向地漏
4、1.5厚JS防水涂料（四周上翻建筑楼层标高250mm）
4、30 厚1:3干硬性水泥砂浆        
5、防滑地砖铺平拍实,稀水泥浆擦缝，按照展开面积据实结算</t>
  </si>
  <si>
    <t>卫生间墙面</t>
  </si>
  <si>
    <t>1、水泥砂浆墙面打磨平整
2、1.5厚JS防水涂料
3、素水泥浆一遍
4、4~5 厚1:1水泥砂浆加水重20%的建筑胶粘接层         
5、墙面砖，填缝剂填缝，按照展开面积据实结算</t>
  </si>
  <si>
    <t>洁具</t>
  </si>
  <si>
    <t>社区用房</t>
  </si>
  <si>
    <t>1、墙面水泥砂浆找平
2、刮腻子两遍，分遍磨平
3、白色防水乳胶漆两遍，按照展开面积据实结算</t>
  </si>
  <si>
    <t>价格清单（天逸项目公区及配套用房精装装饰工程--安装）</t>
  </si>
  <si>
    <t>主材费
b</t>
  </si>
  <si>
    <t>机械、辅材及其他
c</t>
  </si>
  <si>
    <t>公区安装</t>
  </si>
  <si>
    <t>装饰灯</t>
  </si>
  <si>
    <t>1.名称:射灯
2.规格:12W
3.安装方式:嵌入式 
4.预留孔径9cm
5.其它说明：满足规范和现场要求</t>
  </si>
  <si>
    <t>1.名称:射灯
2.规格:9W
3.安装方式:嵌入式 
4.预留孔径7.5cm
5.其它说明：满足规范和现场要求</t>
  </si>
  <si>
    <t>雷士</t>
  </si>
  <si>
    <t>1.名称:水晶灯
2.详见备注中定制灯规格
3.其它说明：满足规范和现场要求</t>
  </si>
  <si>
    <t>1.名称:1.5mm宽型材灯带（含灯罩）
2.规格:12W/m
3.安装方式:嵌入式 
4.预留孔径7.5cm
5.其它说明：满足规范和现场要求</t>
  </si>
  <si>
    <t>照明开关</t>
  </si>
  <si>
    <t>1.名称:单极开关
2.规格:250V/10A
3.安装方式:暗装
4.其它说明：满足规范和现场要求</t>
  </si>
  <si>
    <t>德力西</t>
  </si>
  <si>
    <t>配管</t>
  </si>
  <si>
    <t>1.名称:电气配管
2.规格:PC20
3.配置形式:吊顶内明敷
4.其它说明：满足规范和现场要求</t>
  </si>
  <si>
    <t>1.名称:电气配管
2.规格:PC16
3.配置形式:吊顶内明敷
4.其它说明：满足规范和现场要求</t>
  </si>
  <si>
    <t>配线</t>
  </si>
  <si>
    <t>1.名称:铜芯导线
2.规格、型号:BV-2.5
3.敷设方式:穿管敷设
4.其它说明：满足规范和现场要求</t>
  </si>
  <si>
    <t>郑三</t>
  </si>
  <si>
    <t>1.名称:吸顶灯
2.规格:11W
3.安装方式:吸顶或嵌吊顶
4.防护等级IP54
5.其它说明：满足规范和现场要求</t>
  </si>
  <si>
    <t>排风扇</t>
  </si>
  <si>
    <t>1.名称:吸顶式排气扇(自带止回阀)
2.规格:详见图纸
3.其它说明：满足规范和现场要求</t>
  </si>
  <si>
    <t>1.名称:单联开关
2.规格:250V/10A
3.安装方式:暗装
4.其它说明：满足规范和现场要求</t>
  </si>
  <si>
    <t>1.名称:双联开关
2.规格:250V/10A
3.安装方式:暗装
4.其它说明：满足规范和现场要求</t>
  </si>
  <si>
    <t>报警按钮</t>
  </si>
  <si>
    <t>1.名称:残疾人报警按钮
2.规格:250V/10A
3.安装方式:暗装
4.其它说明：满足规范和现场要求</t>
  </si>
  <si>
    <t>1.名称:电气配管
2.规格:PC20
3.配置形式:暗敷或者明敷
4.其它说明：满足规范和现场要求</t>
  </si>
  <si>
    <t>塑料管</t>
  </si>
  <si>
    <t>1.名称:PPR管（S5系列） De25
2.连接形式:热熔连接
3.压力试验及吹、洗设计要求:管道消毒、冲洗，含成品管卡
4.其它说明：满足规范和设计图纸要求</t>
  </si>
  <si>
    <t>金牛</t>
  </si>
  <si>
    <t>1.名称:PPR管（S5系列） De20
2.连接形式:热熔连接
3.压力试验及吹、洗设计要求:管道消毒、冲洗，含成品管卡
4.其它说明：满足规范和设计图纸要求</t>
  </si>
  <si>
    <t>螺纹阀门</t>
  </si>
  <si>
    <t>1.名称:截止阀
2.规格、压力等级:DN20
3.连接形式:螺纹连接
4.其它说明：满足规范和设计图纸要求</t>
  </si>
  <si>
    <t>1.名称:PVC-U排水管De110
2.连接形式:粘接
3.含管件、成品管卡
4.其它说明：满足规范和设计图纸要求</t>
  </si>
  <si>
    <t>1.名称:PVC-U排水管De75
2.连接形式:粘接
3.含管件、成品管卡
4.其它说明：满足规范和设计图纸要求</t>
  </si>
  <si>
    <t>1.名称:PVC-U排水管De50
2.连接形式:粘接
3.含管件、成品管卡
4.其它说明：满足规范和设计图纸要求</t>
  </si>
  <si>
    <t>地漏</t>
  </si>
  <si>
    <t>1.名称:地漏
2.型号、规格:DN50
3.安装部位:室内
4.其他详见图纸设计</t>
  </si>
  <si>
    <t>大便器</t>
  </si>
  <si>
    <t>1.名称:马桶
2.组装形式:成套
3.附件名称、数量:含五金配件
4.安装后需满足使用要求
5.其它说明：满足规范和设计图纸要求</t>
  </si>
  <si>
    <t>1.名称:蹲式大便器
2.组装形式:成套
3.附件名称、数量:含五金配件
4.安装后需满足使用要求
5.其它说明：满足规范和设计图纸要求</t>
  </si>
  <si>
    <t>小便器</t>
  </si>
  <si>
    <t>1.名称:小便器（含感应阀）
2.组装形式:成套
3.附件名称、数量:含五金配件
4.安装后需满足使用要求
5.其它说明：满足规范和设计图纸要求</t>
  </si>
  <si>
    <t>拖布池</t>
  </si>
  <si>
    <t>1.名称:拖布池（含水龙头）
2.组装形式:成套
3.附件名称、数量:含五金配件
4.安装后需满足使用要求
5.其它说明：满足规范和设计图纸要求</t>
  </si>
  <si>
    <t>配电箱</t>
  </si>
  <si>
    <t>1.名称:配电箱1WYAL1
2.规格:380*400*100mm
3.安装方式:暗装，距地1.6m
4.其它说明：满足规范和现场要求</t>
  </si>
  <si>
    <t>1.名称:配电箱2WYAL1
2.规格:380*400*100mm
3.安装方式:暗装，距地1.6m
4.其它说明：满足规范和现场要求</t>
  </si>
  <si>
    <t>1.名称:双LED荧光灯
2.规格:2*28W
3.安装方式:吸顶
4.其它说明：满足规范和现场要求</t>
  </si>
  <si>
    <t>1.名称:配电箱1WYAL2
2.规格:380*400*100mm
3.安装方式:暗装，距地1.6m
4.其它说明：满足规范和现场要求</t>
  </si>
  <si>
    <t>1.名称:配电箱1WYAL3
2.规格:380*400*100mm
3.安装方式:暗装，距地1.6m
4.其它说明：满足规范和现场要求</t>
  </si>
  <si>
    <r>
      <rPr>
        <sz val="20"/>
        <rFont val="Arial"/>
        <charset val="134"/>
      </rPr>
      <t>5#</t>
    </r>
    <r>
      <rPr>
        <sz val="20"/>
        <rFont val="宋体"/>
        <charset val="134"/>
      </rPr>
      <t>楼门计算工程量</t>
    </r>
  </si>
  <si>
    <r>
      <rPr>
        <sz val="20"/>
        <rFont val="Arial"/>
        <charset val="134"/>
      </rPr>
      <t>2#</t>
    </r>
    <r>
      <rPr>
        <sz val="20"/>
        <rFont val="宋体"/>
        <charset val="134"/>
      </rPr>
      <t>楼门计算工程量</t>
    </r>
  </si>
  <si>
    <r>
      <rPr>
        <sz val="20"/>
        <rFont val="Arial"/>
        <charset val="134"/>
      </rPr>
      <t>7#</t>
    </r>
    <r>
      <rPr>
        <sz val="20"/>
        <rFont val="宋体"/>
        <charset val="134"/>
      </rPr>
      <t>楼门计算工程量</t>
    </r>
  </si>
  <si>
    <r>
      <rPr>
        <sz val="20"/>
        <rFont val="Arial"/>
        <charset val="134"/>
      </rPr>
      <t>8#</t>
    </r>
    <r>
      <rPr>
        <sz val="20"/>
        <rFont val="宋体"/>
        <charset val="134"/>
      </rPr>
      <t>楼门计算工程量</t>
    </r>
  </si>
  <si>
    <t>工程量</t>
  </si>
  <si>
    <t>理论重量</t>
  </si>
  <si>
    <t>柱子及墙面</t>
  </si>
  <si>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</si>
  <si>
    <t>块</t>
  </si>
  <si>
    <r>
      <rPr>
        <sz val="10"/>
        <rFont val="Arial"/>
        <charset val="134"/>
      </rPr>
      <t>200*5</t>
    </r>
    <r>
      <rPr>
        <sz val="10"/>
        <rFont val="宋体"/>
        <charset val="134"/>
      </rPr>
      <t>热浸镀锌钢方管</t>
    </r>
  </si>
  <si>
    <r>
      <rPr>
        <sz val="10"/>
        <rFont val="Arial"/>
        <charset val="134"/>
      </rPr>
      <t>8#</t>
    </r>
    <r>
      <rPr>
        <sz val="10"/>
        <rFont val="宋体"/>
        <charset val="134"/>
      </rPr>
      <t>热浸镀锌槽钢</t>
    </r>
  </si>
  <si>
    <r>
      <rPr>
        <sz val="10"/>
        <rFont val="Arial"/>
        <charset val="134"/>
      </rPr>
      <t>L50x4</t>
    </r>
    <r>
      <rPr>
        <sz val="10"/>
        <rFont val="宋体"/>
        <charset val="134"/>
      </rPr>
      <t>热浸镀锌角钢</t>
    </r>
  </si>
  <si>
    <r>
      <rPr>
        <sz val="10"/>
        <rFont val="Arial"/>
        <charset val="134"/>
      </rPr>
      <t>10#</t>
    </r>
    <r>
      <rPr>
        <sz val="10"/>
        <rFont val="宋体"/>
        <charset val="134"/>
      </rPr>
      <t>热浸镀锌槽钢</t>
    </r>
  </si>
  <si>
    <r>
      <rPr>
        <sz val="10"/>
        <rFont val="Arial"/>
        <charset val="134"/>
      </rPr>
      <t xml:space="preserve">300x200x8mm
</t>
    </r>
    <r>
      <rPr>
        <sz val="10"/>
        <rFont val="宋体"/>
        <charset val="134"/>
      </rPr>
      <t>热浸镀锌后置埋件</t>
    </r>
    <r>
      <rPr>
        <sz val="10"/>
        <rFont val="Arial"/>
        <charset val="134"/>
      </rPr>
      <t xml:space="preserve">M12
</t>
    </r>
    <r>
      <rPr>
        <sz val="10"/>
        <rFont val="宋体"/>
        <charset val="134"/>
      </rPr>
      <t>特殊倒锥型化学锚栓</t>
    </r>
  </si>
  <si>
    <r>
      <rPr>
        <sz val="10"/>
        <rFont val="Arial"/>
        <charset val="134"/>
      </rPr>
      <t>L50x4</t>
    </r>
    <r>
      <rPr>
        <sz val="10"/>
        <rFont val="宋体"/>
        <charset val="134"/>
      </rPr>
      <t>热浸镀锌角钢（墙岩口）</t>
    </r>
  </si>
  <si>
    <r>
      <rPr>
        <sz val="10"/>
        <rFont val="宋体"/>
        <charset val="134"/>
      </rPr>
      <t>（</t>
    </r>
    <r>
      <rPr>
        <sz val="10"/>
        <rFont val="Arial"/>
        <charset val="134"/>
      </rPr>
      <t>1-1</t>
    </r>
    <r>
      <rPr>
        <sz val="10"/>
        <rFont val="宋体"/>
        <charset val="134"/>
      </rPr>
      <t>）</t>
    </r>
  </si>
  <si>
    <r>
      <rPr>
        <sz val="10"/>
        <rFont val="Arial"/>
        <charset val="134"/>
      </rPr>
      <t>300x200x8mm</t>
    </r>
    <r>
      <rPr>
        <sz val="10"/>
        <rFont val="宋体"/>
        <charset val="134"/>
      </rPr>
      <t>热浸镀锌后置埋件</t>
    </r>
    <r>
      <rPr>
        <sz val="10"/>
        <rFont val="Arial"/>
        <charset val="134"/>
      </rPr>
      <t xml:space="preserve">
M12</t>
    </r>
    <r>
      <rPr>
        <sz val="10"/>
        <rFont val="宋体"/>
        <charset val="134"/>
      </rPr>
      <t>不锈钢对穿螺栓</t>
    </r>
  </si>
  <si>
    <t>（2-2）</t>
  </si>
  <si>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不锈钢对穿螺栓</t>
    </r>
  </si>
  <si>
    <t>顶钢架</t>
  </si>
  <si>
    <r>
      <rPr>
        <sz val="10"/>
        <rFont val="Arial"/>
        <charset val="134"/>
      </rPr>
      <t xml:space="preserve">80*60*5mm
</t>
    </r>
    <r>
      <rPr>
        <sz val="10"/>
        <rFont val="宋体"/>
        <charset val="134"/>
      </rPr>
      <t>镀锌钢管</t>
    </r>
  </si>
  <si>
    <r>
      <rPr>
        <sz val="10"/>
        <rFont val="Arial"/>
        <charset val="134"/>
      </rPr>
      <t xml:space="preserve">L50X4
</t>
    </r>
    <r>
      <rPr>
        <sz val="10"/>
        <rFont val="宋体"/>
        <charset val="134"/>
      </rPr>
      <t>镀锌角钢</t>
    </r>
  </si>
  <si>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特殊倒锥型化学锚栓</t>
    </r>
  </si>
  <si>
    <r>
      <rPr>
        <sz val="10"/>
        <rFont val="Arial"/>
        <charset val="134"/>
      </rPr>
      <t>l20*3</t>
    </r>
    <r>
      <rPr>
        <sz val="10"/>
        <rFont val="宋体"/>
        <charset val="134"/>
      </rPr>
      <t>封边角钢</t>
    </r>
  </si>
  <si>
    <t>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</si>
</sst>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 numFmtId="179" formatCode="0.00;[Red]0.00"/>
  </numFmts>
  <fonts count="44">
    <font>
      <sz val="10"/>
      <name val="Arial"/>
      <charset val="1"/>
    </font>
    <font>
      <sz val="20"/>
      <name val="Arial"/>
      <charset val="1"/>
    </font>
    <font>
      <sz val="10"/>
      <name val="宋体"/>
      <charset val="134"/>
    </font>
    <font>
      <sz val="20"/>
      <name val="Arial"/>
      <charset val="134"/>
    </font>
    <font>
      <sz val="9"/>
      <color theme="1"/>
      <name val="宋体"/>
      <charset val="134"/>
      <scheme val="minor"/>
    </font>
    <font>
      <b/>
      <sz val="9"/>
      <color theme="1"/>
      <name val="宋体"/>
      <charset val="134"/>
      <scheme val="minor"/>
    </font>
    <font>
      <b/>
      <sz val="20"/>
      <name val="宋体"/>
      <charset val="134"/>
    </font>
    <font>
      <sz val="9"/>
      <name val="宋体"/>
      <charset val="134"/>
    </font>
    <font>
      <b/>
      <sz val="9"/>
      <name val="宋体"/>
      <charset val="134"/>
    </font>
    <font>
      <sz val="9"/>
      <name val="宋体"/>
      <charset val="134"/>
      <scheme val="minor"/>
    </font>
    <font>
      <b/>
      <sz val="9"/>
      <name val="宋体"/>
      <charset val="134"/>
      <scheme val="minor"/>
    </font>
    <font>
      <sz val="12"/>
      <name val="宋体"/>
      <charset val="134"/>
    </font>
    <font>
      <b/>
      <sz val="16"/>
      <name val="宋体"/>
      <charset val="134"/>
    </font>
    <font>
      <sz val="10"/>
      <color theme="1"/>
      <name val="微软雅黑"/>
      <charset val="134"/>
    </font>
    <font>
      <sz val="10"/>
      <name val="微软雅黑"/>
      <charset val="134"/>
    </font>
    <font>
      <b/>
      <sz val="10"/>
      <color theme="1"/>
      <name val="微软雅黑"/>
      <charset val="134"/>
    </font>
    <font>
      <b/>
      <sz val="10"/>
      <name val="微软雅黑"/>
      <charset val="134"/>
    </font>
    <font>
      <sz val="10"/>
      <color rgb="FFFF0000"/>
      <name val="微软雅黑"/>
      <charset val="134"/>
    </font>
    <font>
      <b/>
      <sz val="10"/>
      <name val="宋体"/>
      <charset val="134"/>
    </font>
    <font>
      <sz val="10"/>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rgb="FF000000"/>
      <name val="宋体"/>
      <charset val="134"/>
    </font>
    <font>
      <sz val="10"/>
      <name val="Arial"/>
      <charset val="134"/>
    </font>
    <font>
      <sz val="2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5">
    <xf numFmtId="0" fontId="0" fillId="0" borderId="0"/>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8" fillId="0" borderId="0" applyNumberFormat="0" applyFill="0" applyBorder="0" applyAlignment="0" applyProtection="0">
      <alignment vertical="center"/>
    </xf>
    <xf numFmtId="0" fontId="29" fillId="4" borderId="7" applyNumberFormat="0" applyAlignment="0" applyProtection="0">
      <alignment vertical="center"/>
    </xf>
    <xf numFmtId="0" fontId="30" fillId="5" borderId="8" applyNumberFormat="0" applyAlignment="0" applyProtection="0">
      <alignment vertical="center"/>
    </xf>
    <xf numFmtId="0" fontId="31" fillId="5" borderId="7" applyNumberFormat="0" applyAlignment="0" applyProtection="0">
      <alignment vertical="center"/>
    </xf>
    <xf numFmtId="0" fontId="32" fillId="6" borderId="9" applyNumberFormat="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11" fillId="0" borderId="0">
      <alignment vertical="center"/>
    </xf>
    <xf numFmtId="0" fontId="11" fillId="0" borderId="0">
      <alignment vertical="center"/>
    </xf>
    <xf numFmtId="0" fontId="20" fillId="0" borderId="0">
      <alignment vertical="center"/>
    </xf>
    <xf numFmtId="0" fontId="11" fillId="0" borderId="0">
      <alignment vertical="center"/>
    </xf>
    <xf numFmtId="0" fontId="2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40" fillId="0" borderId="0">
      <alignment vertical="center"/>
    </xf>
    <xf numFmtId="0" fontId="11" fillId="0" borderId="0">
      <alignment vertical="center"/>
    </xf>
    <xf numFmtId="176" fontId="41" fillId="0" borderId="1">
      <alignment horizontal="right" vertical="center" wrapText="1"/>
    </xf>
    <xf numFmtId="0" fontId="11" fillId="0" borderId="0">
      <alignment vertical="center"/>
    </xf>
    <xf numFmtId="0" fontId="11" fillId="0" borderId="0">
      <alignment vertical="center"/>
    </xf>
    <xf numFmtId="0" fontId="11" fillId="0" borderId="0">
      <alignment vertical="center"/>
    </xf>
    <xf numFmtId="0" fontId="42" fillId="0" borderId="0"/>
    <xf numFmtId="0" fontId="20" fillId="0" borderId="0">
      <alignment vertical="center"/>
    </xf>
    <xf numFmtId="0" fontId="2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40" fillId="0" borderId="0">
      <alignment vertical="center"/>
    </xf>
    <xf numFmtId="176" fontId="41" fillId="0" borderId="1">
      <alignment horizontal="right" vertical="center" wrapText="1"/>
    </xf>
    <xf numFmtId="0" fontId="20" fillId="0" borderId="0">
      <alignment vertical="center"/>
    </xf>
    <xf numFmtId="0" fontId="11" fillId="0" borderId="0"/>
    <xf numFmtId="0" fontId="41" fillId="0" borderId="0" applyProtection="0">
      <alignment vertical="center"/>
    </xf>
    <xf numFmtId="0" fontId="4" fillId="0" borderId="0"/>
    <xf numFmtId="0" fontId="11" fillId="0" borderId="0">
      <alignment vertical="center"/>
    </xf>
    <xf numFmtId="0" fontId="40" fillId="0" borderId="0"/>
    <xf numFmtId="0" fontId="11" fillId="0" borderId="0" applyBorder="0"/>
  </cellStyleXfs>
  <cellXfs count="79">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2" fillId="0" borderId="1" xfId="0" applyFont="1" applyBorder="1"/>
    <xf numFmtId="0" fontId="0" fillId="0" borderId="1" xfId="0" applyBorder="1"/>
    <xf numFmtId="0" fontId="0" fillId="0" borderId="1" xfId="0" applyFont="1" applyFill="1" applyBorder="1"/>
    <xf numFmtId="0" fontId="2" fillId="0" borderId="1" xfId="0" applyFont="1" applyFill="1" applyBorder="1" applyAlignment="1">
      <alignment wrapText="1"/>
    </xf>
    <xf numFmtId="0" fontId="2" fillId="0" borderId="1" xfId="0" applyFont="1" applyFill="1" applyBorder="1"/>
    <xf numFmtId="0" fontId="3" fillId="0" borderId="0" xfId="0" applyFont="1" applyAlignment="1">
      <alignment horizontal="center" vertical="center"/>
    </xf>
    <xf numFmtId="0" fontId="4" fillId="0" borderId="0" xfId="81" applyAlignment="1">
      <alignment horizontal="left"/>
    </xf>
    <xf numFmtId="0" fontId="4" fillId="0" borderId="0" xfId="81" applyFill="1" applyAlignment="1">
      <alignment horizontal="left"/>
    </xf>
    <xf numFmtId="0" fontId="5" fillId="0" borderId="0" xfId="81" applyFont="1" applyFill="1" applyAlignment="1">
      <alignment horizontal="left"/>
    </xf>
    <xf numFmtId="0" fontId="4" fillId="0" borderId="0" xfId="81" applyFont="1" applyFill="1" applyAlignment="1">
      <alignment horizontal="left"/>
    </xf>
    <xf numFmtId="0" fontId="4" fillId="0" borderId="0" xfId="81" applyFont="1" applyFill="1" applyAlignment="1">
      <alignment horizontal="center"/>
    </xf>
    <xf numFmtId="177" fontId="4" fillId="0" borderId="0" xfId="81" applyNumberFormat="1" applyFont="1" applyFill="1" applyAlignment="1">
      <alignment horizontal="center"/>
    </xf>
    <xf numFmtId="176" fontId="4" fillId="0" borderId="0" xfId="81" applyNumberFormat="1" applyFont="1" applyFill="1" applyAlignment="1">
      <alignment horizontal="center"/>
    </xf>
    <xf numFmtId="0" fontId="4" fillId="0" borderId="0" xfId="81" applyFont="1" applyFill="1" applyAlignment="1">
      <alignment horizontal="center" vertical="center" wrapText="1"/>
    </xf>
    <xf numFmtId="0" fontId="6" fillId="0" borderId="0" xfId="81" applyFont="1" applyFill="1" applyAlignment="1">
      <alignment horizontal="center" vertical="center" wrapText="1"/>
    </xf>
    <xf numFmtId="177" fontId="6" fillId="0" borderId="0" xfId="81" applyNumberFormat="1" applyFont="1" applyFill="1" applyAlignment="1">
      <alignment horizontal="center" vertical="center" wrapText="1"/>
    </xf>
    <xf numFmtId="176" fontId="6" fillId="0" borderId="0" xfId="81" applyNumberFormat="1" applyFont="1" applyFill="1" applyAlignment="1">
      <alignment horizontal="center" vertical="center" wrapText="1"/>
    </xf>
    <xf numFmtId="0" fontId="7" fillId="0" borderId="0" xfId="81" applyFont="1" applyFill="1" applyAlignment="1">
      <alignment horizontal="center" vertical="center" wrapText="1"/>
    </xf>
    <xf numFmtId="0" fontId="7" fillId="0" borderId="0" xfId="81" applyFont="1" applyFill="1" applyAlignment="1">
      <alignment horizontal="left" vertical="center" wrapText="1"/>
    </xf>
    <xf numFmtId="177" fontId="7" fillId="0" borderId="0" xfId="81" applyNumberFormat="1" applyFont="1" applyFill="1" applyAlignment="1">
      <alignment horizontal="center" vertical="center" wrapText="1"/>
    </xf>
    <xf numFmtId="176" fontId="7" fillId="0" borderId="0" xfId="81" applyNumberFormat="1" applyFont="1" applyFill="1" applyAlignment="1">
      <alignment horizontal="center" vertical="center" wrapText="1"/>
    </xf>
    <xf numFmtId="0" fontId="7" fillId="0" borderId="1" xfId="81" applyFont="1" applyFill="1" applyBorder="1" applyAlignment="1">
      <alignment horizontal="center" vertical="center" wrapText="1"/>
    </xf>
    <xf numFmtId="0" fontId="7" fillId="0" borderId="1" xfId="81" applyFont="1" applyFill="1" applyBorder="1" applyAlignment="1">
      <alignment horizontal="left" vertical="center" wrapText="1"/>
    </xf>
    <xf numFmtId="177" fontId="7" fillId="0" borderId="1" xfId="81" applyNumberFormat="1" applyFont="1" applyFill="1" applyBorder="1" applyAlignment="1">
      <alignment horizontal="center" vertical="center" wrapText="1"/>
    </xf>
    <xf numFmtId="176" fontId="7" fillId="0" borderId="1" xfId="81" applyNumberFormat="1" applyFont="1" applyFill="1" applyBorder="1" applyAlignment="1">
      <alignment horizontal="center" vertical="center" wrapText="1"/>
    </xf>
    <xf numFmtId="176" fontId="7" fillId="0" borderId="2" xfId="81" applyNumberFormat="1" applyFont="1" applyFill="1" applyBorder="1" applyAlignment="1">
      <alignment horizontal="center" vertical="center" wrapText="1"/>
    </xf>
    <xf numFmtId="176" fontId="7" fillId="0" borderId="3" xfId="81" applyNumberFormat="1" applyFont="1" applyFill="1" applyBorder="1" applyAlignment="1">
      <alignment horizontal="center" vertical="center" wrapText="1"/>
    </xf>
    <xf numFmtId="0" fontId="8" fillId="0" borderId="1" xfId="81" applyFont="1" applyFill="1" applyBorder="1" applyAlignment="1">
      <alignment horizontal="center" vertical="center" wrapText="1"/>
    </xf>
    <xf numFmtId="178" fontId="7" fillId="0" borderId="1" xfId="81" applyNumberFormat="1" applyFont="1" applyFill="1" applyBorder="1" applyAlignment="1">
      <alignment horizontal="left" vertical="center" wrapText="1"/>
    </xf>
    <xf numFmtId="178" fontId="7" fillId="0" borderId="1" xfId="81"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9" fillId="0" borderId="0" xfId="81" applyFont="1" applyFill="1" applyAlignment="1">
      <alignment horizontal="center" vertical="center" wrapText="1"/>
    </xf>
    <xf numFmtId="0" fontId="9" fillId="0" borderId="0" xfId="81" applyFont="1" applyFill="1" applyAlignment="1">
      <alignment horizontal="left"/>
    </xf>
    <xf numFmtId="9" fontId="7" fillId="0" borderId="1" xfId="3" applyNumberFormat="1" applyFont="1" applyFill="1" applyBorder="1" applyAlignment="1" applyProtection="1">
      <alignment horizontal="center" vertical="center" wrapText="1"/>
    </xf>
    <xf numFmtId="176" fontId="7" fillId="0" borderId="1" xfId="81" applyNumberFormat="1" applyFont="1" applyFill="1" applyBorder="1" applyAlignment="1">
      <alignment horizontal="left" vertical="center" wrapText="1"/>
    </xf>
    <xf numFmtId="0" fontId="7" fillId="0" borderId="1" xfId="81" applyNumberFormat="1" applyFont="1" applyFill="1" applyBorder="1" applyAlignment="1">
      <alignment horizontal="left" vertical="center" wrapText="1"/>
    </xf>
    <xf numFmtId="176" fontId="7" fillId="0" borderId="1" xfId="81" applyNumberFormat="1" applyFont="1" applyFill="1" applyBorder="1" applyAlignment="1">
      <alignment horizontal="right" vertical="center" wrapText="1"/>
    </xf>
    <xf numFmtId="0" fontId="8" fillId="0" borderId="1" xfId="81" applyFont="1" applyFill="1" applyBorder="1" applyAlignment="1">
      <alignment horizontal="left" vertical="center" wrapText="1"/>
    </xf>
    <xf numFmtId="177" fontId="8" fillId="0" borderId="1" xfId="81" applyNumberFormat="1" applyFont="1" applyFill="1" applyBorder="1" applyAlignment="1">
      <alignment horizontal="center" vertical="center" wrapText="1"/>
    </xf>
    <xf numFmtId="176" fontId="8" fillId="0" borderId="1" xfId="81"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177" fontId="2" fillId="0" borderId="1" xfId="0" applyNumberFormat="1" applyFont="1" applyFill="1" applyBorder="1" applyAlignment="1" applyProtection="1">
      <alignment horizontal="left" vertical="center" wrapText="1"/>
    </xf>
    <xf numFmtId="176" fontId="2" fillId="0" borderId="1" xfId="0" applyNumberFormat="1" applyFont="1" applyFill="1" applyBorder="1" applyAlignment="1" applyProtection="1">
      <alignment horizontal="center" vertical="center" wrapText="1"/>
    </xf>
    <xf numFmtId="0" fontId="10" fillId="0" borderId="0" xfId="81" applyFont="1" applyFill="1" applyAlignment="1">
      <alignment horizontal="center" vertical="center" wrapText="1"/>
    </xf>
    <xf numFmtId="0" fontId="10" fillId="0" borderId="0" xfId="81" applyFont="1" applyFill="1" applyAlignment="1">
      <alignment horizontal="left"/>
    </xf>
    <xf numFmtId="177" fontId="7" fillId="0" borderId="1" xfId="81" applyNumberFormat="1" applyFont="1" applyFill="1" applyBorder="1" applyAlignment="1">
      <alignment horizontal="right" vertical="center" wrapText="1"/>
    </xf>
    <xf numFmtId="9" fontId="7" fillId="0" borderId="1" xfId="3" applyFont="1" applyFill="1" applyBorder="1" applyAlignment="1" applyProtection="1">
      <alignment horizontal="center" vertical="center" wrapText="1"/>
    </xf>
    <xf numFmtId="0" fontId="4" fillId="0" borderId="1" xfId="81" applyBorder="1" applyAlignment="1">
      <alignment horizontal="center"/>
    </xf>
    <xf numFmtId="0" fontId="7" fillId="2" borderId="1" xfId="81" applyFont="1" applyFill="1" applyBorder="1" applyAlignment="1">
      <alignment horizontal="left" vertical="center" wrapText="1"/>
    </xf>
    <xf numFmtId="10" fontId="7" fillId="0" borderId="1" xfId="3" applyNumberFormat="1" applyFont="1" applyFill="1" applyBorder="1" applyAlignment="1" applyProtection="1">
      <alignment horizontal="center" vertical="center" wrapText="1"/>
    </xf>
    <xf numFmtId="0" fontId="4" fillId="0" borderId="0" xfId="81" applyAlignment="1">
      <alignment horizontal="center"/>
    </xf>
    <xf numFmtId="0" fontId="11" fillId="0" borderId="0" xfId="0" applyFont="1" applyFill="1" applyBorder="1" applyAlignment="1">
      <alignment vertical="center"/>
    </xf>
    <xf numFmtId="0" fontId="0" fillId="0" borderId="0" xfId="0" applyFill="1" applyAlignment="1">
      <alignment horizontal="center"/>
    </xf>
    <xf numFmtId="0" fontId="12" fillId="0" borderId="0" xfId="0" applyFont="1" applyFill="1" applyAlignment="1">
      <alignment horizontal="center" vertical="center" wrapText="1"/>
    </xf>
    <xf numFmtId="0" fontId="13" fillId="0" borderId="1" xfId="0" applyFont="1" applyFill="1" applyBorder="1" applyAlignment="1">
      <alignment horizontal="center" vertical="center"/>
    </xf>
    <xf numFmtId="176" fontId="14"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176" fontId="16"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179" fontId="18" fillId="0" borderId="1" xfId="0" applyNumberFormat="1" applyFont="1" applyFill="1" applyBorder="1" applyAlignment="1">
      <alignment horizontal="center" vertical="center" wrapText="1"/>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3" xfId="49"/>
    <cellStyle name="3232 2 2" xfId="50"/>
    <cellStyle name="常规 5 2" xfId="51"/>
    <cellStyle name="常规 3 2 2" xfId="52"/>
    <cellStyle name="常规 5 2 2" xfId="53"/>
    <cellStyle name="3232 2" xfId="54"/>
    <cellStyle name="3232 3" xfId="55"/>
    <cellStyle name="常规 3 2" xfId="56"/>
    <cellStyle name="常规 3 3" xfId="57"/>
    <cellStyle name="常规 53 2" xfId="58"/>
    <cellStyle name="常规 3 4" xfId="59"/>
    <cellStyle name="常规 53 3" xfId="60"/>
    <cellStyle name="3232" xfId="61"/>
    <cellStyle name="常规 2" xfId="62"/>
    <cellStyle name="常规 3" xfId="63"/>
    <cellStyle name="表体数字 3 2 6 5 3 2" xfId="64"/>
    <cellStyle name="常规 3 2 2 2" xfId="65"/>
    <cellStyle name="常规 3 2 3" xfId="66"/>
    <cellStyle name="常规 3 3 2" xfId="67"/>
    <cellStyle name="常规 4" xfId="68"/>
    <cellStyle name="常规 5" xfId="69"/>
    <cellStyle name="常规 5 3" xfId="70"/>
    <cellStyle name="常规 53" xfId="71"/>
    <cellStyle name="常规 53 2 2" xfId="72"/>
    <cellStyle name="常规 7" xfId="73"/>
    <cellStyle name="常规 7 2" xfId="74"/>
    <cellStyle name="常规 7 2 2" xfId="75"/>
    <cellStyle name="常规 10" xfId="76"/>
    <cellStyle name="表体数字 3 2 6 6" xfId="77"/>
    <cellStyle name="常规 144 4" xfId="78"/>
    <cellStyle name="常规 11" xfId="79"/>
    <cellStyle name="?餑_x005f_x005f_x005f_x000c_睨_x005f_x005f_x005f_x0017__x005f_x005f_x005f_x000d_帼U_x005f_x005f_x005f_x0001_0_x005f_x005f_x005f_x0005_j'_x005f_x005f_x005f_x0007__x005f_x005f_x005f_x0001__x005f_x005f_x005f_x0001_ 3" xfId="80"/>
    <cellStyle name="Normal" xfId="81"/>
    <cellStyle name="常规 2 3" xfId="82"/>
    <cellStyle name="常规 2 2 2" xfId="83"/>
    <cellStyle name="常规_Sheet2" xfId="84"/>
  </cellStyles>
  <tableStyles count="0" defaultTableStyle="Table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5.png"/></Relationships>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www.wps.cn/officeDocument/2020/cellImage" Target="cellimag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95250</xdr:rowOff>
    </xdr:from>
    <xdr:to>
      <xdr:col>9</xdr:col>
      <xdr:colOff>130810</xdr:colOff>
      <xdr:row>52</xdr:row>
      <xdr:rowOff>114300</xdr:rowOff>
    </xdr:to>
    <xdr:pic>
      <xdr:nvPicPr>
        <xdr:cNvPr id="2" name="图片 1" descr="821851390027901378"/>
        <xdr:cNvPicPr>
          <a:picLocks noChangeAspect="1"/>
        </xdr:cNvPicPr>
      </xdr:nvPicPr>
      <xdr:blipFill>
        <a:blip r:embed="rId1"/>
        <a:srcRect l="4340" t="7160" r="6759" b="1401"/>
        <a:stretch>
          <a:fillRect/>
        </a:stretch>
      </xdr:blipFill>
      <xdr:spPr>
        <a:xfrm>
          <a:off x="9525" y="95250"/>
          <a:ext cx="5607685" cy="84391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9</xdr:col>
      <xdr:colOff>3175</xdr:colOff>
      <xdr:row>48</xdr:row>
      <xdr:rowOff>9525</xdr:rowOff>
    </xdr:to>
    <xdr:pic>
      <xdr:nvPicPr>
        <xdr:cNvPr id="2" name="图片 1" descr="800960417329061281"/>
        <xdr:cNvPicPr>
          <a:picLocks noChangeAspect="1"/>
        </xdr:cNvPicPr>
      </xdr:nvPicPr>
      <xdr:blipFill>
        <a:blip r:embed="rId1"/>
        <a:srcRect l="3018" t="5142" r="3431" b="263"/>
        <a:stretch>
          <a:fillRect/>
        </a:stretch>
      </xdr:blipFill>
      <xdr:spPr>
        <a:xfrm>
          <a:off x="9525" y="9525"/>
          <a:ext cx="5480050" cy="777240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17</xdr:col>
      <xdr:colOff>252095</xdr:colOff>
      <xdr:row>51</xdr:row>
      <xdr:rowOff>1537335</xdr:rowOff>
    </xdr:from>
    <xdr:to>
      <xdr:col>18</xdr:col>
      <xdr:colOff>165100</xdr:colOff>
      <xdr:row>54</xdr:row>
      <xdr:rowOff>85090</xdr:rowOff>
    </xdr:to>
    <xdr:pic>
      <xdr:nvPicPr>
        <xdr:cNvPr id="2" name="图片 6"/>
        <xdr:cNvPicPr>
          <a:picLocks noChangeAspect="1"/>
        </xdr:cNvPicPr>
      </xdr:nvPicPr>
      <xdr:blipFill>
        <a:blip r:embed="rId1"/>
        <a:stretch>
          <a:fillRect/>
        </a:stretch>
      </xdr:blipFill>
      <xdr:spPr>
        <a:xfrm>
          <a:off x="11590655" y="36862385"/>
          <a:ext cx="732155" cy="1360805"/>
        </a:xfrm>
        <a:prstGeom prst="rect">
          <a:avLst/>
        </a:prstGeom>
        <a:noFill/>
        <a:ln w="9525">
          <a:noFill/>
        </a:ln>
      </xdr:spPr>
    </xdr:pic>
    <xdr:clientData/>
  </xdr:twoCellAnchor>
  <xdr:twoCellAnchor editAs="oneCell">
    <xdr:from>
      <xdr:col>17</xdr:col>
      <xdr:colOff>0</xdr:colOff>
      <xdr:row>54</xdr:row>
      <xdr:rowOff>0</xdr:rowOff>
    </xdr:from>
    <xdr:to>
      <xdr:col>19</xdr:col>
      <xdr:colOff>132715</xdr:colOff>
      <xdr:row>57</xdr:row>
      <xdr:rowOff>32385</xdr:rowOff>
    </xdr:to>
    <xdr:pic>
      <xdr:nvPicPr>
        <xdr:cNvPr id="3" name="图片 1"/>
        <xdr:cNvPicPr>
          <a:picLocks noChangeAspect="1"/>
        </xdr:cNvPicPr>
      </xdr:nvPicPr>
      <xdr:blipFill>
        <a:blip r:embed="rId2"/>
        <a:stretch>
          <a:fillRect/>
        </a:stretch>
      </xdr:blipFill>
      <xdr:spPr>
        <a:xfrm>
          <a:off x="11338560" y="38138100"/>
          <a:ext cx="1685290" cy="1149985"/>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5" sqref="F15"/>
    </sheetView>
  </sheetViews>
  <sheetFormatPr defaultColWidth="9.14285714285714" defaultRowHeight="12.75"/>
  <sheetData/>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view="pageBreakPreview" zoomScaleNormal="100" workbookViewId="0">
      <selection activeCell="F12" sqref="F12"/>
    </sheetView>
  </sheetViews>
  <sheetFormatPr defaultColWidth="8.85714285714286" defaultRowHeight="12.75" outlineLevelCol="5"/>
  <cols>
    <col min="1" max="1" width="8.85714285714286" style="4"/>
    <col min="2" max="2" width="24.4285714285714" style="66" customWidth="1"/>
    <col min="3" max="3" width="8.14285714285714" style="66" customWidth="1"/>
    <col min="4" max="4" width="17.4285714285714" style="4" customWidth="1"/>
    <col min="5" max="5" width="17.1428571428571" style="4" customWidth="1"/>
    <col min="6" max="6" width="10.2857142857143" style="4" customWidth="1"/>
    <col min="7" max="7" width="8.85714285714286" style="4"/>
    <col min="8" max="10" width="14.5714285714286" style="4"/>
    <col min="11" max="11" width="9.57142857142857" style="4"/>
    <col min="12" max="13" width="14.5714285714286" style="4"/>
    <col min="14" max="15" width="8.85714285714286" style="4"/>
    <col min="16" max="18" width="14.5714285714286" style="4"/>
    <col min="19" max="16384" width="8.85714285714286" style="4"/>
  </cols>
  <sheetData>
    <row r="1" s="65" customFormat="1" ht="48" customHeight="1" spans="1:6">
      <c r="A1" s="67" t="s">
        <v>0</v>
      </c>
      <c r="B1" s="67"/>
      <c r="C1" s="67"/>
      <c r="D1" s="67"/>
      <c r="E1" s="67"/>
      <c r="F1" s="67"/>
    </row>
    <row r="2" s="65" customFormat="1" ht="35" customHeight="1" spans="1:6">
      <c r="A2" s="68" t="s">
        <v>1</v>
      </c>
      <c r="B2" s="68" t="s">
        <v>2</v>
      </c>
      <c r="C2" s="68" t="s">
        <v>3</v>
      </c>
      <c r="D2" s="69" t="s">
        <v>4</v>
      </c>
      <c r="E2" s="69" t="s">
        <v>5</v>
      </c>
      <c r="F2" s="70" t="s">
        <v>6</v>
      </c>
    </row>
    <row r="3" s="65" customFormat="1" ht="30" customHeight="1" spans="1:6">
      <c r="A3" s="71" t="s">
        <v>7</v>
      </c>
      <c r="B3" s="71" t="s">
        <v>8</v>
      </c>
      <c r="C3" s="68"/>
      <c r="D3" s="69" t="s">
        <v>9</v>
      </c>
      <c r="E3" s="72">
        <f>SUM(E4:E7)</f>
        <v>2244382.98414649</v>
      </c>
      <c r="F3" s="73"/>
    </row>
    <row r="4" s="65" customFormat="1" ht="30" customHeight="1" spans="1:6">
      <c r="A4" s="74">
        <v>1.1</v>
      </c>
      <c r="B4" s="74" t="s">
        <v>10</v>
      </c>
      <c r="C4" s="74" t="s">
        <v>11</v>
      </c>
      <c r="D4" s="43">
        <f>'02公区精装土建工程清单'!O6</f>
        <v>527548.68602345</v>
      </c>
      <c r="E4" s="43">
        <f>D4</f>
        <v>527548.68602345</v>
      </c>
      <c r="F4" s="9"/>
    </row>
    <row r="5" s="65" customFormat="1" ht="30" customHeight="1" spans="1:6">
      <c r="A5" s="74">
        <v>1.2</v>
      </c>
      <c r="B5" s="74" t="s">
        <v>12</v>
      </c>
      <c r="C5" s="74" t="s">
        <v>11</v>
      </c>
      <c r="D5" s="43">
        <f>'02公区精装土建工程清单'!O20</f>
        <v>1393638.25048472</v>
      </c>
      <c r="E5" s="43">
        <f>D5</f>
        <v>1393638.25048472</v>
      </c>
      <c r="F5" s="9"/>
    </row>
    <row r="6" s="65" customFormat="1" ht="30" customHeight="1" spans="1:6">
      <c r="A6" s="74">
        <v>1.3</v>
      </c>
      <c r="B6" s="74" t="s">
        <v>13</v>
      </c>
      <c r="C6" s="74" t="s">
        <v>11</v>
      </c>
      <c r="D6" s="43">
        <f>'02公区精装土建工程清单'!O42</f>
        <v>315889.23263832</v>
      </c>
      <c r="E6" s="43">
        <f>D6</f>
        <v>315889.23263832</v>
      </c>
      <c r="F6" s="9"/>
    </row>
    <row r="7" s="65" customFormat="1" ht="30" customHeight="1" spans="1:6">
      <c r="A7" s="74">
        <v>1.4</v>
      </c>
      <c r="B7" s="74" t="s">
        <v>14</v>
      </c>
      <c r="C7" s="74" t="s">
        <v>11</v>
      </c>
      <c r="D7" s="43">
        <f>'02公区精装土建工程清单'!O53</f>
        <v>7306.815</v>
      </c>
      <c r="E7" s="43">
        <f>D7</f>
        <v>7306.815</v>
      </c>
      <c r="F7" s="9"/>
    </row>
    <row r="8" s="65" customFormat="1" ht="30" customHeight="1" spans="1:6">
      <c r="A8" s="75" t="s">
        <v>15</v>
      </c>
      <c r="B8" s="75" t="s">
        <v>16</v>
      </c>
      <c r="C8" s="74" t="s">
        <v>11</v>
      </c>
      <c r="D8" s="43">
        <f>'03天逸项目配套用房精装土建工程清单'!N29</f>
        <v>135685.071694263</v>
      </c>
      <c r="E8" s="76">
        <f>D8</f>
        <v>135685.071694263</v>
      </c>
      <c r="F8" s="77"/>
    </row>
    <row r="9" s="65" customFormat="1" ht="30" customHeight="1" spans="1:6">
      <c r="A9" s="75" t="s">
        <v>17</v>
      </c>
      <c r="B9" s="75" t="s">
        <v>18</v>
      </c>
      <c r="C9" s="74" t="s">
        <v>11</v>
      </c>
      <c r="D9" s="43" t="s">
        <v>9</v>
      </c>
      <c r="E9" s="76">
        <f>'04公区及配套用房精装安装工程清单'!L67</f>
        <v>175796.943237</v>
      </c>
      <c r="F9" s="77"/>
    </row>
    <row r="10" s="65" customFormat="1" ht="30" customHeight="1" spans="1:6">
      <c r="A10" s="75" t="s">
        <v>19</v>
      </c>
      <c r="B10" s="75"/>
      <c r="C10" s="75"/>
      <c r="D10" s="75"/>
      <c r="E10" s="78">
        <f>E3+E8+E9</f>
        <v>2555864.99907775</v>
      </c>
      <c r="F10" s="78"/>
    </row>
  </sheetData>
  <mergeCells count="2">
    <mergeCell ref="A1:F1"/>
    <mergeCell ref="A10:B10"/>
  </mergeCells>
  <pageMargins left="0.751388888888889" right="0.751388888888889" top="1" bottom="1" header="0.5" footer="0.5"/>
  <pageSetup paperSize="9"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5" sqref="F15"/>
    </sheetView>
  </sheetViews>
  <sheetFormatPr defaultColWidth="9.14285714285714" defaultRowHeight="12.75"/>
  <sheetData/>
  <pageMargins left="0.75" right="0.75" top="1" bottom="1" header="0.5" footer="0.5"/>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57"/>
  <sheetViews>
    <sheetView view="pageBreakPreview" zoomScaleNormal="100" workbookViewId="0">
      <pane ySplit="5" topLeftCell="A50" activePane="bottomLeft" state="frozen"/>
      <selection/>
      <selection pane="bottomLeft" activeCell="Q35" sqref="Q35:Q52"/>
    </sheetView>
  </sheetViews>
  <sheetFormatPr defaultColWidth="9" defaultRowHeight="11.25"/>
  <cols>
    <col min="1" max="1" width="5.28571428571429" style="22" customWidth="1"/>
    <col min="2" max="2" width="12.8571428571429" style="22" customWidth="1"/>
    <col min="3" max="3" width="31.1333333333333" style="22" customWidth="1"/>
    <col min="4" max="4" width="6.42857142857143" style="23" customWidth="1"/>
    <col min="5" max="7" width="9.16190476190476" style="25" customWidth="1"/>
    <col min="8" max="8" width="7.28571428571429" style="23" customWidth="1"/>
    <col min="9" max="9" width="11.0857142857143" style="23" customWidth="1"/>
    <col min="10" max="10" width="7.37142857142857" style="23" customWidth="1"/>
    <col min="11" max="11" width="5.85714285714286" style="23" customWidth="1"/>
    <col min="12" max="12" width="8.69523809523809" style="23" customWidth="1"/>
    <col min="13" max="13" width="8.57142857142857" style="23" customWidth="1"/>
    <col min="14" max="14" width="8.14285714285714" style="23" customWidth="1"/>
    <col min="15" max="15" width="10.1142857142857" style="23" customWidth="1"/>
    <col min="16" max="16" width="11.1714285714286" style="23" customWidth="1"/>
    <col min="17" max="17" width="8.57142857142857" style="22" customWidth="1"/>
    <col min="18" max="18" width="12.2857142857143" style="26" customWidth="1"/>
    <col min="19" max="20" width="11" style="22"/>
    <col min="21" max="32" width="9" style="22"/>
    <col min="33" max="16384" width="7.85714285714286" style="22"/>
  </cols>
  <sheetData>
    <row r="1" s="19" customFormat="1" ht="25.5" spans="1:22">
      <c r="A1" s="27" t="s">
        <v>20</v>
      </c>
      <c r="B1" s="27"/>
      <c r="C1" s="27"/>
      <c r="D1" s="27"/>
      <c r="E1" s="29"/>
      <c r="F1" s="29"/>
      <c r="G1" s="29"/>
      <c r="H1" s="27"/>
      <c r="I1" s="27"/>
      <c r="J1" s="27"/>
      <c r="K1" s="27"/>
      <c r="L1" s="27"/>
      <c r="M1" s="27"/>
      <c r="N1" s="27"/>
      <c r="O1" s="27"/>
      <c r="P1" s="27"/>
      <c r="Q1" s="27"/>
      <c r="R1" s="44"/>
      <c r="S1" s="45"/>
      <c r="T1" s="45"/>
      <c r="U1" s="45"/>
      <c r="V1" s="45"/>
    </row>
    <row r="2" s="19" customFormat="1" spans="1:22">
      <c r="A2" s="31" t="s">
        <v>21</v>
      </c>
      <c r="B2" s="31"/>
      <c r="C2" s="31"/>
      <c r="D2" s="30"/>
      <c r="E2" s="33"/>
      <c r="F2" s="33"/>
      <c r="G2" s="33"/>
      <c r="H2" s="30"/>
      <c r="I2" s="30"/>
      <c r="J2" s="30"/>
      <c r="K2" s="30"/>
      <c r="L2" s="30"/>
      <c r="M2" s="30"/>
      <c r="N2" s="30"/>
      <c r="O2" s="30"/>
      <c r="P2" s="30"/>
      <c r="Q2" s="31"/>
      <c r="R2" s="44"/>
      <c r="S2" s="45"/>
      <c r="T2" s="45"/>
      <c r="U2" s="45"/>
      <c r="V2" s="45"/>
    </row>
    <row r="3" s="19" customFormat="1" ht="10" customHeight="1" spans="1:22">
      <c r="A3" s="35" t="s">
        <v>22</v>
      </c>
      <c r="B3" s="35" t="s">
        <v>23</v>
      </c>
      <c r="C3" s="35" t="s">
        <v>24</v>
      </c>
      <c r="D3" s="34" t="s">
        <v>3</v>
      </c>
      <c r="E3" s="37" t="s">
        <v>25</v>
      </c>
      <c r="F3" s="38" t="s">
        <v>26</v>
      </c>
      <c r="G3" s="38" t="s">
        <v>27</v>
      </c>
      <c r="H3" s="34" t="s">
        <v>28</v>
      </c>
      <c r="I3" s="34"/>
      <c r="J3" s="34"/>
      <c r="K3" s="34"/>
      <c r="L3" s="34"/>
      <c r="M3" s="34"/>
      <c r="N3" s="34"/>
      <c r="O3" s="34" t="s">
        <v>29</v>
      </c>
      <c r="P3" s="34" t="s">
        <v>30</v>
      </c>
      <c r="Q3" s="35" t="s">
        <v>31</v>
      </c>
      <c r="R3" s="44"/>
      <c r="S3" s="45"/>
      <c r="T3" s="45"/>
      <c r="U3" s="45"/>
      <c r="V3" s="45"/>
    </row>
    <row r="4" s="19" customFormat="1" ht="45" spans="1:22">
      <c r="A4" s="35"/>
      <c r="B4" s="35"/>
      <c r="C4" s="35"/>
      <c r="D4" s="34"/>
      <c r="E4" s="37"/>
      <c r="F4" s="39"/>
      <c r="G4" s="39"/>
      <c r="H4" s="34" t="s">
        <v>32</v>
      </c>
      <c r="I4" s="34" t="s">
        <v>33</v>
      </c>
      <c r="J4" s="34" t="s">
        <v>34</v>
      </c>
      <c r="K4" s="34" t="s">
        <v>35</v>
      </c>
      <c r="L4" s="34" t="s">
        <v>36</v>
      </c>
      <c r="M4" s="34" t="s">
        <v>37</v>
      </c>
      <c r="N4" s="34" t="s">
        <v>38</v>
      </c>
      <c r="O4" s="34"/>
      <c r="P4" s="34"/>
      <c r="Q4" s="35"/>
      <c r="R4" s="44"/>
      <c r="S4" s="45"/>
      <c r="T4" s="45"/>
      <c r="U4" s="45"/>
      <c r="V4" s="45"/>
    </row>
    <row r="5" s="19" customFormat="1" ht="10" customHeight="1" spans="1:22">
      <c r="A5" s="35"/>
      <c r="B5" s="35"/>
      <c r="C5" s="35"/>
      <c r="D5" s="34"/>
      <c r="E5" s="37"/>
      <c r="F5" s="37"/>
      <c r="G5" s="37"/>
      <c r="H5" s="34"/>
      <c r="I5" s="34" t="s">
        <v>39</v>
      </c>
      <c r="J5" s="34" t="s">
        <v>40</v>
      </c>
      <c r="K5" s="34" t="s">
        <v>41</v>
      </c>
      <c r="L5" s="34"/>
      <c r="M5" s="46">
        <v>0.09</v>
      </c>
      <c r="N5" s="46">
        <v>0.09</v>
      </c>
      <c r="O5" s="34"/>
      <c r="P5" s="34"/>
      <c r="Q5" s="35"/>
      <c r="R5" s="44"/>
      <c r="S5" s="45"/>
      <c r="T5" s="45"/>
      <c r="U5" s="45"/>
      <c r="V5" s="45"/>
    </row>
    <row r="6" s="19" customFormat="1" ht="28" customHeight="1" spans="1:22">
      <c r="A6" s="35" t="s">
        <v>7</v>
      </c>
      <c r="B6" s="50" t="s">
        <v>10</v>
      </c>
      <c r="C6" s="35"/>
      <c r="D6" s="34"/>
      <c r="E6" s="37"/>
      <c r="F6" s="37"/>
      <c r="G6" s="37"/>
      <c r="H6" s="36"/>
      <c r="I6" s="37"/>
      <c r="J6" s="36"/>
      <c r="K6" s="60"/>
      <c r="L6" s="37"/>
      <c r="M6" s="37"/>
      <c r="N6" s="37"/>
      <c r="O6" s="37">
        <f>SUM(P8:P19)</f>
        <v>527548.68602345</v>
      </c>
      <c r="P6" s="37"/>
      <c r="Q6" s="47"/>
      <c r="R6" s="44"/>
      <c r="S6" s="45"/>
      <c r="T6" s="45"/>
      <c r="U6" s="45"/>
      <c r="V6" s="45"/>
    </row>
    <row r="7" s="19" customFormat="1" ht="28" customHeight="1" spans="1:22">
      <c r="A7" s="35">
        <v>1.1</v>
      </c>
      <c r="B7" s="50" t="s">
        <v>42</v>
      </c>
      <c r="C7" s="35"/>
      <c r="D7" s="34"/>
      <c r="E7" s="37"/>
      <c r="F7" s="37"/>
      <c r="G7" s="37"/>
      <c r="H7" s="36"/>
      <c r="I7" s="37"/>
      <c r="J7" s="36"/>
      <c r="K7" s="60"/>
      <c r="L7" s="37"/>
      <c r="M7" s="37"/>
      <c r="N7" s="37"/>
      <c r="O7" s="37"/>
      <c r="P7" s="37"/>
      <c r="Q7" s="47"/>
      <c r="R7" s="44"/>
      <c r="S7" s="45"/>
      <c r="T7" s="45"/>
      <c r="U7" s="45"/>
      <c r="V7" s="45"/>
    </row>
    <row r="8" s="19" customFormat="1" ht="70" customHeight="1" spans="1:22">
      <c r="A8" s="35">
        <v>1</v>
      </c>
      <c r="B8" s="35" t="s">
        <v>43</v>
      </c>
      <c r="C8" s="35" t="s">
        <v>44</v>
      </c>
      <c r="D8" s="34" t="s">
        <v>45</v>
      </c>
      <c r="E8" s="37">
        <f>SUM(F8:G8)</f>
        <v>42.25</v>
      </c>
      <c r="F8" s="37">
        <f>10.13+10.12</f>
        <v>20.25</v>
      </c>
      <c r="G8" s="37">
        <f>22</f>
        <v>22</v>
      </c>
      <c r="H8" s="36">
        <v>39.3</v>
      </c>
      <c r="I8" s="37">
        <f>J8*(1+K8)</f>
        <v>87.25</v>
      </c>
      <c r="J8" s="36">
        <v>87.25</v>
      </c>
      <c r="K8" s="46">
        <v>0</v>
      </c>
      <c r="L8" s="37">
        <v>0.78</v>
      </c>
      <c r="M8" s="37">
        <f>(H8+I8+L8)*$M$5</f>
        <v>11.4597</v>
      </c>
      <c r="N8" s="37">
        <f>(H8+I8+L8+M8)*$N$5</f>
        <v>12.491073</v>
      </c>
      <c r="O8" s="37">
        <f>H8+I8+L8+M8+N8</f>
        <v>151.280773</v>
      </c>
      <c r="P8" s="37">
        <f>E8*O8</f>
        <v>6391.61265925</v>
      </c>
      <c r="Q8" s="47" t="s">
        <v>46</v>
      </c>
      <c r="R8" s="44"/>
      <c r="S8" s="45"/>
      <c r="T8" s="45"/>
      <c r="U8" s="45"/>
      <c r="V8" s="45"/>
    </row>
    <row r="9" s="20" customFormat="1" ht="94" customHeight="1" spans="1:22">
      <c r="A9" s="35">
        <v>2</v>
      </c>
      <c r="B9" s="35" t="s">
        <v>47</v>
      </c>
      <c r="C9" s="35" t="s">
        <v>48</v>
      </c>
      <c r="D9" s="34" t="s">
        <v>45</v>
      </c>
      <c r="E9" s="37">
        <f>SUM(F9:G9)</f>
        <v>113.95</v>
      </c>
      <c r="F9" s="37">
        <f>15.06+17.69+20.13+2.77+8.88</f>
        <v>64.53</v>
      </c>
      <c r="G9" s="37">
        <f>2.77+8.88+20.12+17.65</f>
        <v>49.42</v>
      </c>
      <c r="H9" s="36">
        <v>83.73</v>
      </c>
      <c r="I9" s="37">
        <f>J9*(1+K9)</f>
        <v>120.89</v>
      </c>
      <c r="J9" s="36">
        <v>120.89</v>
      </c>
      <c r="K9" s="46">
        <v>0</v>
      </c>
      <c r="L9" s="37">
        <v>1.07</v>
      </c>
      <c r="M9" s="37">
        <f>(H9+I9+L9)*$M$5</f>
        <v>18.5121</v>
      </c>
      <c r="N9" s="37">
        <f>(H9+I9+L9+M9)*$N$5</f>
        <v>20.178189</v>
      </c>
      <c r="O9" s="37">
        <f>H9+I9+L9+M9+N9</f>
        <v>244.380289</v>
      </c>
      <c r="P9" s="37">
        <f>E9*O9</f>
        <v>27847.13393155</v>
      </c>
      <c r="Q9" s="47" t="s">
        <v>46</v>
      </c>
      <c r="R9" s="44"/>
      <c r="S9" s="45"/>
      <c r="T9" s="45"/>
      <c r="U9" s="45"/>
      <c r="V9" s="45"/>
    </row>
    <row r="10" s="19" customFormat="1" ht="27" customHeight="1" spans="1:22">
      <c r="A10" s="35">
        <v>3</v>
      </c>
      <c r="B10" s="35" t="s">
        <v>49</v>
      </c>
      <c r="C10" s="35" t="s">
        <v>50</v>
      </c>
      <c r="D10" s="34" t="s">
        <v>51</v>
      </c>
      <c r="E10" s="37">
        <f>SUM(F10:G10)</f>
        <v>128.83</v>
      </c>
      <c r="F10" s="37">
        <f>16.1+19.2+18.8+6.7+11.7</f>
        <v>72.5</v>
      </c>
      <c r="G10" s="37">
        <f>19.13+18.8+11.7+6.7</f>
        <v>56.33</v>
      </c>
      <c r="H10" s="36">
        <v>7.19</v>
      </c>
      <c r="I10" s="37">
        <f>J10*(1+K10)</f>
        <v>7.91</v>
      </c>
      <c r="J10" s="36">
        <v>7.91</v>
      </c>
      <c r="K10" s="46">
        <v>0</v>
      </c>
      <c r="L10" s="37">
        <v>0.11</v>
      </c>
      <c r="M10" s="37">
        <f>(H10+I10+L10)*$M$5</f>
        <v>1.3689</v>
      </c>
      <c r="N10" s="37">
        <f>(H10+I10+L10+M10)*$N$5</f>
        <v>1.492101</v>
      </c>
      <c r="O10" s="37">
        <f>H10+I10+L10+M10+N10</f>
        <v>18.071001</v>
      </c>
      <c r="P10" s="37">
        <f>E10*O10</f>
        <v>2328.08705883</v>
      </c>
      <c r="Q10" s="47"/>
      <c r="R10" s="44"/>
      <c r="S10" s="45"/>
      <c r="T10" s="45"/>
      <c r="U10" s="45"/>
      <c r="V10" s="45"/>
    </row>
    <row r="11" s="19" customFormat="1" ht="19" customHeight="1" spans="1:22">
      <c r="A11" s="35">
        <v>1.2</v>
      </c>
      <c r="B11" s="50" t="s">
        <v>52</v>
      </c>
      <c r="C11" s="35"/>
      <c r="D11" s="34"/>
      <c r="E11" s="37"/>
      <c r="F11" s="37"/>
      <c r="G11" s="37"/>
      <c r="H11" s="37"/>
      <c r="I11" s="37"/>
      <c r="J11" s="37"/>
      <c r="K11" s="63"/>
      <c r="L11" s="37"/>
      <c r="M11" s="37"/>
      <c r="N11" s="64"/>
      <c r="O11" s="64"/>
      <c r="P11" s="37"/>
      <c r="Q11" s="49"/>
      <c r="R11" s="44"/>
      <c r="S11" s="45"/>
      <c r="T11" s="45"/>
      <c r="U11" s="45"/>
      <c r="V11" s="45"/>
    </row>
    <row r="12" s="20" customFormat="1" ht="107" customHeight="1" spans="1:22">
      <c r="A12" s="35">
        <v>1</v>
      </c>
      <c r="B12" s="35" t="s">
        <v>43</v>
      </c>
      <c r="C12" s="35" t="s">
        <v>53</v>
      </c>
      <c r="D12" s="34" t="s">
        <v>45</v>
      </c>
      <c r="E12" s="37">
        <f>SUM(F12:G12)</f>
        <v>48.58</v>
      </c>
      <c r="F12" s="37">
        <v>0</v>
      </c>
      <c r="G12" s="37">
        <f>28.11+20.47</f>
        <v>48.58</v>
      </c>
      <c r="H12" s="36">
        <v>39.3</v>
      </c>
      <c r="I12" s="37">
        <f>J12*(1+K12)</f>
        <v>87.25</v>
      </c>
      <c r="J12" s="36">
        <v>87.25</v>
      </c>
      <c r="K12" s="46">
        <v>0</v>
      </c>
      <c r="L12" s="37">
        <v>0.78</v>
      </c>
      <c r="M12" s="37">
        <f>(H12+I12+L12)*$M$5</f>
        <v>11.4597</v>
      </c>
      <c r="N12" s="37">
        <f>(H12+I12+L12+M12)*$N$5</f>
        <v>12.491073</v>
      </c>
      <c r="O12" s="37">
        <f>H12+I12+L12+M12+N12</f>
        <v>151.280773</v>
      </c>
      <c r="P12" s="37">
        <f>E12*O12</f>
        <v>7349.21995234</v>
      </c>
      <c r="Q12" s="47" t="s">
        <v>46</v>
      </c>
      <c r="R12" s="44"/>
      <c r="S12" s="45"/>
      <c r="T12" s="45"/>
      <c r="U12" s="45"/>
      <c r="V12" s="45"/>
    </row>
    <row r="13" s="19" customFormat="1" ht="86" customHeight="1" spans="1:22">
      <c r="A13" s="35">
        <v>2</v>
      </c>
      <c r="B13" s="35" t="s">
        <v>47</v>
      </c>
      <c r="C13" s="62" t="s">
        <v>48</v>
      </c>
      <c r="D13" s="34" t="s">
        <v>45</v>
      </c>
      <c r="E13" s="37">
        <f>SUM(F13:G13)</f>
        <v>137.47</v>
      </c>
      <c r="F13" s="37">
        <f>18.23+20.44+15.86</f>
        <v>54.53</v>
      </c>
      <c r="G13" s="37">
        <f>27.54+18.44+21.1+15.86</f>
        <v>82.94</v>
      </c>
      <c r="H13" s="36">
        <v>83.73</v>
      </c>
      <c r="I13" s="37">
        <f t="shared" ref="I13:I16" si="0">J13*(1+K13)</f>
        <v>120.89</v>
      </c>
      <c r="J13" s="36">
        <v>120.89</v>
      </c>
      <c r="K13" s="46">
        <v>0</v>
      </c>
      <c r="L13" s="37">
        <v>1.07</v>
      </c>
      <c r="M13" s="37">
        <f>(H13+I13+L13)*$M$5</f>
        <v>18.5121</v>
      </c>
      <c r="N13" s="37">
        <f>(H13+I13+L13+M13)*$N$5</f>
        <v>20.178189</v>
      </c>
      <c r="O13" s="37">
        <f>H13+I13+L13+M13+N13</f>
        <v>244.380289</v>
      </c>
      <c r="P13" s="37">
        <f>E13*O13</f>
        <v>33594.95832883</v>
      </c>
      <c r="Q13" s="47" t="s">
        <v>46</v>
      </c>
      <c r="R13" s="44"/>
      <c r="S13" s="45"/>
      <c r="T13" s="45"/>
      <c r="U13" s="45"/>
      <c r="V13" s="45"/>
    </row>
    <row r="14" s="19" customFormat="1" ht="31" customHeight="1" spans="1:22">
      <c r="A14" s="35">
        <v>3</v>
      </c>
      <c r="B14" s="35" t="s">
        <v>49</v>
      </c>
      <c r="C14" s="35" t="s">
        <v>50</v>
      </c>
      <c r="D14" s="34" t="s">
        <v>51</v>
      </c>
      <c r="E14" s="37">
        <f>SUM(F14:G14)</f>
        <v>140.06</v>
      </c>
      <c r="F14" s="37">
        <f>17.2+19+19.64</f>
        <v>55.84</v>
      </c>
      <c r="G14" s="37">
        <f>20+19.4+27.62+17.2</f>
        <v>84.22</v>
      </c>
      <c r="H14" s="36">
        <v>7.19</v>
      </c>
      <c r="I14" s="37">
        <f t="shared" si="0"/>
        <v>7.91</v>
      </c>
      <c r="J14" s="36">
        <v>7.91</v>
      </c>
      <c r="K14" s="46">
        <v>0</v>
      </c>
      <c r="L14" s="37">
        <v>0.11</v>
      </c>
      <c r="M14" s="37">
        <f>(H14+I14+L14)*$M$5</f>
        <v>1.3689</v>
      </c>
      <c r="N14" s="37">
        <f>(H14+I14+L14+M14)*$N$5</f>
        <v>1.492101</v>
      </c>
      <c r="O14" s="37">
        <f>H14+I14+L14+M14+N14</f>
        <v>18.071001</v>
      </c>
      <c r="P14" s="37">
        <f>E14*O14</f>
        <v>2531.02440006</v>
      </c>
      <c r="Q14" s="47"/>
      <c r="R14" s="44"/>
      <c r="S14" s="45"/>
      <c r="T14" s="45"/>
      <c r="U14" s="45"/>
      <c r="V14" s="45"/>
    </row>
    <row r="15" s="19" customFormat="1" ht="40" customHeight="1" spans="1:22">
      <c r="A15" s="35">
        <v>1.3</v>
      </c>
      <c r="B15" s="50" t="s">
        <v>54</v>
      </c>
      <c r="C15" s="35"/>
      <c r="D15" s="34"/>
      <c r="E15" s="37"/>
      <c r="F15" s="37"/>
      <c r="G15" s="37"/>
      <c r="H15" s="37"/>
      <c r="I15" s="37"/>
      <c r="J15" s="37"/>
      <c r="K15" s="63"/>
      <c r="L15" s="37"/>
      <c r="M15" s="37"/>
      <c r="N15" s="37"/>
      <c r="O15" s="37"/>
      <c r="P15" s="37"/>
      <c r="Q15" s="47"/>
      <c r="R15" s="44"/>
      <c r="S15" s="45"/>
      <c r="T15" s="45"/>
      <c r="U15" s="45"/>
      <c r="V15" s="45"/>
    </row>
    <row r="16" s="20" customFormat="1" ht="102" customHeight="1" spans="1:22">
      <c r="A16" s="35">
        <v>1</v>
      </c>
      <c r="B16" s="35" t="s">
        <v>43</v>
      </c>
      <c r="C16" s="35" t="s">
        <v>55</v>
      </c>
      <c r="D16" s="34" t="s">
        <v>45</v>
      </c>
      <c r="E16" s="37">
        <f>SUM(F16:G16)</f>
        <v>1875.05</v>
      </c>
      <c r="F16" s="37">
        <f>(34.72+11)*20+12.74</f>
        <v>927.14</v>
      </c>
      <c r="G16" s="37">
        <f>(34.72+11)*20+42.25-8.74</f>
        <v>947.91</v>
      </c>
      <c r="H16" s="36">
        <v>56.96</v>
      </c>
      <c r="I16" s="37">
        <f>J16*(1+K16)</f>
        <v>99.11</v>
      </c>
      <c r="J16" s="36">
        <v>99.11</v>
      </c>
      <c r="K16" s="46">
        <v>0</v>
      </c>
      <c r="L16" s="37">
        <v>0.78</v>
      </c>
      <c r="M16" s="37">
        <f>(H16+I16+L16)*$M$5</f>
        <v>14.1165</v>
      </c>
      <c r="N16" s="37">
        <f>(H16+I16+L16+M16)*$N$5</f>
        <v>15.386985</v>
      </c>
      <c r="O16" s="37">
        <f>H16+I16+L16+M16+N16</f>
        <v>186.353485</v>
      </c>
      <c r="P16" s="37">
        <f>E16*O16</f>
        <v>349422.10204925</v>
      </c>
      <c r="Q16" s="47" t="s">
        <v>46</v>
      </c>
      <c r="R16" s="44"/>
      <c r="S16" s="45"/>
      <c r="T16" s="45"/>
      <c r="U16" s="45"/>
      <c r="V16" s="45"/>
    </row>
    <row r="17" s="19" customFormat="1" ht="44" customHeight="1" spans="1:22">
      <c r="A17" s="35">
        <v>1.4</v>
      </c>
      <c r="B17" s="50" t="s">
        <v>56</v>
      </c>
      <c r="C17" s="35"/>
      <c r="D17" s="34"/>
      <c r="E17" s="37"/>
      <c r="F17" s="37"/>
      <c r="G17" s="37"/>
      <c r="H17" s="36"/>
      <c r="I17" s="37"/>
      <c r="J17" s="36"/>
      <c r="K17" s="46"/>
      <c r="L17" s="37"/>
      <c r="M17" s="37"/>
      <c r="N17" s="37"/>
      <c r="O17" s="37"/>
      <c r="P17" s="37"/>
      <c r="Q17" s="47"/>
      <c r="R17" s="44"/>
      <c r="S17" s="45"/>
      <c r="T17" s="45"/>
      <c r="U17" s="45"/>
      <c r="V17" s="45"/>
    </row>
    <row r="18" s="20" customFormat="1" ht="84" customHeight="1" spans="1:22">
      <c r="A18" s="35">
        <v>1</v>
      </c>
      <c r="B18" s="35" t="s">
        <v>47</v>
      </c>
      <c r="C18" s="35" t="s">
        <v>48</v>
      </c>
      <c r="D18" s="34" t="s">
        <v>45</v>
      </c>
      <c r="E18" s="37">
        <f>SUM(F18:G18)</f>
        <v>377.33</v>
      </c>
      <c r="F18" s="37">
        <f>17.75+21.83+15.82+17.75+21.83+9.5+11.7+3.64+17.68+15.94+17.86*2</f>
        <v>189.16</v>
      </c>
      <c r="G18" s="37">
        <f>17.75+21.83+8.74+15.55+11.7+17.75+21.83+15.8+3.64+17.86+17.86*2</f>
        <v>188.17</v>
      </c>
      <c r="H18" s="36">
        <v>83.73</v>
      </c>
      <c r="I18" s="37">
        <f t="shared" ref="I18:I24" si="1">J18*(1+K18)</f>
        <v>120.89</v>
      </c>
      <c r="J18" s="36">
        <v>120.89</v>
      </c>
      <c r="K18" s="46">
        <v>0</v>
      </c>
      <c r="L18" s="37">
        <v>1.07</v>
      </c>
      <c r="M18" s="37">
        <f>(H18+I18+L18)*$M$5</f>
        <v>18.5121</v>
      </c>
      <c r="N18" s="37">
        <f>(H18+I18+L18+M18)*$N$5</f>
        <v>20.178189</v>
      </c>
      <c r="O18" s="37">
        <f>H18+I18+L18+M18+N18</f>
        <v>244.380289</v>
      </c>
      <c r="P18" s="37">
        <f>E18*O18</f>
        <v>92212.01444837</v>
      </c>
      <c r="Q18" s="47" t="s">
        <v>46</v>
      </c>
      <c r="R18" s="44"/>
      <c r="S18" s="45"/>
      <c r="T18" s="45"/>
      <c r="U18" s="45"/>
      <c r="V18" s="45"/>
    </row>
    <row r="19" s="19" customFormat="1" ht="38" customHeight="1" spans="1:22">
      <c r="A19" s="35">
        <v>2</v>
      </c>
      <c r="B19" s="35" t="s">
        <v>49</v>
      </c>
      <c r="C19" s="35" t="s">
        <v>50</v>
      </c>
      <c r="D19" s="34" t="s">
        <v>51</v>
      </c>
      <c r="E19" s="37">
        <f>SUM(F19:G19)</f>
        <v>324.97</v>
      </c>
      <c r="F19" s="37">
        <f>19.2+20.8+17.2+19.2+20.8+12.42+14.1+19.4*2</f>
        <v>162.52</v>
      </c>
      <c r="G19" s="37">
        <f>19.2+20.8+11.84+17.71+14.1+19.2+20.8+19.4*2</f>
        <v>162.45</v>
      </c>
      <c r="H19" s="36">
        <v>7.19</v>
      </c>
      <c r="I19" s="37">
        <f t="shared" si="1"/>
        <v>7.91</v>
      </c>
      <c r="J19" s="36">
        <v>7.91</v>
      </c>
      <c r="K19" s="46">
        <v>0</v>
      </c>
      <c r="L19" s="37">
        <v>0.11</v>
      </c>
      <c r="M19" s="37">
        <f>(H19+I19+L19)*$M$5</f>
        <v>1.3689</v>
      </c>
      <c r="N19" s="37">
        <f>(H19+I19+L19+M19)*$N$5</f>
        <v>1.492101</v>
      </c>
      <c r="O19" s="37">
        <f>H19+I19+L19+M19+N19</f>
        <v>18.071001</v>
      </c>
      <c r="P19" s="37">
        <f>E19*O19</f>
        <v>5872.53319497</v>
      </c>
      <c r="Q19" s="47"/>
      <c r="R19" s="44"/>
      <c r="S19" s="45"/>
      <c r="T19" s="45"/>
      <c r="U19" s="45"/>
      <c r="V19" s="45"/>
    </row>
    <row r="20" s="19" customFormat="1" ht="31" customHeight="1" spans="1:22">
      <c r="A20" s="35" t="s">
        <v>15</v>
      </c>
      <c r="B20" s="50" t="s">
        <v>12</v>
      </c>
      <c r="C20" s="35"/>
      <c r="D20" s="34"/>
      <c r="E20" s="37"/>
      <c r="F20" s="37"/>
      <c r="G20" s="37"/>
      <c r="H20" s="37"/>
      <c r="I20" s="37"/>
      <c r="J20" s="37"/>
      <c r="K20" s="63"/>
      <c r="L20" s="37"/>
      <c r="M20" s="37"/>
      <c r="N20" s="37"/>
      <c r="O20" s="37">
        <f>SUM(P22:P41)</f>
        <v>1393638.25048472</v>
      </c>
      <c r="P20" s="37"/>
      <c r="Q20" s="47"/>
      <c r="R20" s="44"/>
      <c r="S20" s="45"/>
      <c r="T20" s="45"/>
      <c r="U20" s="45"/>
      <c r="V20" s="45"/>
    </row>
    <row r="21" s="19" customFormat="1" spans="1:22">
      <c r="A21" s="35">
        <v>2.1</v>
      </c>
      <c r="B21" s="50" t="s">
        <v>57</v>
      </c>
      <c r="C21" s="35"/>
      <c r="D21" s="34"/>
      <c r="E21" s="37"/>
      <c r="F21" s="37"/>
      <c r="G21" s="37"/>
      <c r="H21" s="37"/>
      <c r="I21" s="37"/>
      <c r="J21" s="37"/>
      <c r="K21" s="63"/>
      <c r="L21" s="37"/>
      <c r="M21" s="37"/>
      <c r="N21" s="37"/>
      <c r="O21" s="37"/>
      <c r="P21" s="37"/>
      <c r="Q21" s="47"/>
      <c r="R21" s="44"/>
      <c r="S21" s="45"/>
      <c r="T21" s="45"/>
      <c r="U21" s="45"/>
      <c r="V21" s="45"/>
    </row>
    <row r="22" s="20" customFormat="1" ht="102" customHeight="1" spans="1:22">
      <c r="A22" s="35">
        <v>1</v>
      </c>
      <c r="B22" s="35" t="s">
        <v>58</v>
      </c>
      <c r="C22" s="35" t="s">
        <v>59</v>
      </c>
      <c r="D22" s="34" t="s">
        <v>45</v>
      </c>
      <c r="E22" s="37">
        <f>SUM(F22:G22)</f>
        <v>185.1432</v>
      </c>
      <c r="F22" s="37">
        <f>(16.67*3.2-1.1*2.1*3-1*2.1)*2</f>
        <v>88.628</v>
      </c>
      <c r="G22" s="37">
        <f>17.89*3.2-1.1*2.1*2-1.1*2.1-1.2*2.1+15.946*3.2-1.1*2.1</f>
        <v>96.5152</v>
      </c>
      <c r="H22" s="36">
        <v>137.17</v>
      </c>
      <c r="I22" s="37">
        <f t="shared" si="1"/>
        <v>287.5</v>
      </c>
      <c r="J22" s="36">
        <v>287.5</v>
      </c>
      <c r="K22" s="46">
        <v>0</v>
      </c>
      <c r="L22" s="37">
        <v>5.9</v>
      </c>
      <c r="M22" s="37">
        <f>(H22+I22+L22)*$M$5</f>
        <v>38.7513</v>
      </c>
      <c r="N22" s="37">
        <f>(H22+I22+L22+M22)*$N$5</f>
        <v>42.238917</v>
      </c>
      <c r="O22" s="37">
        <f>H22+I22+L22+M22+N22</f>
        <v>511.560217</v>
      </c>
      <c r="P22" s="37">
        <f>E22*O22</f>
        <v>94711.8955680744</v>
      </c>
      <c r="Q22" s="47"/>
      <c r="R22" s="44"/>
      <c r="S22" s="45"/>
      <c r="T22" s="45"/>
      <c r="U22" s="45"/>
      <c r="V22" s="45"/>
    </row>
    <row r="23" s="20" customFormat="1" ht="25" customHeight="1" spans="1:22">
      <c r="A23" s="35">
        <v>2</v>
      </c>
      <c r="B23" s="35" t="s">
        <v>60</v>
      </c>
      <c r="C23" s="35" t="s">
        <v>61</v>
      </c>
      <c r="D23" s="34" t="s">
        <v>45</v>
      </c>
      <c r="E23" s="37">
        <f>SUM(F23:G23)</f>
        <v>9.66</v>
      </c>
      <c r="F23" s="37">
        <f>1.1*2.1*2</f>
        <v>4.62</v>
      </c>
      <c r="G23" s="37">
        <f>1.2*2.1*2</f>
        <v>5.04</v>
      </c>
      <c r="H23" s="36">
        <v>106.61</v>
      </c>
      <c r="I23" s="37">
        <f t="shared" si="1"/>
        <v>724.33</v>
      </c>
      <c r="J23" s="36">
        <v>724.33</v>
      </c>
      <c r="K23" s="46">
        <v>0</v>
      </c>
      <c r="L23" s="37"/>
      <c r="M23" s="37">
        <f>(H23+I23+L23)*$M$5</f>
        <v>74.7846</v>
      </c>
      <c r="N23" s="37">
        <f>(H23+I23+L23+M23)*$N$5</f>
        <v>81.515214</v>
      </c>
      <c r="O23" s="37">
        <f>H23+I23+L23+M23+N23</f>
        <v>987.239814</v>
      </c>
      <c r="P23" s="37">
        <f>E23*O23</f>
        <v>9536.73660324</v>
      </c>
      <c r="Q23" s="47"/>
      <c r="R23" s="44"/>
      <c r="S23" s="45"/>
      <c r="T23" s="45"/>
      <c r="U23" s="45"/>
      <c r="V23" s="45"/>
    </row>
    <row r="24" s="19" customFormat="1" ht="33.75" spans="1:22">
      <c r="A24" s="35">
        <v>3</v>
      </c>
      <c r="B24" s="35" t="s">
        <v>62</v>
      </c>
      <c r="C24" s="35" t="s">
        <v>63</v>
      </c>
      <c r="D24" s="34" t="s">
        <v>64</v>
      </c>
      <c r="E24" s="37">
        <f>SUM(F24:G24)</f>
        <v>12</v>
      </c>
      <c r="F24" s="37">
        <v>6</v>
      </c>
      <c r="G24" s="37">
        <v>6</v>
      </c>
      <c r="H24" s="36">
        <v>75.16</v>
      </c>
      <c r="I24" s="37">
        <f t="shared" si="1"/>
        <v>260</v>
      </c>
      <c r="J24" s="36">
        <v>260</v>
      </c>
      <c r="K24" s="46">
        <v>0</v>
      </c>
      <c r="L24" s="37"/>
      <c r="M24" s="37">
        <f t="shared" ref="M24:M29" si="2">(H24+I24+L24)*$M$5</f>
        <v>30.1644</v>
      </c>
      <c r="N24" s="37">
        <f t="shared" ref="N24:N29" si="3">(H24+I24+L24+M24)*$N$5</f>
        <v>32.879196</v>
      </c>
      <c r="O24" s="37">
        <f t="shared" ref="O24:O29" si="4">H24+I24+L24+M24+N24</f>
        <v>398.203596</v>
      </c>
      <c r="P24" s="37">
        <f t="shared" ref="P24:P29" si="5">E24*O24</f>
        <v>4778.443152</v>
      </c>
      <c r="Q24" s="47"/>
      <c r="R24" s="44"/>
      <c r="S24" s="45"/>
      <c r="T24" s="45"/>
      <c r="U24" s="45"/>
      <c r="V24" s="45"/>
    </row>
    <row r="25" s="19" customFormat="1" ht="22.5" spans="1:22">
      <c r="A25" s="35">
        <v>2.2</v>
      </c>
      <c r="B25" s="50" t="s">
        <v>65</v>
      </c>
      <c r="C25" s="35"/>
      <c r="D25" s="34"/>
      <c r="E25" s="37"/>
      <c r="F25" s="37"/>
      <c r="G25" s="37"/>
      <c r="H25" s="37"/>
      <c r="I25" s="37"/>
      <c r="J25" s="37"/>
      <c r="K25" s="63"/>
      <c r="L25" s="37"/>
      <c r="M25" s="37"/>
      <c r="N25" s="37"/>
      <c r="O25" s="37"/>
      <c r="P25" s="37"/>
      <c r="Q25" s="47"/>
      <c r="R25" s="44"/>
      <c r="S25" s="45"/>
      <c r="T25" s="45"/>
      <c r="U25" s="45"/>
      <c r="V25" s="45"/>
    </row>
    <row r="26" s="19" customFormat="1" ht="54" customHeight="1" spans="1:22">
      <c r="A26" s="35">
        <v>1</v>
      </c>
      <c r="B26" s="35" t="s">
        <v>66</v>
      </c>
      <c r="C26" s="35" t="s">
        <v>67</v>
      </c>
      <c r="D26" s="34" t="s">
        <v>45</v>
      </c>
      <c r="E26" s="37">
        <f>SUM(F26:G26)</f>
        <v>261.468</v>
      </c>
      <c r="F26" s="37">
        <f>23.2*3.2+25.2*3.2-1.2*2.1*2-1.1*2.1*4</f>
        <v>140.6</v>
      </c>
      <c r="G26" s="37">
        <f>20.9*3.2-1.1*2.1*2-1.2*2.1+22.59*3.2-1.2*2.1*2-1*1.8*2-1.2*2.1</f>
        <v>120.868</v>
      </c>
      <c r="H26" s="36">
        <v>32.63</v>
      </c>
      <c r="I26" s="37">
        <f>J26*(1+K26)</f>
        <v>18</v>
      </c>
      <c r="J26" s="36">
        <v>18</v>
      </c>
      <c r="K26" s="46">
        <v>0</v>
      </c>
      <c r="L26" s="37">
        <v>0.64</v>
      </c>
      <c r="M26" s="37">
        <f t="shared" si="2"/>
        <v>4.6143</v>
      </c>
      <c r="N26" s="37">
        <f t="shared" si="3"/>
        <v>5.029587</v>
      </c>
      <c r="O26" s="37">
        <f t="shared" si="4"/>
        <v>60.913887</v>
      </c>
      <c r="P26" s="37">
        <f t="shared" si="5"/>
        <v>15927.032206116</v>
      </c>
      <c r="Q26" s="47" t="s">
        <v>68</v>
      </c>
      <c r="R26" s="44"/>
      <c r="S26" s="45"/>
      <c r="T26" s="45"/>
      <c r="U26" s="45"/>
      <c r="V26" s="45"/>
    </row>
    <row r="27" s="19" customFormat="1" ht="30" customHeight="1" spans="1:22">
      <c r="A27" s="35">
        <v>2.3</v>
      </c>
      <c r="B27" s="50" t="s">
        <v>69</v>
      </c>
      <c r="C27" s="35"/>
      <c r="D27" s="34"/>
      <c r="E27" s="37"/>
      <c r="F27" s="37"/>
      <c r="G27" s="37"/>
      <c r="H27" s="36"/>
      <c r="I27" s="37"/>
      <c r="J27" s="36"/>
      <c r="K27" s="46"/>
      <c r="L27" s="37"/>
      <c r="M27" s="37"/>
      <c r="N27" s="37"/>
      <c r="O27" s="37"/>
      <c r="P27" s="37"/>
      <c r="Q27" s="47"/>
      <c r="R27" s="44"/>
      <c r="S27" s="45"/>
      <c r="T27" s="45"/>
      <c r="U27" s="45"/>
      <c r="V27" s="45"/>
    </row>
    <row r="28" s="19" customFormat="1" ht="103" customHeight="1" spans="1:22">
      <c r="A28" s="35">
        <v>1</v>
      </c>
      <c r="B28" s="35" t="s">
        <v>70</v>
      </c>
      <c r="C28" s="35" t="s">
        <v>71</v>
      </c>
      <c r="D28" s="34" t="s">
        <v>45</v>
      </c>
      <c r="E28" s="37">
        <f>SUM(F28:G28)</f>
        <v>128.24</v>
      </c>
      <c r="F28" s="37">
        <f>13.1*3.2*2-1.2*2.1*2*2-1.1*2.7*2*2</f>
        <v>61.88</v>
      </c>
      <c r="G28" s="37">
        <f>13.8*3.2*2-1.2*2.1*2*2-1.1*2.7*2*2</f>
        <v>66.36</v>
      </c>
      <c r="H28" s="36">
        <v>58</v>
      </c>
      <c r="I28" s="37">
        <f t="shared" ref="I28:I31" si="6">J28*(1+K28)</f>
        <v>91.72</v>
      </c>
      <c r="J28" s="36">
        <v>91.72</v>
      </c>
      <c r="K28" s="46">
        <v>0</v>
      </c>
      <c r="L28" s="37">
        <v>0.83</v>
      </c>
      <c r="M28" s="37">
        <f t="shared" si="2"/>
        <v>13.5495</v>
      </c>
      <c r="N28" s="37">
        <f t="shared" si="3"/>
        <v>14.768955</v>
      </c>
      <c r="O28" s="37">
        <f t="shared" si="4"/>
        <v>178.868455</v>
      </c>
      <c r="P28" s="37">
        <f t="shared" si="5"/>
        <v>22938.0906692</v>
      </c>
      <c r="Q28" s="47" t="s">
        <v>46</v>
      </c>
      <c r="R28" s="44"/>
      <c r="S28" s="45">
        <f>E19+E14+E10</f>
        <v>593.86</v>
      </c>
      <c r="T28" s="45"/>
      <c r="U28" s="45"/>
      <c r="V28" s="45"/>
    </row>
    <row r="29" s="20" customFormat="1" ht="51" customHeight="1" spans="1:22">
      <c r="A29" s="35">
        <v>2</v>
      </c>
      <c r="B29" s="35" t="s">
        <v>72</v>
      </c>
      <c r="C29" s="35" t="s">
        <v>73</v>
      </c>
      <c r="D29" s="34" t="s">
        <v>45</v>
      </c>
      <c r="E29" s="37">
        <f>SUM(F29:G29)</f>
        <v>15.6</v>
      </c>
      <c r="F29" s="37">
        <f>0.3*(2.7*2+1.1)*2*2</f>
        <v>7.8</v>
      </c>
      <c r="G29" s="37">
        <f>0.3*(2.7*2+1.1)*4</f>
        <v>7.8</v>
      </c>
      <c r="H29" s="36">
        <v>39.93</v>
      </c>
      <c r="I29" s="37">
        <f t="shared" si="6"/>
        <v>329.02</v>
      </c>
      <c r="J29" s="36">
        <v>329.02</v>
      </c>
      <c r="K29" s="46">
        <v>0</v>
      </c>
      <c r="L29" s="37"/>
      <c r="M29" s="37">
        <f t="shared" si="2"/>
        <v>33.2055</v>
      </c>
      <c r="N29" s="37">
        <f t="shared" si="3"/>
        <v>36.193995</v>
      </c>
      <c r="O29" s="37">
        <f t="shared" si="4"/>
        <v>438.349495</v>
      </c>
      <c r="P29" s="37">
        <f t="shared" si="5"/>
        <v>6838.252122</v>
      </c>
      <c r="Q29" s="47"/>
      <c r="R29" s="44"/>
      <c r="S29" s="45"/>
      <c r="T29" s="45"/>
      <c r="U29" s="45"/>
      <c r="V29" s="45"/>
    </row>
    <row r="30" s="19" customFormat="1" ht="60" customHeight="1" spans="1:22">
      <c r="A30" s="35">
        <v>2.4</v>
      </c>
      <c r="B30" s="50" t="s">
        <v>74</v>
      </c>
      <c r="C30" s="35"/>
      <c r="D30" s="34"/>
      <c r="E30" s="37"/>
      <c r="F30" s="37"/>
      <c r="G30" s="37"/>
      <c r="H30" s="36"/>
      <c r="I30" s="37"/>
      <c r="J30" s="36"/>
      <c r="K30" s="46"/>
      <c r="L30" s="37"/>
      <c r="M30" s="37"/>
      <c r="N30" s="37"/>
      <c r="O30" s="37"/>
      <c r="P30" s="37"/>
      <c r="Q30" s="47"/>
      <c r="R30" s="44"/>
      <c r="S30" s="45"/>
      <c r="T30" s="45"/>
      <c r="U30" s="45"/>
      <c r="V30" s="45"/>
    </row>
    <row r="31" s="19" customFormat="1" ht="38" customHeight="1" spans="1:22">
      <c r="A31" s="35">
        <v>1</v>
      </c>
      <c r="B31" s="35" t="s">
        <v>66</v>
      </c>
      <c r="C31" s="35" t="s">
        <v>67</v>
      </c>
      <c r="D31" s="34" t="s">
        <v>45</v>
      </c>
      <c r="E31" s="37">
        <f>621.98*3.5-1.5*3.5-1.1*2.1-1.1*2.1-1.5*3.5-1.1*2.1-3.4*2*3.5-1.5*3.5-1.1*2.1-3.4*2.5-1.1*2.1-1.4*2.1-1.4*2.9-1.3*2.2-1.5*2.1*2--1.4*2.9-1.3*2.2-1.4*2.1-1.1*2.1-6.58*3.5-1.5*2.1-1.5*1.2-1.5*1.1-1.5*2.1-1.2*2.1-1.2*2.1-2.8*3.5-1.5*2.1-1.5*1.1-1.5*1.2-1.5*2.1-1.5*2-1.5*1.7-2.8*3.5-1.2*2.1*2-1.5*2.1-1.5*1.7-1.1*2.1-1.1*1.5-1.1*2.1-1.2*2.1*2-1.5*2-1.5*1.5-1.1*1.5-1.1*2.1-1.1*2.1-1.1*2.1*2*4-1.1*1.5*2*2-1.5*1.5*4</f>
        <v>1956.75</v>
      </c>
      <c r="F31" s="37">
        <f>(11.74+6.7+19.2+18.8+16)*3.5-1.2*2-1.1*2.1-1.1*2.1+(19.64+19+17.2+15)*5.05-1.1*2.1-1.3*2.2-1.4*2.1*2-1.1*2.1-1.5*2.1+(19.2+20.8+17.2)*3.6-1.5*1.2-1.5*2.1-1.5*1.1+(19.2+20.8+12.42+14.1-1.5-2.8)*3.6-1.2*2.1-1.5*2.1-1.5*1.7+(19.4+8+17.4-1.5-2.8)*3.6-1.2*2.1-1.5*2-1.1*2.1-1.1*2.1-1.5*1.5-1.1*1.5+(19.4*3.6-1.1*2.1-1.1*2.1-1.5*1.5-1.1*1.5)*2</f>
        <v>1257.244</v>
      </c>
      <c r="G31" s="37">
        <f>(19.13+18.8+19.2+19)*3.5-1.1*2.1*2-1.5*2.1+(20+19.4+27.61+17.2)*5.05-1.5*2.1-1.4*2.1-1.4*2.9-1.3*2.2-1.1*2.1+(19.2+20.8+11.84-1.5-2.8+17.71)*3.6-1.5*1.2-1.5*1.1-1.5*2.1-1.2*2.1+(19.2+20.8+14.1)*3.6-1.5*1.7-1.5*2.1-1.5*2-1.2*2.1+(19.4+8+17.4-1.5-2.8)*3.6-1.2*2.1-1.5*2-1.1*2.1-1.1*2.1-1.5*1.5-1.1*1.5+(19.4*3.6-1.1*2.1-1.1*2.1-1.5*1.5-1.1*1.5)*2</f>
        <v>1332.3455</v>
      </c>
      <c r="H31" s="36">
        <v>32.63</v>
      </c>
      <c r="I31" s="37">
        <f t="shared" si="6"/>
        <v>18</v>
      </c>
      <c r="J31" s="36">
        <v>18</v>
      </c>
      <c r="K31" s="46">
        <v>0</v>
      </c>
      <c r="L31" s="37">
        <v>0.64</v>
      </c>
      <c r="M31" s="37">
        <f t="shared" ref="M31:M38" si="7">(H31+I31+L31)*$M$5</f>
        <v>4.6143</v>
      </c>
      <c r="N31" s="37">
        <f t="shared" ref="N31:N38" si="8">(H31+I31+L31+M31)*$N$5</f>
        <v>5.029587</v>
      </c>
      <c r="O31" s="37">
        <f t="shared" ref="O31:O38" si="9">H31+I31+L31+M31+N31</f>
        <v>60.913887</v>
      </c>
      <c r="P31" s="37">
        <f t="shared" ref="P31:P38" si="10">E31*O31</f>
        <v>119193.24838725</v>
      </c>
      <c r="Q31" s="47" t="s">
        <v>68</v>
      </c>
      <c r="R31" s="44"/>
      <c r="S31" s="45"/>
      <c r="T31" s="45"/>
      <c r="U31" s="45"/>
      <c r="V31" s="45"/>
    </row>
    <row r="32" s="19" customFormat="1" ht="28" customHeight="1" spans="1:22">
      <c r="A32" s="35">
        <v>2.5</v>
      </c>
      <c r="B32" s="50" t="s">
        <v>75</v>
      </c>
      <c r="C32" s="35"/>
      <c r="D32" s="34"/>
      <c r="E32" s="37"/>
      <c r="F32" s="37"/>
      <c r="G32" s="37"/>
      <c r="H32" s="37"/>
      <c r="I32" s="37"/>
      <c r="J32" s="37"/>
      <c r="K32" s="63"/>
      <c r="L32" s="37"/>
      <c r="M32" s="37"/>
      <c r="N32" s="37"/>
      <c r="O32" s="37"/>
      <c r="P32" s="37"/>
      <c r="Q32" s="47"/>
      <c r="R32" s="44"/>
      <c r="S32" s="45"/>
      <c r="T32" s="45"/>
      <c r="U32" s="45"/>
      <c r="V32" s="45"/>
    </row>
    <row r="33" s="19" customFormat="1" ht="101.25" spans="1:22">
      <c r="A33" s="35">
        <v>1</v>
      </c>
      <c r="B33" s="35" t="s">
        <v>76</v>
      </c>
      <c r="C33" s="35" t="s">
        <v>71</v>
      </c>
      <c r="D33" s="34" t="s">
        <v>45</v>
      </c>
      <c r="E33" s="37">
        <f t="shared" ref="E33:E37" si="11">SUM(F33:G33)</f>
        <v>153.16</v>
      </c>
      <c r="F33" s="37">
        <f>31.36*3-1.4*3-1.4*2.1-1*1.8-1*1-1.4*2.1-1.2*2.1-1*1.8</f>
        <v>76.88</v>
      </c>
      <c r="G33" s="37">
        <f>30.18*3-1.2*2.1-1*1.8-1*1.8-1*1-1.4*2.1-1.4*3</f>
        <v>76.28</v>
      </c>
      <c r="H33" s="36">
        <v>58</v>
      </c>
      <c r="I33" s="37">
        <f>J33*(1+K33)</f>
        <v>91.72</v>
      </c>
      <c r="J33" s="36">
        <v>91.72</v>
      </c>
      <c r="K33" s="46">
        <v>0</v>
      </c>
      <c r="L33" s="37">
        <v>0.83</v>
      </c>
      <c r="M33" s="37">
        <f t="shared" si="7"/>
        <v>13.5495</v>
      </c>
      <c r="N33" s="37">
        <f t="shared" si="8"/>
        <v>14.768955</v>
      </c>
      <c r="O33" s="37">
        <f t="shared" si="9"/>
        <v>178.868455</v>
      </c>
      <c r="P33" s="37">
        <f t="shared" si="10"/>
        <v>27395.4925678</v>
      </c>
      <c r="Q33" s="47" t="s">
        <v>46</v>
      </c>
      <c r="R33" s="44"/>
      <c r="S33" s="45"/>
      <c r="T33" s="45"/>
      <c r="U33" s="45"/>
      <c r="V33" s="45"/>
    </row>
    <row r="34" s="19" customFormat="1" ht="25" customHeight="1" spans="1:22">
      <c r="A34" s="35">
        <v>2.6</v>
      </c>
      <c r="B34" s="50" t="s">
        <v>77</v>
      </c>
      <c r="C34" s="35"/>
      <c r="D34" s="34"/>
      <c r="E34" s="37"/>
      <c r="F34" s="37"/>
      <c r="G34" s="37"/>
      <c r="H34" s="36"/>
      <c r="I34" s="37"/>
      <c r="J34" s="36"/>
      <c r="K34" s="46"/>
      <c r="L34" s="37"/>
      <c r="M34" s="37"/>
      <c r="N34" s="37"/>
      <c r="O34" s="37"/>
      <c r="P34" s="37"/>
      <c r="Q34" s="47"/>
      <c r="R34" s="44"/>
      <c r="S34" s="45"/>
      <c r="T34" s="45"/>
      <c r="U34" s="45"/>
      <c r="V34" s="45"/>
    </row>
    <row r="35" s="19" customFormat="1" ht="106" customHeight="1" spans="1:22">
      <c r="A35" s="35">
        <v>1</v>
      </c>
      <c r="B35" s="35" t="s">
        <v>76</v>
      </c>
      <c r="C35" s="35" t="s">
        <v>71</v>
      </c>
      <c r="D35" s="34" t="s">
        <v>45</v>
      </c>
      <c r="E35" s="37">
        <f t="shared" si="11"/>
        <v>119.788</v>
      </c>
      <c r="F35" s="37">
        <f>25.14*3.6-1.1*2.1-1*1.8-1.2*2.1-4.4*4.3-1.1*2.3*2</f>
        <v>59.894</v>
      </c>
      <c r="G35" s="37">
        <f>25.14*3.6-1.1*2.1-1*1.8-1.2*2.1-4.4*4.3-1.1*2.3*2</f>
        <v>59.894</v>
      </c>
      <c r="H35" s="36">
        <v>58</v>
      </c>
      <c r="I35" s="37">
        <f t="shared" ref="I35:I41" si="12">J35*(1+K35)</f>
        <v>91.72</v>
      </c>
      <c r="J35" s="36">
        <v>91.72</v>
      </c>
      <c r="K35" s="46">
        <v>0</v>
      </c>
      <c r="L35" s="37">
        <v>0.83</v>
      </c>
      <c r="M35" s="37">
        <f t="shared" si="7"/>
        <v>13.5495</v>
      </c>
      <c r="N35" s="37">
        <f t="shared" si="8"/>
        <v>14.768955</v>
      </c>
      <c r="O35" s="37">
        <f t="shared" si="9"/>
        <v>178.868455</v>
      </c>
      <c r="P35" s="37">
        <f t="shared" si="10"/>
        <v>21426.29448754</v>
      </c>
      <c r="Q35" s="47" t="s">
        <v>46</v>
      </c>
      <c r="R35" s="44"/>
      <c r="S35" s="45"/>
      <c r="T35" s="45"/>
      <c r="U35" s="45"/>
      <c r="V35" s="45"/>
    </row>
    <row r="36" s="19" customFormat="1" ht="47" customHeight="1" spans="1:22">
      <c r="A36" s="35">
        <v>2</v>
      </c>
      <c r="B36" s="35" t="s">
        <v>78</v>
      </c>
      <c r="C36" s="35" t="s">
        <v>79</v>
      </c>
      <c r="D36" s="34" t="s">
        <v>45</v>
      </c>
      <c r="E36" s="37">
        <f t="shared" ref="E36:E41" si="13">SUM(F36:G36)</f>
        <v>22</v>
      </c>
      <c r="F36" s="37">
        <v>0</v>
      </c>
      <c r="G36" s="37">
        <f t="shared" ref="E36:G36" si="14">4.4*5</f>
        <v>22</v>
      </c>
      <c r="H36" s="36">
        <v>30.99</v>
      </c>
      <c r="I36" s="37">
        <f t="shared" si="12"/>
        <v>99.4</v>
      </c>
      <c r="J36" s="36">
        <v>99.4</v>
      </c>
      <c r="K36" s="46">
        <v>0</v>
      </c>
      <c r="L36" s="37"/>
      <c r="M36" s="37">
        <f t="shared" si="7"/>
        <v>11.7351</v>
      </c>
      <c r="N36" s="37">
        <f t="shared" si="8"/>
        <v>12.791259</v>
      </c>
      <c r="O36" s="37">
        <f t="shared" si="9"/>
        <v>154.916359</v>
      </c>
      <c r="P36" s="37">
        <f t="shared" si="10"/>
        <v>3408.159898</v>
      </c>
      <c r="Q36" s="47"/>
      <c r="R36" s="44"/>
      <c r="S36" s="45"/>
      <c r="T36" s="45"/>
      <c r="U36" s="45"/>
      <c r="V36" s="45"/>
    </row>
    <row r="37" s="19" customFormat="1" ht="46" customHeight="1" spans="1:22">
      <c r="A37" s="35">
        <v>3</v>
      </c>
      <c r="B37" s="35" t="s">
        <v>72</v>
      </c>
      <c r="C37" s="35" t="s">
        <v>73</v>
      </c>
      <c r="D37" s="34" t="s">
        <v>45</v>
      </c>
      <c r="E37" s="37">
        <f t="shared" si="11"/>
        <v>7.8</v>
      </c>
      <c r="F37" s="37">
        <f>0.3*(2.7*2+1.1)*2</f>
        <v>3.9</v>
      </c>
      <c r="G37" s="37">
        <f>0.3*(2.7*2+1.1)*2</f>
        <v>3.9</v>
      </c>
      <c r="H37" s="36">
        <v>39.93</v>
      </c>
      <c r="I37" s="37">
        <f t="shared" si="12"/>
        <v>329.02</v>
      </c>
      <c r="J37" s="36">
        <v>329.02</v>
      </c>
      <c r="K37" s="46">
        <v>0</v>
      </c>
      <c r="L37" s="37"/>
      <c r="M37" s="37">
        <f t="shared" si="7"/>
        <v>33.2055</v>
      </c>
      <c r="N37" s="37">
        <f t="shared" si="8"/>
        <v>36.193995</v>
      </c>
      <c r="O37" s="37">
        <f t="shared" si="9"/>
        <v>438.349495</v>
      </c>
      <c r="P37" s="37">
        <f t="shared" si="10"/>
        <v>3419.126061</v>
      </c>
      <c r="Q37" s="47"/>
      <c r="R37" s="44"/>
      <c r="S37" s="45"/>
      <c r="T37" s="45"/>
      <c r="U37" s="45"/>
      <c r="V37" s="45"/>
    </row>
    <row r="38" s="20" customFormat="1" ht="37" customHeight="1" spans="1:22">
      <c r="A38" s="35">
        <v>4</v>
      </c>
      <c r="B38" s="35" t="s">
        <v>80</v>
      </c>
      <c r="C38" s="35" t="s">
        <v>81</v>
      </c>
      <c r="D38" s="34" t="s">
        <v>45</v>
      </c>
      <c r="E38" s="37">
        <f t="shared" si="13"/>
        <v>11.25</v>
      </c>
      <c r="F38" s="37"/>
      <c r="G38" s="37">
        <f>2.5*4.5</f>
        <v>11.25</v>
      </c>
      <c r="H38" s="36">
        <v>106.61</v>
      </c>
      <c r="I38" s="37">
        <f t="shared" si="12"/>
        <v>824.33</v>
      </c>
      <c r="J38" s="36">
        <v>824.33</v>
      </c>
      <c r="K38" s="46">
        <v>0</v>
      </c>
      <c r="L38" s="37"/>
      <c r="M38" s="37">
        <f t="shared" si="7"/>
        <v>83.7846</v>
      </c>
      <c r="N38" s="37">
        <f t="shared" si="8"/>
        <v>91.325214</v>
      </c>
      <c r="O38" s="37">
        <f t="shared" si="9"/>
        <v>1106.049814</v>
      </c>
      <c r="P38" s="37">
        <f t="shared" si="10"/>
        <v>12443.0604075</v>
      </c>
      <c r="Q38" s="47"/>
      <c r="R38" s="44"/>
      <c r="S38" s="45"/>
      <c r="T38" s="45"/>
      <c r="U38" s="45"/>
      <c r="V38" s="45"/>
    </row>
    <row r="39" s="20" customFormat="1" ht="32" customHeight="1" spans="1:22">
      <c r="A39" s="35">
        <v>2.7</v>
      </c>
      <c r="B39" s="50" t="s">
        <v>82</v>
      </c>
      <c r="C39" s="35"/>
      <c r="D39" s="34"/>
      <c r="E39" s="37"/>
      <c r="F39" s="37"/>
      <c r="G39" s="37"/>
      <c r="H39" s="36"/>
      <c r="I39" s="37"/>
      <c r="J39" s="36"/>
      <c r="K39" s="46"/>
      <c r="L39" s="37"/>
      <c r="M39" s="37"/>
      <c r="N39" s="37"/>
      <c r="O39" s="37"/>
      <c r="P39" s="37"/>
      <c r="Q39" s="47"/>
      <c r="R39" s="44"/>
      <c r="S39" s="45"/>
      <c r="T39" s="45"/>
      <c r="U39" s="45"/>
      <c r="V39" s="45"/>
    </row>
    <row r="40" s="20" customFormat="1" ht="112" customHeight="1" spans="1:22">
      <c r="A40" s="35">
        <v>1</v>
      </c>
      <c r="B40" s="35" t="s">
        <v>76</v>
      </c>
      <c r="C40" s="35" t="s">
        <v>71</v>
      </c>
      <c r="D40" s="34" t="s">
        <v>45</v>
      </c>
      <c r="E40" s="37">
        <f t="shared" si="13"/>
        <v>5497</v>
      </c>
      <c r="F40" s="37">
        <f>(52.4+13.8)*2.7*22-1.1*2.1*20-1.2*2.1*2*20-1.4*1.8*20-1.2*2.1*20-1.1*2.1*20-1.2*2.1*20-1.1*2.4*20-1*1.8*20-1.1*2.4*20-1*1.8*20-1.2*1.5*20-1.1*2.4*20-1.1*2.4*202-1.1*2.3*2*20</f>
        <v>2687</v>
      </c>
      <c r="G40" s="37">
        <f>(52.4+13.8)*2.7*20-1.1*2.1*20-1.2*2.1*2*20-1.4*1.8*20-1.2*2.1*20-1.1*2.1*20-1.2*2.1*20-1.1*2.4*20-1*1.8*20-1.1*2.4*20-1*1.8*20-1.2*1.5*20-1.1*2.4*20-1.1*2.4*20-1.1*2.3*2*20</f>
        <v>2810</v>
      </c>
      <c r="H40" s="36">
        <v>58</v>
      </c>
      <c r="I40" s="37">
        <f t="shared" si="12"/>
        <v>91.72</v>
      </c>
      <c r="J40" s="36">
        <v>91.72</v>
      </c>
      <c r="K40" s="46">
        <v>0</v>
      </c>
      <c r="L40" s="37">
        <v>0.83</v>
      </c>
      <c r="M40" s="37">
        <f>(H40+I40+L40)*$M$5</f>
        <v>13.5495</v>
      </c>
      <c r="N40" s="37">
        <f>(H40+I40+L40+M40)*$N$5</f>
        <v>14.768955</v>
      </c>
      <c r="O40" s="37">
        <f>H40+I40+L40+M40+N40</f>
        <v>178.868455</v>
      </c>
      <c r="P40" s="37">
        <f>E40*O40</f>
        <v>983239.897135</v>
      </c>
      <c r="Q40" s="47" t="s">
        <v>46</v>
      </c>
      <c r="R40" s="44"/>
      <c r="S40" s="45"/>
      <c r="T40" s="45"/>
      <c r="U40" s="45"/>
      <c r="V40" s="45"/>
    </row>
    <row r="41" s="20" customFormat="1" ht="52" customHeight="1" spans="1:22">
      <c r="A41" s="35">
        <v>2</v>
      </c>
      <c r="B41" s="35" t="s">
        <v>72</v>
      </c>
      <c r="C41" s="35" t="s">
        <v>73</v>
      </c>
      <c r="D41" s="34" t="s">
        <v>45</v>
      </c>
      <c r="E41" s="37">
        <f t="shared" si="13"/>
        <v>156</v>
      </c>
      <c r="F41" s="37">
        <f>0.3*(2.7*2+1.1)*2*20</f>
        <v>78</v>
      </c>
      <c r="G41" s="37">
        <f>0.3*(2.7*2+1.1)*2*20</f>
        <v>78</v>
      </c>
      <c r="H41" s="36">
        <v>39.93</v>
      </c>
      <c r="I41" s="37">
        <f t="shared" si="12"/>
        <v>329.02</v>
      </c>
      <c r="J41" s="36">
        <v>329.02</v>
      </c>
      <c r="K41" s="46">
        <v>0</v>
      </c>
      <c r="L41" s="37"/>
      <c r="M41" s="37">
        <f>(H41+I41+L41)*$M$5</f>
        <v>33.2055</v>
      </c>
      <c r="N41" s="37">
        <f>(H41+I41+L41+M41)*$N$5</f>
        <v>36.193995</v>
      </c>
      <c r="O41" s="37">
        <f>H41+I41+L41+M41+N41</f>
        <v>438.349495</v>
      </c>
      <c r="P41" s="37">
        <f>E41*O41</f>
        <v>68382.52122</v>
      </c>
      <c r="Q41" s="47"/>
      <c r="R41" s="44"/>
      <c r="S41" s="45"/>
      <c r="T41" s="45"/>
      <c r="U41" s="45"/>
      <c r="V41" s="45"/>
    </row>
    <row r="42" s="19" customFormat="1" ht="36" customHeight="1" spans="1:22">
      <c r="A42" s="35" t="s">
        <v>17</v>
      </c>
      <c r="B42" s="50" t="s">
        <v>13</v>
      </c>
      <c r="C42" s="35"/>
      <c r="D42" s="34"/>
      <c r="E42" s="37"/>
      <c r="F42" s="37"/>
      <c r="G42" s="37"/>
      <c r="H42" s="37"/>
      <c r="I42" s="37"/>
      <c r="J42" s="37"/>
      <c r="K42" s="63"/>
      <c r="L42" s="37"/>
      <c r="M42" s="37"/>
      <c r="N42" s="37"/>
      <c r="O42" s="37">
        <f>SUM(P44:P52)</f>
        <v>315889.23263832</v>
      </c>
      <c r="P42" s="37"/>
      <c r="Q42" s="47"/>
      <c r="R42" s="44"/>
      <c r="S42" s="45"/>
      <c r="T42" s="45"/>
      <c r="U42" s="45"/>
      <c r="V42" s="45"/>
    </row>
    <row r="43" s="19" customFormat="1" ht="31" customHeight="1" spans="1:22">
      <c r="A43" s="35">
        <v>3.1</v>
      </c>
      <c r="B43" s="50" t="s">
        <v>83</v>
      </c>
      <c r="C43" s="35"/>
      <c r="D43" s="34"/>
      <c r="E43" s="37"/>
      <c r="F43" s="37"/>
      <c r="G43" s="37"/>
      <c r="H43" s="37"/>
      <c r="I43" s="37"/>
      <c r="J43" s="37"/>
      <c r="K43" s="63"/>
      <c r="L43" s="37"/>
      <c r="M43" s="37"/>
      <c r="N43" s="37"/>
      <c r="O43" s="37"/>
      <c r="P43" s="37"/>
      <c r="Q43" s="47"/>
      <c r="R43" s="44"/>
      <c r="S43" s="45"/>
      <c r="T43" s="45"/>
      <c r="U43" s="45"/>
      <c r="V43" s="45"/>
    </row>
    <row r="44" s="19" customFormat="1" ht="101" customHeight="1" spans="1:22">
      <c r="A44" s="35">
        <v>1</v>
      </c>
      <c r="B44" s="35" t="s">
        <v>84</v>
      </c>
      <c r="C44" s="35" t="s">
        <v>85</v>
      </c>
      <c r="D44" s="34" t="s">
        <v>45</v>
      </c>
      <c r="E44" s="37">
        <f>SUM(F44:G44)</f>
        <v>103.24</v>
      </c>
      <c r="F44" s="37">
        <f>27.55+27.55</f>
        <v>55.1</v>
      </c>
      <c r="G44" s="37">
        <f>27.02+21.12</f>
        <v>48.14</v>
      </c>
      <c r="H44" s="36">
        <v>47.73</v>
      </c>
      <c r="I44" s="37">
        <f>J44*(1+K44)</f>
        <v>94.6</v>
      </c>
      <c r="J44" s="36">
        <v>94.6</v>
      </c>
      <c r="K44" s="46">
        <v>0</v>
      </c>
      <c r="L44" s="37">
        <v>2.21</v>
      </c>
      <c r="M44" s="37">
        <f>(H44+I44+L44)*$M$5</f>
        <v>13.0086</v>
      </c>
      <c r="N44" s="37">
        <f>(H44+I44+L44+M44)*$N$5</f>
        <v>14.179374</v>
      </c>
      <c r="O44" s="37">
        <f>H44+I44+L44+M44+N44</f>
        <v>171.727974</v>
      </c>
      <c r="P44" s="37">
        <f>E44*O44</f>
        <v>17729.19603576</v>
      </c>
      <c r="Q44" s="47" t="s">
        <v>86</v>
      </c>
      <c r="R44" s="44"/>
      <c r="S44" s="45"/>
      <c r="T44" s="45"/>
      <c r="U44" s="45"/>
      <c r="V44" s="45"/>
    </row>
    <row r="45" s="19" customFormat="1" ht="42" customHeight="1" spans="1:22">
      <c r="A45" s="35">
        <v>3.2</v>
      </c>
      <c r="B45" s="50" t="s">
        <v>87</v>
      </c>
      <c r="C45" s="35"/>
      <c r="D45" s="34"/>
      <c r="E45" s="37"/>
      <c r="F45" s="37"/>
      <c r="G45" s="37"/>
      <c r="H45" s="36"/>
      <c r="I45" s="37"/>
      <c r="J45" s="36"/>
      <c r="K45" s="46"/>
      <c r="L45" s="37"/>
      <c r="M45" s="37"/>
      <c r="N45" s="37"/>
      <c r="O45" s="37"/>
      <c r="P45" s="37"/>
      <c r="Q45" s="47"/>
      <c r="R45" s="44"/>
      <c r="S45" s="45"/>
      <c r="T45" s="45"/>
      <c r="U45" s="45"/>
      <c r="V45" s="45"/>
    </row>
    <row r="46" s="19" customFormat="1" ht="157" customHeight="1" spans="1:22">
      <c r="A46" s="35">
        <v>1</v>
      </c>
      <c r="B46" s="35" t="s">
        <v>88</v>
      </c>
      <c r="C46" s="35" t="s">
        <v>89</v>
      </c>
      <c r="D46" s="34" t="s">
        <v>45</v>
      </c>
      <c r="E46" s="37">
        <f>SUM(F46:G46)</f>
        <v>42.25</v>
      </c>
      <c r="F46" s="37">
        <f>10.13+10.12</f>
        <v>20.25</v>
      </c>
      <c r="G46" s="37">
        <f>22</f>
        <v>22</v>
      </c>
      <c r="H46" s="36">
        <v>76.04</v>
      </c>
      <c r="I46" s="37">
        <f>J46*(1+K46)</f>
        <v>59.01</v>
      </c>
      <c r="J46" s="36">
        <v>59.01</v>
      </c>
      <c r="K46" s="46">
        <v>0</v>
      </c>
      <c r="L46" s="37">
        <v>2.07</v>
      </c>
      <c r="M46" s="37">
        <f>(H46+I46+L46)*$M$5</f>
        <v>12.3408</v>
      </c>
      <c r="N46" s="37">
        <f>(H46+I46+L46+M46)*$N$5</f>
        <v>13.451472</v>
      </c>
      <c r="O46" s="37">
        <f>H46+I46+L46+M46+N46</f>
        <v>162.912272</v>
      </c>
      <c r="P46" s="37">
        <f>E46*O46</f>
        <v>6883.043492</v>
      </c>
      <c r="Q46" s="47" t="s">
        <v>86</v>
      </c>
      <c r="R46" s="44"/>
      <c r="S46" s="45"/>
      <c r="T46" s="45"/>
      <c r="U46" s="45"/>
      <c r="V46" s="45"/>
    </row>
    <row r="47" s="19" customFormat="1" ht="28" customHeight="1" spans="1:22">
      <c r="A47" s="35">
        <v>3.3</v>
      </c>
      <c r="B47" s="50" t="s">
        <v>90</v>
      </c>
      <c r="C47" s="35"/>
      <c r="D47" s="34"/>
      <c r="E47" s="37"/>
      <c r="F47" s="37"/>
      <c r="G47" s="37"/>
      <c r="H47" s="36"/>
      <c r="I47" s="37"/>
      <c r="J47" s="36"/>
      <c r="K47" s="46"/>
      <c r="L47" s="37"/>
      <c r="M47" s="37"/>
      <c r="N47" s="37"/>
      <c r="O47" s="37"/>
      <c r="P47" s="37"/>
      <c r="Q47" s="47"/>
      <c r="R47" s="44"/>
      <c r="S47" s="45"/>
      <c r="T47" s="45"/>
      <c r="U47" s="45"/>
      <c r="V47" s="45"/>
    </row>
    <row r="48" s="19" customFormat="1" ht="157.5" spans="1:22">
      <c r="A48" s="35">
        <v>1</v>
      </c>
      <c r="B48" s="35" t="s">
        <v>88</v>
      </c>
      <c r="C48" s="35" t="s">
        <v>89</v>
      </c>
      <c r="D48" s="34" t="s">
        <v>45</v>
      </c>
      <c r="E48" s="37">
        <f>SUM(F48:G48)</f>
        <v>34.52</v>
      </c>
      <c r="F48" s="37">
        <f>9.23+13.06</f>
        <v>22.29</v>
      </c>
      <c r="G48" s="37">
        <v>12.23</v>
      </c>
      <c r="H48" s="36">
        <v>76.04</v>
      </c>
      <c r="I48" s="37">
        <f t="shared" ref="I48:I52" si="15">J48*(1+K48)</f>
        <v>59.01</v>
      </c>
      <c r="J48" s="36">
        <v>59.01</v>
      </c>
      <c r="K48" s="46">
        <v>0</v>
      </c>
      <c r="L48" s="37">
        <v>2.07</v>
      </c>
      <c r="M48" s="37">
        <f>(H48+I48+L48)*$M$5</f>
        <v>12.3408</v>
      </c>
      <c r="N48" s="37">
        <f>(H48+I48+L48+M48)*$N$5</f>
        <v>13.451472</v>
      </c>
      <c r="O48" s="37">
        <f>H48+I48+L48+M48+N48</f>
        <v>162.912272</v>
      </c>
      <c r="P48" s="37">
        <f>E48*O48</f>
        <v>5623.73162944</v>
      </c>
      <c r="Q48" s="47" t="s">
        <v>86</v>
      </c>
      <c r="R48" s="44"/>
      <c r="S48" s="45"/>
      <c r="T48" s="45"/>
      <c r="U48" s="45"/>
      <c r="V48" s="45"/>
    </row>
    <row r="49" s="19" customFormat="1" spans="1:22">
      <c r="A49" s="35">
        <v>3.4</v>
      </c>
      <c r="B49" s="50" t="s">
        <v>91</v>
      </c>
      <c r="C49" s="35"/>
      <c r="D49" s="34"/>
      <c r="E49" s="37"/>
      <c r="F49" s="37"/>
      <c r="G49" s="37"/>
      <c r="H49" s="37"/>
      <c r="I49" s="37"/>
      <c r="J49" s="37"/>
      <c r="K49" s="63"/>
      <c r="L49" s="37"/>
      <c r="M49" s="37"/>
      <c r="N49" s="37"/>
      <c r="O49" s="37"/>
      <c r="P49" s="37"/>
      <c r="Q49" s="47"/>
      <c r="R49" s="44"/>
      <c r="S49" s="45"/>
      <c r="T49" s="45"/>
      <c r="U49" s="45"/>
      <c r="V49" s="45"/>
    </row>
    <row r="50" s="19" customFormat="1" ht="159" customHeight="1" spans="1:22">
      <c r="A50" s="35">
        <v>1</v>
      </c>
      <c r="B50" s="35" t="s">
        <v>88</v>
      </c>
      <c r="C50" s="35" t="s">
        <v>89</v>
      </c>
      <c r="D50" s="34" t="s">
        <v>45</v>
      </c>
      <c r="E50" s="37">
        <f>SUM(F50:G50)</f>
        <v>97.16</v>
      </c>
      <c r="F50" s="37">
        <f>28.11+20.47</f>
        <v>48.58</v>
      </c>
      <c r="G50" s="37">
        <f>28.11+20.47</f>
        <v>48.58</v>
      </c>
      <c r="H50" s="36">
        <v>76.04</v>
      </c>
      <c r="I50" s="37">
        <f t="shared" si="15"/>
        <v>59.01</v>
      </c>
      <c r="J50" s="36">
        <v>59.01</v>
      </c>
      <c r="K50" s="46">
        <v>0</v>
      </c>
      <c r="L50" s="37">
        <v>2.07</v>
      </c>
      <c r="M50" s="37">
        <f>(H50+I50+L50)*$M$5</f>
        <v>12.3408</v>
      </c>
      <c r="N50" s="37">
        <f>(H50+I50+L50+M50)*$N$5</f>
        <v>13.451472</v>
      </c>
      <c r="O50" s="37">
        <f>H50+I50+L50+M50+N50</f>
        <v>162.912272</v>
      </c>
      <c r="P50" s="37">
        <f>E50*O50</f>
        <v>15828.55634752</v>
      </c>
      <c r="Q50" s="47" t="s">
        <v>86</v>
      </c>
      <c r="R50" s="44"/>
      <c r="S50" s="45"/>
      <c r="T50" s="45"/>
      <c r="U50" s="45"/>
      <c r="V50" s="45"/>
    </row>
    <row r="51" s="19" customFormat="1" spans="1:22">
      <c r="A51" s="35">
        <v>3.5</v>
      </c>
      <c r="B51" s="50" t="s">
        <v>92</v>
      </c>
      <c r="C51" s="35"/>
      <c r="D51" s="34"/>
      <c r="E51" s="37"/>
      <c r="F51" s="37"/>
      <c r="G51" s="37"/>
      <c r="H51" s="37"/>
      <c r="I51" s="37"/>
      <c r="J51" s="37"/>
      <c r="K51" s="63">
        <v>0</v>
      </c>
      <c r="L51" s="37"/>
      <c r="M51" s="37"/>
      <c r="N51" s="37"/>
      <c r="O51" s="37"/>
      <c r="P51" s="37"/>
      <c r="Q51" s="47"/>
      <c r="R51" s="44"/>
      <c r="S51" s="45"/>
      <c r="T51" s="45"/>
      <c r="U51" s="45"/>
      <c r="V51" s="45"/>
    </row>
    <row r="52" s="19" customFormat="1" ht="157.5" spans="1:22">
      <c r="A52" s="35">
        <v>1</v>
      </c>
      <c r="B52" s="35" t="s">
        <v>88</v>
      </c>
      <c r="C52" s="35" t="s">
        <v>89</v>
      </c>
      <c r="D52" s="34" t="s">
        <v>45</v>
      </c>
      <c r="E52" s="37">
        <f>SUM(F52:G52)</f>
        <v>1875.05</v>
      </c>
      <c r="F52" s="37">
        <f>(34.72+11)*20+12.74</f>
        <v>927.14</v>
      </c>
      <c r="G52" s="37">
        <f>(34.72+11)*20+42.25-8.74</f>
        <v>947.91</v>
      </c>
      <c r="H52" s="36">
        <v>60.04</v>
      </c>
      <c r="I52" s="37">
        <f t="shared" si="15"/>
        <v>59.01</v>
      </c>
      <c r="J52" s="36">
        <v>59.01</v>
      </c>
      <c r="K52" s="46">
        <v>0</v>
      </c>
      <c r="L52" s="37">
        <v>2.07</v>
      </c>
      <c r="M52" s="37">
        <f>(H52+I52+L52)*$M$5</f>
        <v>10.9008</v>
      </c>
      <c r="N52" s="37">
        <f>(H52+I52+L52+M52)*$N$5</f>
        <v>11.881872</v>
      </c>
      <c r="O52" s="37">
        <f>H52+I52+L52+M52+N52</f>
        <v>143.902672</v>
      </c>
      <c r="P52" s="37">
        <f>E52*O52</f>
        <v>269824.7051336</v>
      </c>
      <c r="Q52" s="47" t="s">
        <v>86</v>
      </c>
      <c r="R52" s="44"/>
      <c r="S52" s="45"/>
      <c r="T52" s="45"/>
      <c r="U52" s="45"/>
      <c r="V52" s="45"/>
    </row>
    <row r="53" s="19" customFormat="1" ht="31" customHeight="1" spans="1:22">
      <c r="A53" s="35" t="s">
        <v>93</v>
      </c>
      <c r="B53" s="50" t="s">
        <v>14</v>
      </c>
      <c r="C53" s="35"/>
      <c r="D53" s="34"/>
      <c r="E53" s="37"/>
      <c r="F53" s="37"/>
      <c r="G53" s="37"/>
      <c r="H53" s="37"/>
      <c r="I53" s="37"/>
      <c r="J53" s="37"/>
      <c r="K53" s="63"/>
      <c r="L53" s="37"/>
      <c r="M53" s="37"/>
      <c r="N53" s="37"/>
      <c r="O53" s="37">
        <f>SUM(P54:P55)</f>
        <v>7306.815</v>
      </c>
      <c r="P53" s="37"/>
      <c r="Q53" s="47"/>
      <c r="R53" s="44"/>
      <c r="S53" s="45"/>
      <c r="T53" s="45"/>
      <c r="U53" s="45"/>
      <c r="V53" s="45"/>
    </row>
    <row r="54" s="19" customFormat="1" ht="33" customHeight="1" spans="1:22">
      <c r="A54" s="35">
        <f>MAX($A$6:A53)+1</f>
        <v>5</v>
      </c>
      <c r="B54" s="35" t="s">
        <v>94</v>
      </c>
      <c r="C54" s="35" t="s">
        <v>95</v>
      </c>
      <c r="D54" s="34" t="s">
        <v>96</v>
      </c>
      <c r="E54" s="37">
        <v>1</v>
      </c>
      <c r="F54" s="37"/>
      <c r="G54" s="37"/>
      <c r="H54" s="36">
        <v>350</v>
      </c>
      <c r="I54" s="37">
        <f>J54*(1+K54)</f>
        <v>1000</v>
      </c>
      <c r="J54" s="36">
        <v>1000</v>
      </c>
      <c r="K54" s="46">
        <v>0</v>
      </c>
      <c r="L54" s="37"/>
      <c r="M54" s="37">
        <f>(H54+I54+L54)*$M$5</f>
        <v>121.5</v>
      </c>
      <c r="N54" s="37">
        <f>(H54+I54+L54+M54)*$N$5</f>
        <v>132.435</v>
      </c>
      <c r="O54" s="37">
        <f>H54+I54+L54+M54+N54</f>
        <v>1603.935</v>
      </c>
      <c r="P54" s="37">
        <f>E54*O54</f>
        <v>1603.935</v>
      </c>
      <c r="Q54" s="47"/>
      <c r="R54" s="44"/>
      <c r="S54" s="45"/>
      <c r="T54" s="45"/>
      <c r="U54" s="45"/>
      <c r="V54" s="45"/>
    </row>
    <row r="55" s="19" customFormat="1" ht="35" customHeight="1" spans="1:22">
      <c r="A55" s="35">
        <f>MAX($A$6:A54)+1</f>
        <v>6</v>
      </c>
      <c r="B55" s="35" t="s">
        <v>94</v>
      </c>
      <c r="C55" s="35" t="s">
        <v>97</v>
      </c>
      <c r="D55" s="34" t="s">
        <v>98</v>
      </c>
      <c r="E55" s="37">
        <v>1</v>
      </c>
      <c r="F55" s="37"/>
      <c r="G55" s="37"/>
      <c r="H55" s="36">
        <v>800</v>
      </c>
      <c r="I55" s="37">
        <f>J55*(1+K55)</f>
        <v>4000</v>
      </c>
      <c r="J55" s="36">
        <v>4000</v>
      </c>
      <c r="K55" s="46">
        <v>0</v>
      </c>
      <c r="L55" s="37"/>
      <c r="M55" s="37">
        <f>(H55+I55+L55)*$M$5</f>
        <v>432</v>
      </c>
      <c r="N55" s="37">
        <f>(H55+I55+L55+M55)*$N$5</f>
        <v>470.88</v>
      </c>
      <c r="O55" s="37">
        <f>H55+I55+L55+M55+N55</f>
        <v>5702.88</v>
      </c>
      <c r="P55" s="37">
        <f>E55*O55</f>
        <v>5702.88</v>
      </c>
      <c r="Q55" s="47"/>
      <c r="R55" s="44"/>
      <c r="S55" s="45"/>
      <c r="T55" s="45"/>
      <c r="U55" s="45"/>
      <c r="V55" s="45"/>
    </row>
    <row r="56" s="22" customFormat="1" ht="29" customHeight="1" spans="1:22">
      <c r="A56" s="34"/>
      <c r="B56" s="35"/>
      <c r="C56" s="35" t="s">
        <v>99</v>
      </c>
      <c r="D56" s="34"/>
      <c r="E56" s="37"/>
      <c r="F56" s="37"/>
      <c r="G56" s="37"/>
      <c r="H56" s="34"/>
      <c r="I56" s="34"/>
      <c r="J56" s="34"/>
      <c r="K56" s="34"/>
      <c r="L56" s="34"/>
      <c r="M56" s="34"/>
      <c r="N56" s="34"/>
      <c r="O56" s="34"/>
      <c r="P56" s="37">
        <f>SUM(P7:P55)</f>
        <v>2244382.98414649</v>
      </c>
      <c r="Q56" s="35"/>
      <c r="R56" s="44"/>
      <c r="S56" s="45"/>
      <c r="T56" s="45"/>
      <c r="U56" s="45"/>
      <c r="V56" s="45"/>
    </row>
    <row r="57" s="22" customFormat="1" ht="24" spans="1:22">
      <c r="A57" s="53" t="s">
        <v>100</v>
      </c>
      <c r="B57" s="54" t="s">
        <v>101</v>
      </c>
      <c r="C57" s="54"/>
      <c r="D57" s="53"/>
      <c r="E57" s="56"/>
      <c r="F57" s="56"/>
      <c r="G57" s="56"/>
      <c r="H57" s="53"/>
      <c r="I57" s="53"/>
      <c r="J57" s="53"/>
      <c r="K57" s="53"/>
      <c r="L57" s="53"/>
      <c r="M57" s="53"/>
      <c r="N57" s="53"/>
      <c r="O57" s="53"/>
      <c r="P57" s="53"/>
      <c r="Q57" s="54"/>
      <c r="R57" s="44"/>
      <c r="S57" s="45"/>
      <c r="T57" s="45"/>
      <c r="U57" s="45"/>
      <c r="V57" s="45"/>
    </row>
  </sheetData>
  <mergeCells count="18">
    <mergeCell ref="A1:Q1"/>
    <mergeCell ref="A2:H2"/>
    <mergeCell ref="I2:O2"/>
    <mergeCell ref="P2:Q2"/>
    <mergeCell ref="H3:N3"/>
    <mergeCell ref="B57:Q57"/>
    <mergeCell ref="A3:A5"/>
    <mergeCell ref="B3:B5"/>
    <mergeCell ref="C3:C5"/>
    <mergeCell ref="D3:D5"/>
    <mergeCell ref="E3:E5"/>
    <mergeCell ref="F3:F4"/>
    <mergeCell ref="G3:G4"/>
    <mergeCell ref="H4:H5"/>
    <mergeCell ref="L4:L5"/>
    <mergeCell ref="O3:O5"/>
    <mergeCell ref="P3:P5"/>
    <mergeCell ref="Q3:Q5"/>
  </mergeCells>
  <pageMargins left="0.751388888888889" right="0.66875" top="0.786805555555556" bottom="0.66875" header="0.5" footer="0.5"/>
  <pageSetup paperSize="9" scale="78" fitToHeight="0" orientation="landscape" horizontalDpi="600"/>
  <headerFooter>
    <oddFooter>&amp;C第 &amp;P 页，共 &amp;N 页</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0"/>
  <sheetViews>
    <sheetView topLeftCell="A23" workbookViewId="0">
      <selection activeCell="O7" sqref="O7:O25"/>
    </sheetView>
  </sheetViews>
  <sheetFormatPr defaultColWidth="9" defaultRowHeight="11.25"/>
  <cols>
    <col min="1" max="1" width="5.28571428571429" style="22" customWidth="1"/>
    <col min="2" max="2" width="12.8571428571429" style="23" customWidth="1"/>
    <col min="3" max="3" width="31.1333333333333" style="22" customWidth="1"/>
    <col min="4" max="4" width="6.42857142857143" style="23" customWidth="1"/>
    <col min="5" max="5" width="9.16190476190476" style="25" customWidth="1"/>
    <col min="6" max="6" width="7.28571428571429" style="22" customWidth="1"/>
    <col min="7" max="7" width="11.0857142857143" style="23" customWidth="1"/>
    <col min="8" max="8" width="7.14285714285714" style="23" customWidth="1"/>
    <col min="9" max="9" width="5.85714285714286" style="23" customWidth="1"/>
    <col min="10" max="10" width="8.69523809523809" style="23" customWidth="1"/>
    <col min="11" max="11" width="8.57142857142857" style="23" customWidth="1"/>
    <col min="12" max="12" width="8.14285714285714" style="23" customWidth="1"/>
    <col min="13" max="13" width="10.1142857142857" style="23" customWidth="1"/>
    <col min="14" max="14" width="11.1714285714286" style="23" customWidth="1"/>
    <col min="15" max="15" width="8.57142857142857" style="22" customWidth="1"/>
    <col min="16" max="16" width="12.2857142857143" style="26" customWidth="1"/>
    <col min="17" max="18" width="11" style="22"/>
    <col min="19" max="16384" width="9" style="22"/>
  </cols>
  <sheetData>
    <row r="1" s="19" customFormat="1" ht="25.5" spans="1:20">
      <c r="A1" s="27" t="s">
        <v>102</v>
      </c>
      <c r="B1" s="27"/>
      <c r="C1" s="27"/>
      <c r="D1" s="27"/>
      <c r="E1" s="29"/>
      <c r="F1" s="27"/>
      <c r="G1" s="27"/>
      <c r="H1" s="27"/>
      <c r="I1" s="27"/>
      <c r="J1" s="27"/>
      <c r="K1" s="27"/>
      <c r="L1" s="27"/>
      <c r="M1" s="27"/>
      <c r="N1" s="27"/>
      <c r="O1" s="27"/>
      <c r="P1" s="44"/>
      <c r="Q1" s="45"/>
      <c r="R1" s="45"/>
      <c r="S1" s="45"/>
      <c r="T1" s="45"/>
    </row>
    <row r="2" s="19" customFormat="1" ht="21" customHeight="1" spans="1:20">
      <c r="A2" s="31" t="s">
        <v>103</v>
      </c>
      <c r="B2" s="30"/>
      <c r="C2" s="31"/>
      <c r="D2" s="30"/>
      <c r="E2" s="33"/>
      <c r="F2" s="31"/>
      <c r="G2" s="30"/>
      <c r="H2" s="30"/>
      <c r="I2" s="30"/>
      <c r="J2" s="30"/>
      <c r="K2" s="30"/>
      <c r="L2" s="30"/>
      <c r="M2" s="30"/>
      <c r="N2" s="30"/>
      <c r="O2" s="31"/>
      <c r="P2" s="44"/>
      <c r="Q2" s="45"/>
      <c r="R2" s="45"/>
      <c r="S2" s="45"/>
      <c r="T2" s="45"/>
    </row>
    <row r="3" s="19" customFormat="1" spans="1:20">
      <c r="A3" s="35" t="s">
        <v>22</v>
      </c>
      <c r="B3" s="34" t="s">
        <v>23</v>
      </c>
      <c r="C3" s="35" t="s">
        <v>24</v>
      </c>
      <c r="D3" s="34" t="s">
        <v>3</v>
      </c>
      <c r="E3" s="37" t="s">
        <v>25</v>
      </c>
      <c r="F3" s="35" t="s">
        <v>28</v>
      </c>
      <c r="G3" s="34"/>
      <c r="H3" s="34"/>
      <c r="I3" s="34"/>
      <c r="J3" s="34"/>
      <c r="K3" s="34"/>
      <c r="L3" s="34"/>
      <c r="M3" s="34" t="s">
        <v>29</v>
      </c>
      <c r="N3" s="34" t="s">
        <v>30</v>
      </c>
      <c r="O3" s="35" t="s">
        <v>31</v>
      </c>
      <c r="P3" s="44"/>
      <c r="Q3" s="45"/>
      <c r="R3" s="45"/>
      <c r="S3" s="45"/>
      <c r="T3" s="45"/>
    </row>
    <row r="4" s="19" customFormat="1" ht="45" spans="1:20">
      <c r="A4" s="35"/>
      <c r="B4" s="34"/>
      <c r="C4" s="35"/>
      <c r="D4" s="34"/>
      <c r="E4" s="37"/>
      <c r="F4" s="35" t="s">
        <v>32</v>
      </c>
      <c r="G4" s="34" t="s">
        <v>33</v>
      </c>
      <c r="H4" s="34" t="s">
        <v>34</v>
      </c>
      <c r="I4" s="34" t="s">
        <v>35</v>
      </c>
      <c r="J4" s="34" t="s">
        <v>36</v>
      </c>
      <c r="K4" s="34" t="s">
        <v>37</v>
      </c>
      <c r="L4" s="34" t="s">
        <v>38</v>
      </c>
      <c r="M4" s="34"/>
      <c r="N4" s="34"/>
      <c r="O4" s="35"/>
      <c r="P4" s="44"/>
      <c r="Q4" s="45"/>
      <c r="R4" s="45"/>
      <c r="S4" s="45"/>
      <c r="T4" s="45"/>
    </row>
    <row r="5" s="19" customFormat="1" ht="10" customHeight="1" spans="1:20">
      <c r="A5" s="35"/>
      <c r="B5" s="34"/>
      <c r="C5" s="35"/>
      <c r="D5" s="34"/>
      <c r="E5" s="37"/>
      <c r="F5" s="35"/>
      <c r="G5" s="34" t="s">
        <v>39</v>
      </c>
      <c r="H5" s="34" t="s">
        <v>40</v>
      </c>
      <c r="I5" s="34" t="s">
        <v>41</v>
      </c>
      <c r="J5" s="34"/>
      <c r="K5" s="46">
        <v>0.09</v>
      </c>
      <c r="L5" s="46">
        <v>0.09</v>
      </c>
      <c r="M5" s="34"/>
      <c r="N5" s="34"/>
      <c r="O5" s="35"/>
      <c r="P5" s="44"/>
      <c r="Q5" s="45"/>
      <c r="R5" s="45"/>
      <c r="S5" s="45"/>
      <c r="T5" s="45"/>
    </row>
    <row r="6" s="19" customFormat="1" spans="1:20">
      <c r="A6" s="35" t="s">
        <v>7</v>
      </c>
      <c r="B6" s="40" t="s">
        <v>104</v>
      </c>
      <c r="C6" s="35"/>
      <c r="D6" s="34"/>
      <c r="E6" s="37"/>
      <c r="F6" s="59"/>
      <c r="G6" s="37"/>
      <c r="H6" s="36"/>
      <c r="I6" s="60"/>
      <c r="J6" s="37"/>
      <c r="K6" s="37"/>
      <c r="L6" s="37"/>
      <c r="M6" s="37"/>
      <c r="N6" s="37"/>
      <c r="O6" s="47"/>
      <c r="P6" s="44"/>
      <c r="Q6" s="45"/>
      <c r="R6" s="45"/>
      <c r="S6" s="45"/>
      <c r="T6" s="45"/>
    </row>
    <row r="7" s="19" customFormat="1" ht="92" customHeight="1" spans="1:20">
      <c r="A7" s="35">
        <f>MAX($A$6:A6)+1</f>
        <v>1</v>
      </c>
      <c r="B7" s="34" t="s">
        <v>43</v>
      </c>
      <c r="C7" s="35" t="s">
        <v>105</v>
      </c>
      <c r="D7" s="34" t="s">
        <v>45</v>
      </c>
      <c r="E7" s="37">
        <v>25.44</v>
      </c>
      <c r="F7" s="59">
        <v>56.96</v>
      </c>
      <c r="G7" s="37">
        <f t="shared" ref="G7:G13" si="0">H7*(1+I7)</f>
        <v>99.11</v>
      </c>
      <c r="H7" s="36">
        <v>99.11</v>
      </c>
      <c r="I7" s="46">
        <v>0</v>
      </c>
      <c r="J7" s="37">
        <v>0.78</v>
      </c>
      <c r="K7" s="37">
        <f t="shared" ref="K7:K13" si="1">(F7+G7+J7)*$K$5</f>
        <v>14.1165</v>
      </c>
      <c r="L7" s="37">
        <f t="shared" ref="L7:L13" si="2">(F7+G7+J7+K7)*$L$5</f>
        <v>15.386985</v>
      </c>
      <c r="M7" s="37">
        <f t="shared" ref="M7:M13" si="3">F7+G7+J7+K7+L7</f>
        <v>186.353485</v>
      </c>
      <c r="N7" s="37">
        <f t="shared" ref="N7:N13" si="4">E7*M7</f>
        <v>4740.8326584</v>
      </c>
      <c r="O7" s="47" t="s">
        <v>46</v>
      </c>
      <c r="P7" s="44"/>
      <c r="Q7" s="45"/>
      <c r="R7" s="45"/>
      <c r="S7" s="45"/>
      <c r="T7" s="45"/>
    </row>
    <row r="8" s="20" customFormat="1" ht="63" customHeight="1" spans="1:20">
      <c r="A8" s="35">
        <f>MAX($A$6:A7)+1</f>
        <v>2</v>
      </c>
      <c r="B8" s="34" t="s">
        <v>106</v>
      </c>
      <c r="C8" s="35" t="s">
        <v>107</v>
      </c>
      <c r="D8" s="34" t="s">
        <v>45</v>
      </c>
      <c r="E8" s="37">
        <v>25.44</v>
      </c>
      <c r="F8" s="59">
        <v>15.52</v>
      </c>
      <c r="G8" s="37">
        <f t="shared" si="0"/>
        <v>10.73</v>
      </c>
      <c r="H8" s="36">
        <v>10.73</v>
      </c>
      <c r="I8" s="46">
        <v>0</v>
      </c>
      <c r="J8" s="37"/>
      <c r="K8" s="37">
        <f t="shared" si="1"/>
        <v>2.3625</v>
      </c>
      <c r="L8" s="37">
        <f t="shared" si="2"/>
        <v>2.575125</v>
      </c>
      <c r="M8" s="37">
        <f t="shared" si="3"/>
        <v>31.187625</v>
      </c>
      <c r="N8" s="37">
        <f t="shared" si="4"/>
        <v>793.41318</v>
      </c>
      <c r="O8" s="47" t="s">
        <v>68</v>
      </c>
      <c r="P8" s="44"/>
      <c r="Q8" s="45"/>
      <c r="R8" s="45"/>
      <c r="S8" s="45"/>
      <c r="T8" s="45"/>
    </row>
    <row r="9" s="20" customFormat="1" ht="63" customHeight="1" spans="1:20">
      <c r="A9" s="35">
        <f>MAX($A$6:A8)+1</f>
        <v>3</v>
      </c>
      <c r="B9" s="34" t="s">
        <v>106</v>
      </c>
      <c r="C9" s="35" t="s">
        <v>108</v>
      </c>
      <c r="D9" s="34" t="s">
        <v>45</v>
      </c>
      <c r="E9" s="37">
        <v>91.83</v>
      </c>
      <c r="F9" s="59">
        <v>32.63</v>
      </c>
      <c r="G9" s="37">
        <f t="shared" si="0"/>
        <v>18</v>
      </c>
      <c r="H9" s="36">
        <v>18</v>
      </c>
      <c r="I9" s="46">
        <v>0</v>
      </c>
      <c r="J9" s="37">
        <v>0.64</v>
      </c>
      <c r="K9" s="37">
        <f t="shared" si="1"/>
        <v>4.6143</v>
      </c>
      <c r="L9" s="37">
        <f t="shared" si="2"/>
        <v>5.029587</v>
      </c>
      <c r="M9" s="37">
        <f t="shared" si="3"/>
        <v>60.913887</v>
      </c>
      <c r="N9" s="37">
        <f t="shared" si="4"/>
        <v>5593.72224321</v>
      </c>
      <c r="O9" s="47" t="s">
        <v>68</v>
      </c>
      <c r="P9" s="44"/>
      <c r="Q9" s="45"/>
      <c r="R9" s="45"/>
      <c r="S9" s="45"/>
      <c r="T9" s="45"/>
    </row>
    <row r="10" s="19" customFormat="1" ht="41" customHeight="1" spans="1:20">
      <c r="A10" s="35">
        <f>MAX($A$6:A9)+1</f>
        <v>4</v>
      </c>
      <c r="B10" s="34" t="s">
        <v>109</v>
      </c>
      <c r="C10" s="35" t="s">
        <v>110</v>
      </c>
      <c r="D10" s="34" t="s">
        <v>98</v>
      </c>
      <c r="E10" s="37">
        <v>1</v>
      </c>
      <c r="F10" s="59">
        <v>36.65</v>
      </c>
      <c r="G10" s="49">
        <f t="shared" si="0"/>
        <v>146.52</v>
      </c>
      <c r="H10" s="59">
        <v>146.52</v>
      </c>
      <c r="I10" s="46">
        <v>0</v>
      </c>
      <c r="J10" s="49"/>
      <c r="K10" s="49">
        <f t="shared" si="1"/>
        <v>16.4853</v>
      </c>
      <c r="L10" s="49">
        <f t="shared" si="2"/>
        <v>17.968977</v>
      </c>
      <c r="M10" s="49">
        <f t="shared" si="3"/>
        <v>217.624277</v>
      </c>
      <c r="N10" s="37">
        <f t="shared" si="4"/>
        <v>217.624277</v>
      </c>
      <c r="O10" s="47"/>
      <c r="P10" s="44"/>
      <c r="Q10" s="45"/>
      <c r="R10" s="45"/>
      <c r="S10" s="45"/>
      <c r="T10" s="45"/>
    </row>
    <row r="11" s="19" customFormat="1" ht="41" customHeight="1" spans="1:20">
      <c r="A11" s="35">
        <v>5</v>
      </c>
      <c r="B11" s="34" t="s">
        <v>109</v>
      </c>
      <c r="C11" s="35" t="s">
        <v>111</v>
      </c>
      <c r="D11" s="34" t="s">
        <v>98</v>
      </c>
      <c r="E11" s="37">
        <v>1</v>
      </c>
      <c r="F11" s="59">
        <v>295.48</v>
      </c>
      <c r="G11" s="37">
        <f t="shared" si="0"/>
        <v>1265.8</v>
      </c>
      <c r="H11" s="36">
        <v>1265.8</v>
      </c>
      <c r="I11" s="46">
        <v>0</v>
      </c>
      <c r="J11" s="37">
        <v>15.2</v>
      </c>
      <c r="K11" s="37">
        <f t="shared" si="1"/>
        <v>141.8832</v>
      </c>
      <c r="L11" s="37">
        <f t="shared" si="2"/>
        <v>154.652688</v>
      </c>
      <c r="M11" s="37">
        <f t="shared" si="3"/>
        <v>1873.015888</v>
      </c>
      <c r="N11" s="37">
        <f t="shared" si="4"/>
        <v>1873.015888</v>
      </c>
      <c r="O11" s="47"/>
      <c r="P11" s="44"/>
      <c r="Q11" s="45"/>
      <c r="R11" s="45"/>
      <c r="S11" s="45"/>
      <c r="T11" s="45"/>
    </row>
    <row r="12" s="19" customFormat="1" ht="41" customHeight="1" spans="1:20">
      <c r="A12" s="35">
        <v>6</v>
      </c>
      <c r="B12" s="34" t="s">
        <v>112</v>
      </c>
      <c r="C12" s="35" t="s">
        <v>111</v>
      </c>
      <c r="D12" s="34" t="s">
        <v>98</v>
      </c>
      <c r="E12" s="37">
        <v>1</v>
      </c>
      <c r="F12" s="59"/>
      <c r="G12" s="37">
        <f t="shared" si="0"/>
        <v>765.8</v>
      </c>
      <c r="H12" s="36">
        <v>765.8</v>
      </c>
      <c r="I12" s="46">
        <v>0</v>
      </c>
      <c r="J12" s="37">
        <v>15.2</v>
      </c>
      <c r="K12" s="37">
        <f t="shared" si="1"/>
        <v>70.29</v>
      </c>
      <c r="L12" s="37">
        <f t="shared" si="2"/>
        <v>76.6161</v>
      </c>
      <c r="M12" s="37">
        <f t="shared" si="3"/>
        <v>927.9061</v>
      </c>
      <c r="N12" s="37">
        <f t="shared" si="4"/>
        <v>927.9061</v>
      </c>
      <c r="O12" s="47"/>
      <c r="P12" s="44"/>
      <c r="Q12" s="45"/>
      <c r="R12" s="45"/>
      <c r="S12" s="45"/>
      <c r="T12" s="45"/>
    </row>
    <row r="13" s="19" customFormat="1" ht="28" customHeight="1" spans="1:20">
      <c r="A13" s="35">
        <v>7</v>
      </c>
      <c r="B13" s="34" t="s">
        <v>113</v>
      </c>
      <c r="C13" s="35" t="s">
        <v>114</v>
      </c>
      <c r="D13" s="34" t="s">
        <v>115</v>
      </c>
      <c r="E13" s="37">
        <f>2.6*2</f>
        <v>5.2</v>
      </c>
      <c r="F13" s="59">
        <v>59.09</v>
      </c>
      <c r="G13" s="37">
        <f t="shared" si="0"/>
        <v>120</v>
      </c>
      <c r="H13" s="36">
        <v>120</v>
      </c>
      <c r="I13" s="46">
        <v>0</v>
      </c>
      <c r="J13" s="37"/>
      <c r="K13" s="37">
        <f t="shared" si="1"/>
        <v>16.1181</v>
      </c>
      <c r="L13" s="37">
        <f t="shared" si="2"/>
        <v>17.568729</v>
      </c>
      <c r="M13" s="37">
        <f t="shared" si="3"/>
        <v>212.776829</v>
      </c>
      <c r="N13" s="37">
        <f t="shared" si="4"/>
        <v>1106.4395108</v>
      </c>
      <c r="O13" s="47"/>
      <c r="P13" s="44"/>
      <c r="Q13" s="45"/>
      <c r="R13" s="45"/>
      <c r="S13" s="45"/>
      <c r="T13" s="45"/>
    </row>
    <row r="14" s="19" customFormat="1" ht="24" customHeight="1" spans="1:20">
      <c r="A14" s="35" t="s">
        <v>15</v>
      </c>
      <c r="B14" s="40" t="s">
        <v>116</v>
      </c>
      <c r="C14" s="35"/>
      <c r="D14" s="34"/>
      <c r="E14" s="37"/>
      <c r="F14" s="49"/>
      <c r="G14" s="37"/>
      <c r="H14" s="37"/>
      <c r="I14" s="46"/>
      <c r="J14" s="37"/>
      <c r="K14" s="37"/>
      <c r="L14" s="61"/>
      <c r="M14" s="61"/>
      <c r="N14" s="37"/>
      <c r="O14" s="49"/>
      <c r="P14" s="44"/>
      <c r="Q14" s="45"/>
      <c r="R14" s="45"/>
      <c r="S14" s="45"/>
      <c r="T14" s="45"/>
    </row>
    <row r="15" s="19" customFormat="1" ht="85" customHeight="1" spans="1:20">
      <c r="A15" s="35">
        <v>1</v>
      </c>
      <c r="B15" s="34" t="s">
        <v>43</v>
      </c>
      <c r="C15" s="35" t="s">
        <v>105</v>
      </c>
      <c r="D15" s="34" t="s">
        <v>45</v>
      </c>
      <c r="E15" s="37">
        <f>38.19+8.64+24.09+33.35</f>
        <v>104.27</v>
      </c>
      <c r="F15" s="59">
        <v>56.96</v>
      </c>
      <c r="G15" s="37">
        <f>H15*(1+I15)</f>
        <v>99.11</v>
      </c>
      <c r="H15" s="36">
        <v>99.11</v>
      </c>
      <c r="I15" s="46">
        <v>0</v>
      </c>
      <c r="J15" s="37">
        <v>0.78</v>
      </c>
      <c r="K15" s="37">
        <f t="shared" ref="K15:K21" si="5">(F15+G15+J15)*$K$5</f>
        <v>14.1165</v>
      </c>
      <c r="L15" s="37">
        <f t="shared" ref="L15:L21" si="6">(F15+G15+J15+K15)*$L$5</f>
        <v>15.386985</v>
      </c>
      <c r="M15" s="37">
        <f t="shared" ref="M15:M21" si="7">F15+G15+J15+K15+L15</f>
        <v>186.353485</v>
      </c>
      <c r="N15" s="37">
        <f t="shared" ref="N15:N21" si="8">E15*M15</f>
        <v>19431.07788095</v>
      </c>
      <c r="O15" s="47" t="s">
        <v>46</v>
      </c>
      <c r="P15" s="44"/>
      <c r="Q15" s="45"/>
      <c r="R15" s="45"/>
      <c r="S15" s="45"/>
      <c r="T15" s="45"/>
    </row>
    <row r="16" s="19" customFormat="1" ht="84" customHeight="1" spans="1:20">
      <c r="A16" s="35">
        <v>2</v>
      </c>
      <c r="B16" s="34" t="s">
        <v>47</v>
      </c>
      <c r="C16" s="35" t="s">
        <v>117</v>
      </c>
      <c r="D16" s="34" t="s">
        <v>45</v>
      </c>
      <c r="E16" s="37">
        <f>13.15+21.73*2</f>
        <v>56.61</v>
      </c>
      <c r="F16" s="59">
        <v>83.73</v>
      </c>
      <c r="G16" s="37">
        <f t="shared" ref="G16:G22" si="9">H16*(1+I16)</f>
        <v>120.89</v>
      </c>
      <c r="H16" s="36">
        <v>120.89</v>
      </c>
      <c r="I16" s="46">
        <v>0</v>
      </c>
      <c r="J16" s="37">
        <v>1.07</v>
      </c>
      <c r="K16" s="37">
        <f t="shared" si="5"/>
        <v>18.5121</v>
      </c>
      <c r="L16" s="37">
        <f t="shared" si="6"/>
        <v>20.178189</v>
      </c>
      <c r="M16" s="37">
        <f t="shared" si="7"/>
        <v>244.380289</v>
      </c>
      <c r="N16" s="37">
        <f t="shared" si="8"/>
        <v>13834.36816029</v>
      </c>
      <c r="O16" s="47" t="s">
        <v>46</v>
      </c>
      <c r="P16" s="44"/>
      <c r="Q16" s="45"/>
      <c r="R16" s="45"/>
      <c r="S16" s="45"/>
      <c r="T16" s="45"/>
    </row>
    <row r="17" s="19" customFormat="1" ht="46" customHeight="1" spans="1:20">
      <c r="A17" s="35">
        <v>3</v>
      </c>
      <c r="B17" s="34" t="s">
        <v>118</v>
      </c>
      <c r="C17" s="35" t="s">
        <v>67</v>
      </c>
      <c r="D17" s="34" t="s">
        <v>45</v>
      </c>
      <c r="E17" s="37">
        <f>(21.36*3.6*2+15*5.05)-1.1*2.1*3+32.8*3.6-1.1*2.1-1*3.6-1.1*2.1-1.5*2+12.9*3.6-0.9*2.1+21.15*3.6-1.5*2-0.9*2.1-1.1*2.1+18*5.05-1.1*2.1-0.9*2.1</f>
        <v>529.662</v>
      </c>
      <c r="F17" s="59">
        <v>32.63</v>
      </c>
      <c r="G17" s="37">
        <f t="shared" si="9"/>
        <v>19</v>
      </c>
      <c r="H17" s="36">
        <v>19</v>
      </c>
      <c r="I17" s="46">
        <v>0</v>
      </c>
      <c r="J17" s="37">
        <v>0.64</v>
      </c>
      <c r="K17" s="37">
        <f t="shared" si="5"/>
        <v>4.7043</v>
      </c>
      <c r="L17" s="37">
        <f t="shared" si="6"/>
        <v>5.127687</v>
      </c>
      <c r="M17" s="37">
        <f t="shared" si="7"/>
        <v>62.101987</v>
      </c>
      <c r="N17" s="37">
        <f t="shared" si="8"/>
        <v>32893.062638394</v>
      </c>
      <c r="O17" s="47" t="s">
        <v>68</v>
      </c>
      <c r="P17" s="44"/>
      <c r="Q17" s="45"/>
      <c r="R17" s="45"/>
      <c r="S17" s="45"/>
      <c r="T17" s="45"/>
    </row>
    <row r="18" s="19" customFormat="1" ht="46" customHeight="1" spans="1:20">
      <c r="A18" s="35">
        <v>4</v>
      </c>
      <c r="B18" s="34" t="s">
        <v>118</v>
      </c>
      <c r="C18" s="35" t="s">
        <v>119</v>
      </c>
      <c r="D18" s="34" t="s">
        <v>45</v>
      </c>
      <c r="E18" s="37">
        <f>E16+E15</f>
        <v>160.88</v>
      </c>
      <c r="F18" s="59">
        <v>15.52</v>
      </c>
      <c r="G18" s="37">
        <f t="shared" si="9"/>
        <v>10.73</v>
      </c>
      <c r="H18" s="36">
        <v>10.73</v>
      </c>
      <c r="I18" s="46">
        <v>0</v>
      </c>
      <c r="J18" s="37"/>
      <c r="K18" s="37">
        <f t="shared" si="5"/>
        <v>2.3625</v>
      </c>
      <c r="L18" s="37">
        <f t="shared" si="6"/>
        <v>2.575125</v>
      </c>
      <c r="M18" s="37">
        <f t="shared" si="7"/>
        <v>31.187625</v>
      </c>
      <c r="N18" s="37">
        <f t="shared" si="8"/>
        <v>5017.46511</v>
      </c>
      <c r="O18" s="47" t="s">
        <v>68</v>
      </c>
      <c r="P18" s="44"/>
      <c r="Q18" s="45"/>
      <c r="R18" s="45"/>
      <c r="S18" s="45"/>
      <c r="T18" s="45"/>
    </row>
    <row r="19" s="19" customFormat="1" ht="106" customHeight="1" spans="1:20">
      <c r="A19" s="35">
        <v>5</v>
      </c>
      <c r="B19" s="34" t="s">
        <v>120</v>
      </c>
      <c r="C19" s="35" t="s">
        <v>121</v>
      </c>
      <c r="D19" s="34" t="s">
        <v>45</v>
      </c>
      <c r="E19" s="37">
        <v>4.95</v>
      </c>
      <c r="F19" s="59">
        <v>56.86</v>
      </c>
      <c r="G19" s="37">
        <f t="shared" si="9"/>
        <v>136.44</v>
      </c>
      <c r="H19" s="36">
        <v>136.44</v>
      </c>
      <c r="I19" s="46">
        <v>0</v>
      </c>
      <c r="J19" s="37">
        <v>1.95</v>
      </c>
      <c r="K19" s="37">
        <f t="shared" si="5"/>
        <v>17.5725</v>
      </c>
      <c r="L19" s="37">
        <f t="shared" si="6"/>
        <v>19.154025</v>
      </c>
      <c r="M19" s="37">
        <f t="shared" si="7"/>
        <v>231.976525</v>
      </c>
      <c r="N19" s="37">
        <f t="shared" si="8"/>
        <v>1148.28379875</v>
      </c>
      <c r="O19" s="47"/>
      <c r="P19" s="44"/>
      <c r="Q19" s="45"/>
      <c r="R19" s="45"/>
      <c r="S19" s="45"/>
      <c r="T19" s="45"/>
    </row>
    <row r="20" s="19" customFormat="1" ht="106" customHeight="1" spans="1:20">
      <c r="A20" s="35">
        <v>6</v>
      </c>
      <c r="B20" s="34" t="s">
        <v>122</v>
      </c>
      <c r="C20" s="35" t="s">
        <v>123</v>
      </c>
      <c r="D20" s="34" t="s">
        <v>45</v>
      </c>
      <c r="E20" s="37">
        <f>9.6*3-0.9*2.1</f>
        <v>26.91</v>
      </c>
      <c r="F20" s="59">
        <v>78.56</v>
      </c>
      <c r="G20" s="37">
        <f t="shared" si="9"/>
        <v>152.32</v>
      </c>
      <c r="H20" s="36">
        <v>152.32</v>
      </c>
      <c r="I20" s="46">
        <v>0</v>
      </c>
      <c r="J20" s="37">
        <v>1.47</v>
      </c>
      <c r="K20" s="37">
        <f t="shared" si="5"/>
        <v>20.9115</v>
      </c>
      <c r="L20" s="37">
        <f t="shared" si="6"/>
        <v>22.793535</v>
      </c>
      <c r="M20" s="37">
        <f t="shared" si="7"/>
        <v>276.055035</v>
      </c>
      <c r="N20" s="37">
        <f t="shared" si="8"/>
        <v>7428.64099185</v>
      </c>
      <c r="O20" s="47"/>
      <c r="P20" s="44"/>
      <c r="Q20" s="45"/>
      <c r="R20" s="45"/>
      <c r="S20" s="45"/>
      <c r="T20" s="45"/>
    </row>
    <row r="21" s="19" customFormat="1" ht="33" customHeight="1" spans="1:20">
      <c r="A21" s="35">
        <v>7</v>
      </c>
      <c r="B21" s="34" t="s">
        <v>124</v>
      </c>
      <c r="C21" s="35" t="s">
        <v>111</v>
      </c>
      <c r="D21" s="34" t="s">
        <v>98</v>
      </c>
      <c r="E21" s="37">
        <v>1</v>
      </c>
      <c r="F21" s="59"/>
      <c r="G21" s="37">
        <f t="shared" si="9"/>
        <v>765.8</v>
      </c>
      <c r="H21" s="36">
        <v>765.8</v>
      </c>
      <c r="I21" s="46">
        <v>0</v>
      </c>
      <c r="J21" s="37">
        <v>15.2</v>
      </c>
      <c r="K21" s="37">
        <f t="shared" si="5"/>
        <v>70.29</v>
      </c>
      <c r="L21" s="37">
        <f t="shared" si="6"/>
        <v>76.6161</v>
      </c>
      <c r="M21" s="37">
        <f t="shared" si="7"/>
        <v>927.9061</v>
      </c>
      <c r="N21" s="37">
        <f t="shared" si="8"/>
        <v>927.9061</v>
      </c>
      <c r="O21" s="47"/>
      <c r="P21" s="44"/>
      <c r="Q21" s="45"/>
      <c r="R21" s="45"/>
      <c r="S21" s="45"/>
      <c r="T21" s="45"/>
    </row>
    <row r="22" s="19" customFormat="1" ht="40" customHeight="1" spans="1:20">
      <c r="A22" s="35" t="s">
        <v>17</v>
      </c>
      <c r="B22" s="40" t="s">
        <v>125</v>
      </c>
      <c r="C22" s="35"/>
      <c r="D22" s="34"/>
      <c r="E22" s="37"/>
      <c r="F22" s="49"/>
      <c r="G22" s="37"/>
      <c r="H22" s="37"/>
      <c r="I22" s="46"/>
      <c r="J22" s="37"/>
      <c r="K22" s="37"/>
      <c r="L22" s="37"/>
      <c r="M22" s="37"/>
      <c r="N22" s="37"/>
      <c r="O22" s="47"/>
      <c r="P22" s="44"/>
      <c r="Q22" s="45"/>
      <c r="R22" s="45"/>
      <c r="S22" s="45"/>
      <c r="T22" s="45"/>
    </row>
    <row r="23" s="19" customFormat="1" ht="102" customHeight="1" spans="1:20">
      <c r="A23" s="35">
        <v>1</v>
      </c>
      <c r="B23" s="34" t="s">
        <v>43</v>
      </c>
      <c r="C23" s="35" t="s">
        <v>105</v>
      </c>
      <c r="D23" s="34" t="s">
        <v>45</v>
      </c>
      <c r="E23" s="37">
        <f>24.72+29.04-8.8</f>
        <v>44.96</v>
      </c>
      <c r="F23" s="59">
        <v>56.96</v>
      </c>
      <c r="G23" s="37">
        <f t="shared" ref="G23:G28" si="10">H23*(1+I23)</f>
        <v>99.11</v>
      </c>
      <c r="H23" s="36">
        <v>99.11</v>
      </c>
      <c r="I23" s="46">
        <v>0</v>
      </c>
      <c r="J23" s="37">
        <v>0.78</v>
      </c>
      <c r="K23" s="37">
        <f t="shared" ref="K23:K28" si="11">(F23+G23+J23)*$K$5</f>
        <v>14.1165</v>
      </c>
      <c r="L23" s="37">
        <f t="shared" ref="L23:L28" si="12">(F23+G23+J23+K23)*$L$5</f>
        <v>15.386985</v>
      </c>
      <c r="M23" s="37">
        <f t="shared" ref="M23:M28" si="13">F23+G23+J23+K23+L23</f>
        <v>186.353485</v>
      </c>
      <c r="N23" s="37">
        <f t="shared" ref="N23:N28" si="14">E23*M23</f>
        <v>8378.4526856</v>
      </c>
      <c r="O23" s="47" t="s">
        <v>46</v>
      </c>
      <c r="P23" s="44"/>
      <c r="Q23" s="45"/>
      <c r="R23" s="45"/>
      <c r="S23" s="45"/>
      <c r="T23" s="45"/>
    </row>
    <row r="24" s="19" customFormat="1" ht="44" customHeight="1" spans="1:20">
      <c r="A24" s="35">
        <v>2</v>
      </c>
      <c r="B24" s="34" t="s">
        <v>118</v>
      </c>
      <c r="C24" s="35" t="s">
        <v>126</v>
      </c>
      <c r="D24" s="34" t="s">
        <v>45</v>
      </c>
      <c r="E24" s="37">
        <f>24.6*5.05-1.4*2.1+19.74*5.05-1.4*2.1</f>
        <v>218.037</v>
      </c>
      <c r="F24" s="59">
        <v>32.63</v>
      </c>
      <c r="G24" s="37">
        <f t="shared" si="10"/>
        <v>19</v>
      </c>
      <c r="H24" s="36">
        <v>19</v>
      </c>
      <c r="I24" s="46">
        <v>0</v>
      </c>
      <c r="J24" s="37">
        <v>0.64</v>
      </c>
      <c r="K24" s="37">
        <f t="shared" si="11"/>
        <v>4.7043</v>
      </c>
      <c r="L24" s="37">
        <f t="shared" si="12"/>
        <v>5.127687</v>
      </c>
      <c r="M24" s="37">
        <f t="shared" si="13"/>
        <v>62.101987</v>
      </c>
      <c r="N24" s="37">
        <f t="shared" si="14"/>
        <v>13540.530939519</v>
      </c>
      <c r="O24" s="47" t="s">
        <v>68</v>
      </c>
      <c r="P24" s="44"/>
      <c r="Q24" s="45"/>
      <c r="R24" s="45"/>
      <c r="S24" s="45"/>
      <c r="T24" s="45"/>
    </row>
    <row r="25" s="19" customFormat="1" ht="84" customHeight="1" spans="1:20">
      <c r="A25" s="35">
        <v>3</v>
      </c>
      <c r="B25" s="34" t="s">
        <v>118</v>
      </c>
      <c r="C25" s="35" t="s">
        <v>107</v>
      </c>
      <c r="D25" s="34" t="s">
        <v>45</v>
      </c>
      <c r="E25" s="37">
        <f>24.72+29.04</f>
        <v>53.76</v>
      </c>
      <c r="F25" s="59">
        <v>15.52</v>
      </c>
      <c r="G25" s="37">
        <f t="shared" si="10"/>
        <v>10.73</v>
      </c>
      <c r="H25" s="36">
        <v>10.73</v>
      </c>
      <c r="I25" s="46">
        <v>0</v>
      </c>
      <c r="J25" s="37"/>
      <c r="K25" s="37">
        <f t="shared" si="11"/>
        <v>2.3625</v>
      </c>
      <c r="L25" s="37">
        <f t="shared" si="12"/>
        <v>2.575125</v>
      </c>
      <c r="M25" s="37">
        <f t="shared" si="13"/>
        <v>31.187625</v>
      </c>
      <c r="N25" s="37">
        <f t="shared" si="14"/>
        <v>1676.64672</v>
      </c>
      <c r="O25" s="47" t="s">
        <v>68</v>
      </c>
      <c r="P25" s="44"/>
      <c r="Q25" s="45"/>
      <c r="R25" s="45"/>
      <c r="S25" s="45"/>
      <c r="T25" s="45"/>
    </row>
    <row r="26" s="19" customFormat="1" ht="101.25" spans="1:20">
      <c r="A26" s="35">
        <v>4</v>
      </c>
      <c r="B26" s="34" t="s">
        <v>120</v>
      </c>
      <c r="C26" s="35" t="s">
        <v>121</v>
      </c>
      <c r="D26" s="34" t="s">
        <v>45</v>
      </c>
      <c r="E26" s="37">
        <v>8.88</v>
      </c>
      <c r="F26" s="59">
        <v>56.86</v>
      </c>
      <c r="G26" s="37">
        <f t="shared" si="10"/>
        <v>136.44</v>
      </c>
      <c r="H26" s="36">
        <v>136.44</v>
      </c>
      <c r="I26" s="46">
        <v>0</v>
      </c>
      <c r="J26" s="37">
        <v>1.95</v>
      </c>
      <c r="K26" s="37">
        <f t="shared" si="11"/>
        <v>17.5725</v>
      </c>
      <c r="L26" s="37">
        <f t="shared" si="12"/>
        <v>19.154025</v>
      </c>
      <c r="M26" s="37">
        <f t="shared" si="13"/>
        <v>231.976525</v>
      </c>
      <c r="N26" s="37">
        <f t="shared" si="14"/>
        <v>2059.951542</v>
      </c>
      <c r="O26" s="47"/>
      <c r="P26" s="44"/>
      <c r="Q26" s="45"/>
      <c r="R26" s="45"/>
      <c r="S26" s="45"/>
      <c r="T26" s="45"/>
    </row>
    <row r="27" s="19" customFormat="1" ht="84" customHeight="1" spans="1:20">
      <c r="A27" s="35">
        <v>5</v>
      </c>
      <c r="B27" s="34" t="s">
        <v>122</v>
      </c>
      <c r="C27" s="35" t="s">
        <v>123</v>
      </c>
      <c r="D27" s="34" t="s">
        <v>45</v>
      </c>
      <c r="E27" s="37">
        <f>(12.2-1.6)*4.5</f>
        <v>47.7</v>
      </c>
      <c r="F27" s="59">
        <v>78.56</v>
      </c>
      <c r="G27" s="37">
        <f t="shared" si="10"/>
        <v>152.32</v>
      </c>
      <c r="H27" s="36">
        <v>152.32</v>
      </c>
      <c r="I27" s="46">
        <v>0</v>
      </c>
      <c r="J27" s="37">
        <v>1.47</v>
      </c>
      <c r="K27" s="37">
        <f t="shared" si="11"/>
        <v>20.9115</v>
      </c>
      <c r="L27" s="37">
        <f t="shared" si="12"/>
        <v>22.793535</v>
      </c>
      <c r="M27" s="37">
        <f t="shared" si="13"/>
        <v>276.055035</v>
      </c>
      <c r="N27" s="37">
        <f t="shared" si="14"/>
        <v>13167.8251695</v>
      </c>
      <c r="O27" s="47"/>
      <c r="P27" s="44"/>
      <c r="Q27" s="45"/>
      <c r="R27" s="45"/>
      <c r="S27" s="45"/>
      <c r="T27" s="45"/>
    </row>
    <row r="28" s="19" customFormat="1" ht="84" customHeight="1" spans="1:20">
      <c r="A28" s="35">
        <v>6</v>
      </c>
      <c r="B28" s="34" t="s">
        <v>124</v>
      </c>
      <c r="C28" s="35" t="s">
        <v>111</v>
      </c>
      <c r="D28" s="34" t="s">
        <v>98</v>
      </c>
      <c r="E28" s="37">
        <v>1</v>
      </c>
      <c r="F28" s="59"/>
      <c r="G28" s="37">
        <f t="shared" si="10"/>
        <v>765.8</v>
      </c>
      <c r="H28" s="36">
        <v>765.8</v>
      </c>
      <c r="I28" s="46">
        <v>0</v>
      </c>
      <c r="J28" s="37">
        <v>15.2</v>
      </c>
      <c r="K28" s="37">
        <f t="shared" si="11"/>
        <v>70.29</v>
      </c>
      <c r="L28" s="37">
        <f t="shared" si="12"/>
        <v>76.6161</v>
      </c>
      <c r="M28" s="37">
        <f t="shared" si="13"/>
        <v>927.9061</v>
      </c>
      <c r="N28" s="37">
        <f t="shared" si="14"/>
        <v>927.9061</v>
      </c>
      <c r="O28" s="47"/>
      <c r="P28" s="44"/>
      <c r="Q28" s="45"/>
      <c r="R28" s="45"/>
      <c r="S28" s="45"/>
      <c r="T28" s="45"/>
    </row>
    <row r="29" s="22" customFormat="1" spans="1:20">
      <c r="A29" s="34"/>
      <c r="B29" s="34"/>
      <c r="C29" s="35" t="s">
        <v>99</v>
      </c>
      <c r="D29" s="34"/>
      <c r="E29" s="37"/>
      <c r="F29" s="35"/>
      <c r="G29" s="34"/>
      <c r="H29" s="34"/>
      <c r="I29" s="34"/>
      <c r="J29" s="34"/>
      <c r="K29" s="34"/>
      <c r="L29" s="34"/>
      <c r="M29" s="34"/>
      <c r="N29" s="37">
        <f>SUM(N7:N28)</f>
        <v>135685.071694263</v>
      </c>
      <c r="O29" s="35"/>
      <c r="P29" s="44"/>
      <c r="Q29" s="45"/>
      <c r="R29" s="45"/>
      <c r="S29" s="45"/>
      <c r="T29" s="45"/>
    </row>
    <row r="30" s="22" customFormat="1" ht="24" spans="1:20">
      <c r="A30" s="53" t="s">
        <v>100</v>
      </c>
      <c r="B30" s="53" t="s">
        <v>101</v>
      </c>
      <c r="C30" s="54"/>
      <c r="D30" s="53"/>
      <c r="E30" s="56"/>
      <c r="F30" s="54"/>
      <c r="G30" s="53"/>
      <c r="H30" s="53"/>
      <c r="I30" s="53"/>
      <c r="J30" s="53"/>
      <c r="K30" s="53"/>
      <c r="L30" s="53"/>
      <c r="M30" s="53"/>
      <c r="N30" s="53"/>
      <c r="O30" s="54"/>
      <c r="P30" s="44"/>
      <c r="Q30" s="45"/>
      <c r="R30" s="45"/>
      <c r="S30" s="45"/>
      <c r="T30" s="45"/>
    </row>
  </sheetData>
  <mergeCells count="16">
    <mergeCell ref="A1:O1"/>
    <mergeCell ref="A2:F2"/>
    <mergeCell ref="G2:M2"/>
    <mergeCell ref="N2:O2"/>
    <mergeCell ref="F3:L3"/>
    <mergeCell ref="B30:O30"/>
    <mergeCell ref="A3:A5"/>
    <mergeCell ref="B3:B5"/>
    <mergeCell ref="C3:C5"/>
    <mergeCell ref="D3:D5"/>
    <mergeCell ref="E3:E5"/>
    <mergeCell ref="F4:F5"/>
    <mergeCell ref="J4:J5"/>
    <mergeCell ref="M3:M5"/>
    <mergeCell ref="N3:N5"/>
    <mergeCell ref="O3:O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8"/>
  <sheetViews>
    <sheetView tabSelected="1" zoomScale="130" zoomScaleNormal="130" topLeftCell="A59" workbookViewId="0">
      <selection activeCell="M63" sqref="M63"/>
    </sheetView>
  </sheetViews>
  <sheetFormatPr defaultColWidth="9" defaultRowHeight="11.25"/>
  <cols>
    <col min="1" max="1" width="5.28571428571429" style="23" customWidth="1"/>
    <col min="2" max="2" width="12.8571428571429" style="23" customWidth="1"/>
    <col min="3" max="3" width="31.1333333333333" style="22" customWidth="1"/>
    <col min="4" max="4" width="6.42857142857143" style="23" customWidth="1"/>
    <col min="5" max="5" width="6.25714285714286" style="24" customWidth="1"/>
    <col min="6" max="6" width="9.11428571428571" style="25" customWidth="1"/>
    <col min="7" max="7" width="7.37142857142857" style="25" customWidth="1"/>
    <col min="8" max="8" width="8.69523809523809" style="25" customWidth="1"/>
    <col min="9" max="9" width="8.57142857142857" style="25" customWidth="1"/>
    <col min="10" max="10" width="8.14285714285714" style="25" customWidth="1"/>
    <col min="11" max="11" width="10.1142857142857" style="25" customWidth="1"/>
    <col min="12" max="12" width="11.1714285714286" style="25" customWidth="1"/>
    <col min="13" max="13" width="8.57142857142857" style="22" customWidth="1"/>
    <col min="14" max="14" width="12.2857142857143" style="26" customWidth="1"/>
    <col min="15" max="16" width="11" style="22"/>
    <col min="17" max="32" width="9" style="22"/>
    <col min="33" max="16384" width="7.35238095238095" style="22"/>
  </cols>
  <sheetData>
    <row r="1" s="19" customFormat="1" ht="25.5" spans="1:18">
      <c r="A1" s="27" t="s">
        <v>127</v>
      </c>
      <c r="B1" s="27"/>
      <c r="C1" s="27"/>
      <c r="D1" s="27"/>
      <c r="E1" s="28"/>
      <c r="F1" s="29"/>
      <c r="G1" s="29"/>
      <c r="H1" s="29"/>
      <c r="I1" s="29"/>
      <c r="J1" s="29"/>
      <c r="K1" s="29"/>
      <c r="L1" s="29"/>
      <c r="M1" s="27"/>
      <c r="N1" s="44"/>
      <c r="O1" s="45"/>
      <c r="P1" s="45"/>
      <c r="Q1" s="45"/>
      <c r="R1" s="45"/>
    </row>
    <row r="2" s="19" customFormat="1" ht="21" customHeight="1" spans="1:18">
      <c r="A2" s="30" t="s">
        <v>103</v>
      </c>
      <c r="B2" s="30"/>
      <c r="C2" s="31"/>
      <c r="D2" s="30"/>
      <c r="E2" s="32"/>
      <c r="F2" s="33"/>
      <c r="G2" s="33"/>
      <c r="H2" s="33"/>
      <c r="I2" s="33"/>
      <c r="J2" s="33"/>
      <c r="K2" s="33"/>
      <c r="L2" s="33"/>
      <c r="M2" s="31"/>
      <c r="N2" s="44"/>
      <c r="O2" s="45"/>
      <c r="P2" s="45"/>
      <c r="Q2" s="45"/>
      <c r="R2" s="45"/>
    </row>
    <row r="3" s="19" customFormat="1" spans="1:18">
      <c r="A3" s="34" t="s">
        <v>22</v>
      </c>
      <c r="B3" s="34" t="s">
        <v>23</v>
      </c>
      <c r="C3" s="35" t="s">
        <v>24</v>
      </c>
      <c r="D3" s="34" t="s">
        <v>3</v>
      </c>
      <c r="E3" s="36" t="s">
        <v>25</v>
      </c>
      <c r="F3" s="37" t="s">
        <v>28</v>
      </c>
      <c r="G3" s="37"/>
      <c r="H3" s="37"/>
      <c r="I3" s="37"/>
      <c r="J3" s="37"/>
      <c r="K3" s="37" t="s">
        <v>29</v>
      </c>
      <c r="L3" s="37" t="s">
        <v>30</v>
      </c>
      <c r="M3" s="34" t="s">
        <v>31</v>
      </c>
      <c r="N3" s="44"/>
      <c r="O3" s="45"/>
      <c r="P3" s="45"/>
      <c r="Q3" s="45"/>
      <c r="R3" s="45"/>
    </row>
    <row r="4" s="19" customFormat="1" ht="45" spans="1:18">
      <c r="A4" s="34"/>
      <c r="B4" s="34"/>
      <c r="C4" s="35"/>
      <c r="D4" s="34"/>
      <c r="E4" s="36"/>
      <c r="F4" s="37" t="s">
        <v>32</v>
      </c>
      <c r="G4" s="38" t="s">
        <v>128</v>
      </c>
      <c r="H4" s="37" t="s">
        <v>129</v>
      </c>
      <c r="I4" s="37" t="s">
        <v>37</v>
      </c>
      <c r="J4" s="37" t="s">
        <v>38</v>
      </c>
      <c r="K4" s="37"/>
      <c r="L4" s="37"/>
      <c r="M4" s="34"/>
      <c r="N4" s="44"/>
      <c r="O4" s="45"/>
      <c r="P4" s="45"/>
      <c r="Q4" s="45"/>
      <c r="R4" s="45"/>
    </row>
    <row r="5" s="19" customFormat="1" ht="10" customHeight="1" spans="1:18">
      <c r="A5" s="34"/>
      <c r="B5" s="34"/>
      <c r="C5" s="35"/>
      <c r="D5" s="34"/>
      <c r="E5" s="36"/>
      <c r="F5" s="37"/>
      <c r="G5" s="39"/>
      <c r="H5" s="37"/>
      <c r="I5" s="46">
        <v>0.09</v>
      </c>
      <c r="J5" s="46">
        <v>0.09</v>
      </c>
      <c r="K5" s="37"/>
      <c r="L5" s="37"/>
      <c r="M5" s="34"/>
      <c r="N5" s="44"/>
      <c r="O5" s="45"/>
      <c r="P5" s="45"/>
      <c r="Q5" s="45"/>
      <c r="R5" s="45"/>
    </row>
    <row r="6" s="19" customFormat="1" spans="1:18">
      <c r="A6" s="34" t="s">
        <v>7</v>
      </c>
      <c r="B6" s="40" t="s">
        <v>130</v>
      </c>
      <c r="C6" s="35"/>
      <c r="D6" s="34"/>
      <c r="E6" s="36"/>
      <c r="F6" s="37"/>
      <c r="G6" s="37"/>
      <c r="H6" s="37"/>
      <c r="I6" s="37"/>
      <c r="J6" s="37"/>
      <c r="K6" s="37"/>
      <c r="L6" s="37"/>
      <c r="M6" s="47"/>
      <c r="N6" s="44"/>
      <c r="O6" s="45"/>
      <c r="P6" s="45"/>
      <c r="Q6" s="45"/>
      <c r="R6" s="45"/>
    </row>
    <row r="7" s="19" customFormat="1" ht="92" customHeight="1" spans="1:18">
      <c r="A7" s="34">
        <v>1</v>
      </c>
      <c r="B7" s="41" t="s">
        <v>131</v>
      </c>
      <c r="C7" s="41" t="s">
        <v>132</v>
      </c>
      <c r="D7" s="42" t="s">
        <v>98</v>
      </c>
      <c r="E7" s="36">
        <f>18*5</f>
        <v>90</v>
      </c>
      <c r="F7" s="43">
        <v>8</v>
      </c>
      <c r="G7" s="43">
        <v>33</v>
      </c>
      <c r="H7" s="43">
        <v>12.95</v>
      </c>
      <c r="I7" s="37">
        <f>(F7+G7+H7)*$I$5</f>
        <v>4.8555</v>
      </c>
      <c r="J7" s="37">
        <f>(F7+G7+H7+I7)*$J$5</f>
        <v>5.292495</v>
      </c>
      <c r="K7" s="37">
        <f>F7+G7+H7+I7+J7</f>
        <v>64.097995</v>
      </c>
      <c r="L7" s="37">
        <f>K7*E7</f>
        <v>5768.81955</v>
      </c>
      <c r="M7" s="47"/>
      <c r="N7" s="44"/>
      <c r="O7" s="45"/>
      <c r="P7" s="45"/>
      <c r="Q7" s="45"/>
      <c r="R7" s="45"/>
    </row>
    <row r="8" s="19" customFormat="1" ht="92" customHeight="1" spans="1:18">
      <c r="A8" s="34">
        <v>2</v>
      </c>
      <c r="B8" s="41" t="s">
        <v>131</v>
      </c>
      <c r="C8" s="41" t="s">
        <v>133</v>
      </c>
      <c r="D8" s="42" t="s">
        <v>98</v>
      </c>
      <c r="E8" s="36">
        <f>20*20*2</f>
        <v>800</v>
      </c>
      <c r="F8" s="43">
        <v>8</v>
      </c>
      <c r="G8" s="43">
        <v>28</v>
      </c>
      <c r="H8" s="43">
        <v>12.95</v>
      </c>
      <c r="I8" s="37">
        <f t="shared" ref="I8:I39" si="0">(F8+G8+H8)*$I$5</f>
        <v>4.4055</v>
      </c>
      <c r="J8" s="37">
        <f t="shared" ref="J8:J39" si="1">(F8+G8+H8+I8)*$J$5</f>
        <v>4.801995</v>
      </c>
      <c r="K8" s="37">
        <f t="shared" ref="K8:K39" si="2">F8+G8+H8+I8+J8</f>
        <v>58.157495</v>
      </c>
      <c r="L8" s="37">
        <f t="shared" ref="L8:L39" si="3">K8*E8</f>
        <v>46525.996</v>
      </c>
      <c r="M8" s="47" t="s">
        <v>134</v>
      </c>
      <c r="N8" s="44"/>
      <c r="O8" s="45"/>
      <c r="P8" s="45"/>
      <c r="Q8" s="45"/>
      <c r="R8" s="45"/>
    </row>
    <row r="9" s="19" customFormat="1" ht="63" customHeight="1" spans="1:18">
      <c r="A9" s="34">
        <v>3</v>
      </c>
      <c r="B9" s="35" t="s">
        <v>131</v>
      </c>
      <c r="C9" s="41" t="s">
        <v>135</v>
      </c>
      <c r="D9" s="42" t="s">
        <v>98</v>
      </c>
      <c r="E9" s="36">
        <v>1</v>
      </c>
      <c r="F9" s="43">
        <v>455.52</v>
      </c>
      <c r="G9" s="37">
        <v>3800</v>
      </c>
      <c r="H9" s="43">
        <v>84.39</v>
      </c>
      <c r="I9" s="37">
        <f t="shared" si="0"/>
        <v>390.5919</v>
      </c>
      <c r="J9" s="37">
        <f t="shared" si="1"/>
        <v>425.745171</v>
      </c>
      <c r="K9" s="37">
        <f t="shared" si="2"/>
        <v>5156.247071</v>
      </c>
      <c r="L9" s="37">
        <f t="shared" si="3"/>
        <v>5156.247071</v>
      </c>
      <c r="M9" s="48" t="str">
        <f>_xlfn.DISPIMG("ID_89A999F47824457889A425291FC5AE80",1)</f>
        <v>=DISPIMG("ID_89A999F47824457889A425291FC5AE80",1)</v>
      </c>
      <c r="N9" s="44"/>
      <c r="O9" s="45"/>
      <c r="P9" s="45"/>
      <c r="Q9" s="45"/>
      <c r="R9" s="45"/>
    </row>
    <row r="10" s="20" customFormat="1" ht="85" customHeight="1" spans="1:18">
      <c r="A10" s="34">
        <v>4</v>
      </c>
      <c r="B10" s="35" t="s">
        <v>131</v>
      </c>
      <c r="C10" s="41" t="s">
        <v>136</v>
      </c>
      <c r="D10" s="34" t="s">
        <v>51</v>
      </c>
      <c r="E10" s="36">
        <f>25*5+35*2*20+50</f>
        <v>1575</v>
      </c>
      <c r="F10" s="43">
        <v>10.63</v>
      </c>
      <c r="G10" s="37">
        <v>15</v>
      </c>
      <c r="H10" s="43">
        <v>8.2</v>
      </c>
      <c r="I10" s="37">
        <f t="shared" si="0"/>
        <v>3.0447</v>
      </c>
      <c r="J10" s="37">
        <f t="shared" si="1"/>
        <v>3.318723</v>
      </c>
      <c r="K10" s="37">
        <f t="shared" si="2"/>
        <v>40.193423</v>
      </c>
      <c r="L10" s="37">
        <f t="shared" si="3"/>
        <v>63304.641225</v>
      </c>
      <c r="M10" s="47" t="s">
        <v>134</v>
      </c>
      <c r="N10" s="44"/>
      <c r="O10" s="45"/>
      <c r="P10" s="45"/>
      <c r="Q10" s="45"/>
      <c r="R10" s="45"/>
    </row>
    <row r="11" s="19" customFormat="1" ht="57" customHeight="1" spans="1:18">
      <c r="A11" s="34">
        <v>5</v>
      </c>
      <c r="B11" s="41" t="s">
        <v>137</v>
      </c>
      <c r="C11" s="41" t="s">
        <v>138</v>
      </c>
      <c r="D11" s="42" t="s">
        <v>64</v>
      </c>
      <c r="E11" s="36">
        <v>46</v>
      </c>
      <c r="F11" s="43">
        <v>7.23</v>
      </c>
      <c r="G11" s="37">
        <v>15</v>
      </c>
      <c r="H11" s="43">
        <v>1.36</v>
      </c>
      <c r="I11" s="37">
        <f t="shared" si="0"/>
        <v>2.1231</v>
      </c>
      <c r="J11" s="37">
        <f t="shared" si="1"/>
        <v>2.314179</v>
      </c>
      <c r="K11" s="37">
        <f t="shared" si="2"/>
        <v>28.027279</v>
      </c>
      <c r="L11" s="37">
        <f t="shared" si="3"/>
        <v>1289.254834</v>
      </c>
      <c r="M11" s="47" t="s">
        <v>139</v>
      </c>
      <c r="N11" s="44"/>
      <c r="O11" s="45"/>
      <c r="P11" s="45"/>
      <c r="Q11" s="45"/>
      <c r="R11" s="45"/>
    </row>
    <row r="12" s="19" customFormat="1" ht="57" customHeight="1" spans="1:18">
      <c r="A12" s="34">
        <v>6</v>
      </c>
      <c r="B12" s="41" t="s">
        <v>140</v>
      </c>
      <c r="C12" s="41" t="s">
        <v>141</v>
      </c>
      <c r="D12" s="34" t="s">
        <v>51</v>
      </c>
      <c r="E12" s="36">
        <v>1000</v>
      </c>
      <c r="F12" s="43">
        <v>5.73</v>
      </c>
      <c r="G12" s="37">
        <v>1.66</v>
      </c>
      <c r="H12" s="43">
        <v>0.26</v>
      </c>
      <c r="I12" s="37">
        <f t="shared" si="0"/>
        <v>0.6885</v>
      </c>
      <c r="J12" s="37">
        <f t="shared" si="1"/>
        <v>0.750465</v>
      </c>
      <c r="K12" s="37">
        <f t="shared" si="2"/>
        <v>9.088965</v>
      </c>
      <c r="L12" s="37">
        <f t="shared" si="3"/>
        <v>9088.965</v>
      </c>
      <c r="M12" s="47"/>
      <c r="N12" s="44"/>
      <c r="O12" s="45"/>
      <c r="P12" s="45"/>
      <c r="Q12" s="45"/>
      <c r="R12" s="45"/>
    </row>
    <row r="13" s="19" customFormat="1" ht="57" customHeight="1" spans="1:18">
      <c r="A13" s="34">
        <v>7</v>
      </c>
      <c r="B13" s="41" t="s">
        <v>140</v>
      </c>
      <c r="C13" s="41" t="s">
        <v>142</v>
      </c>
      <c r="D13" s="34" t="s">
        <v>51</v>
      </c>
      <c r="E13" s="36">
        <v>600</v>
      </c>
      <c r="F13" s="43">
        <v>5.32</v>
      </c>
      <c r="G13" s="37">
        <v>1.28</v>
      </c>
      <c r="H13" s="43">
        <v>0.25</v>
      </c>
      <c r="I13" s="37">
        <f t="shared" si="0"/>
        <v>0.6165</v>
      </c>
      <c r="J13" s="37">
        <f t="shared" si="1"/>
        <v>0.671985</v>
      </c>
      <c r="K13" s="37">
        <f t="shared" si="2"/>
        <v>8.138485</v>
      </c>
      <c r="L13" s="37">
        <f t="shared" si="3"/>
        <v>4883.091</v>
      </c>
      <c r="M13" s="47"/>
      <c r="N13" s="44"/>
      <c r="O13" s="45"/>
      <c r="P13" s="45"/>
      <c r="Q13" s="45"/>
      <c r="R13" s="45"/>
    </row>
    <row r="14" s="19" customFormat="1" ht="57" customHeight="1" spans="1:18">
      <c r="A14" s="34">
        <v>8</v>
      </c>
      <c r="B14" s="41" t="s">
        <v>143</v>
      </c>
      <c r="C14" s="41" t="s">
        <v>144</v>
      </c>
      <c r="D14" s="34" t="s">
        <v>51</v>
      </c>
      <c r="E14" s="36">
        <v>4500</v>
      </c>
      <c r="F14" s="43">
        <v>1.05</v>
      </c>
      <c r="G14" s="37">
        <v>2.43</v>
      </c>
      <c r="H14" s="43">
        <v>0.18</v>
      </c>
      <c r="I14" s="37">
        <f t="shared" si="0"/>
        <v>0.3294</v>
      </c>
      <c r="J14" s="37">
        <f t="shared" si="1"/>
        <v>0.359046</v>
      </c>
      <c r="K14" s="37">
        <f t="shared" si="2"/>
        <v>4.348446</v>
      </c>
      <c r="L14" s="37">
        <f t="shared" si="3"/>
        <v>19568.007</v>
      </c>
      <c r="M14" s="47" t="s">
        <v>145</v>
      </c>
      <c r="N14" s="44"/>
      <c r="O14" s="45"/>
      <c r="P14" s="45"/>
      <c r="Q14" s="45"/>
      <c r="R14" s="45"/>
    </row>
    <row r="15" s="20" customFormat="1" spans="1:18">
      <c r="A15" s="34" t="s">
        <v>7</v>
      </c>
      <c r="B15" s="40" t="s">
        <v>104</v>
      </c>
      <c r="C15" s="35"/>
      <c r="D15" s="34"/>
      <c r="E15" s="36"/>
      <c r="F15" s="37"/>
      <c r="G15" s="37"/>
      <c r="H15" s="37"/>
      <c r="I15" s="37"/>
      <c r="J15" s="37"/>
      <c r="K15" s="37"/>
      <c r="L15" s="37"/>
      <c r="M15" s="47"/>
      <c r="N15" s="44"/>
      <c r="O15" s="45"/>
      <c r="P15" s="45"/>
      <c r="Q15" s="45"/>
      <c r="R15" s="45"/>
    </row>
    <row r="16" s="20" customFormat="1" ht="92" customHeight="1" spans="1:18">
      <c r="A16" s="34">
        <f>MAX($A$15:A15)+1</f>
        <v>1</v>
      </c>
      <c r="B16" s="35" t="s">
        <v>131</v>
      </c>
      <c r="C16" s="41" t="s">
        <v>146</v>
      </c>
      <c r="D16" s="42" t="s">
        <v>98</v>
      </c>
      <c r="E16" s="36">
        <v>4</v>
      </c>
      <c r="F16" s="43">
        <v>22.86</v>
      </c>
      <c r="G16" s="37">
        <v>35</v>
      </c>
      <c r="H16" s="43">
        <v>6.51</v>
      </c>
      <c r="I16" s="37">
        <f t="shared" si="0"/>
        <v>5.7933</v>
      </c>
      <c r="J16" s="37">
        <f t="shared" si="1"/>
        <v>6.314697</v>
      </c>
      <c r="K16" s="37">
        <f t="shared" si="2"/>
        <v>76.477997</v>
      </c>
      <c r="L16" s="37">
        <f t="shared" si="3"/>
        <v>305.911988</v>
      </c>
      <c r="M16" s="47" t="s">
        <v>134</v>
      </c>
      <c r="N16" s="44"/>
      <c r="O16" s="45"/>
      <c r="P16" s="45"/>
      <c r="Q16" s="45"/>
      <c r="R16" s="45"/>
    </row>
    <row r="17" s="19" customFormat="1" ht="92" customHeight="1" spans="1:18">
      <c r="A17" s="34">
        <f>MAX($A$15:A16)+1</f>
        <v>2</v>
      </c>
      <c r="B17" s="35" t="s">
        <v>147</v>
      </c>
      <c r="C17" s="41" t="s">
        <v>148</v>
      </c>
      <c r="D17" s="42" t="s">
        <v>98</v>
      </c>
      <c r="E17" s="36">
        <v>4</v>
      </c>
      <c r="F17" s="37">
        <v>73.29</v>
      </c>
      <c r="G17" s="37">
        <v>120</v>
      </c>
      <c r="H17" s="37">
        <v>2.09</v>
      </c>
      <c r="I17" s="37">
        <f t="shared" si="0"/>
        <v>17.5842</v>
      </c>
      <c r="J17" s="37">
        <f t="shared" si="1"/>
        <v>19.166778</v>
      </c>
      <c r="K17" s="37">
        <f t="shared" si="2"/>
        <v>232.130978</v>
      </c>
      <c r="L17" s="37">
        <f t="shared" si="3"/>
        <v>928.523912</v>
      </c>
      <c r="M17" s="47"/>
      <c r="N17" s="44"/>
      <c r="O17" s="45"/>
      <c r="P17" s="45"/>
      <c r="Q17" s="45"/>
      <c r="R17" s="45"/>
    </row>
    <row r="18" s="19" customFormat="1" ht="57" customHeight="1" spans="1:18">
      <c r="A18" s="34">
        <f>MAX($A$15:A17)+1</f>
        <v>3</v>
      </c>
      <c r="B18" s="41" t="s">
        <v>137</v>
      </c>
      <c r="C18" s="41" t="s">
        <v>149</v>
      </c>
      <c r="D18" s="42" t="s">
        <v>64</v>
      </c>
      <c r="E18" s="36">
        <v>1</v>
      </c>
      <c r="F18" s="43">
        <v>7.23</v>
      </c>
      <c r="G18" s="37">
        <v>15</v>
      </c>
      <c r="H18" s="43">
        <v>1.36</v>
      </c>
      <c r="I18" s="37">
        <f t="shared" si="0"/>
        <v>2.1231</v>
      </c>
      <c r="J18" s="37">
        <f t="shared" si="1"/>
        <v>2.314179</v>
      </c>
      <c r="K18" s="37">
        <f t="shared" si="2"/>
        <v>28.027279</v>
      </c>
      <c r="L18" s="37">
        <f t="shared" si="3"/>
        <v>28.027279</v>
      </c>
      <c r="M18" s="47" t="s">
        <v>139</v>
      </c>
      <c r="N18" s="44"/>
      <c r="O18" s="45"/>
      <c r="P18" s="45"/>
      <c r="Q18" s="45"/>
      <c r="R18" s="45"/>
    </row>
    <row r="19" s="19" customFormat="1" ht="57" customHeight="1" spans="1:18">
      <c r="A19" s="34">
        <f>MAX($A$15:A18)+1</f>
        <v>4</v>
      </c>
      <c r="B19" s="41" t="s">
        <v>137</v>
      </c>
      <c r="C19" s="41" t="s">
        <v>150</v>
      </c>
      <c r="D19" s="42" t="s">
        <v>64</v>
      </c>
      <c r="E19" s="36">
        <v>2</v>
      </c>
      <c r="F19" s="43">
        <v>7.23</v>
      </c>
      <c r="G19" s="37">
        <v>17</v>
      </c>
      <c r="H19" s="43">
        <v>1.36</v>
      </c>
      <c r="I19" s="37">
        <f t="shared" si="0"/>
        <v>2.3031</v>
      </c>
      <c r="J19" s="37">
        <f t="shared" si="1"/>
        <v>2.510379</v>
      </c>
      <c r="K19" s="37">
        <f t="shared" si="2"/>
        <v>30.403479</v>
      </c>
      <c r="L19" s="37">
        <f t="shared" si="3"/>
        <v>60.806958</v>
      </c>
      <c r="M19" s="47" t="s">
        <v>139</v>
      </c>
      <c r="N19" s="44"/>
      <c r="O19" s="45"/>
      <c r="P19" s="45"/>
      <c r="Q19" s="45"/>
      <c r="R19" s="45"/>
    </row>
    <row r="20" s="19" customFormat="1" ht="57" customHeight="1" spans="1:18">
      <c r="A20" s="34">
        <f>MAX($A$15:A19)+1</f>
        <v>5</v>
      </c>
      <c r="B20" s="41" t="s">
        <v>151</v>
      </c>
      <c r="C20" s="41" t="s">
        <v>152</v>
      </c>
      <c r="D20" s="42" t="s">
        <v>64</v>
      </c>
      <c r="E20" s="36">
        <v>1</v>
      </c>
      <c r="F20" s="37">
        <v>17.8</v>
      </c>
      <c r="G20" s="37">
        <v>45</v>
      </c>
      <c r="H20" s="37">
        <v>2.35</v>
      </c>
      <c r="I20" s="37">
        <f t="shared" si="0"/>
        <v>5.8635</v>
      </c>
      <c r="J20" s="37">
        <f t="shared" si="1"/>
        <v>6.391215</v>
      </c>
      <c r="K20" s="37">
        <f t="shared" si="2"/>
        <v>77.404715</v>
      </c>
      <c r="L20" s="37">
        <f t="shared" si="3"/>
        <v>77.404715</v>
      </c>
      <c r="M20" s="47"/>
      <c r="N20" s="44"/>
      <c r="O20" s="45"/>
      <c r="P20" s="45"/>
      <c r="Q20" s="45"/>
      <c r="R20" s="45"/>
    </row>
    <row r="21" s="19" customFormat="1" ht="57" customHeight="1" spans="1:18">
      <c r="A21" s="34">
        <f>MAX($A$15:A20)+1</f>
        <v>6</v>
      </c>
      <c r="B21" s="41" t="s">
        <v>140</v>
      </c>
      <c r="C21" s="41" t="s">
        <v>153</v>
      </c>
      <c r="D21" s="34" t="s">
        <v>51</v>
      </c>
      <c r="E21" s="36">
        <v>30</v>
      </c>
      <c r="F21" s="43">
        <v>6.73</v>
      </c>
      <c r="G21" s="37">
        <v>1.66</v>
      </c>
      <c r="H21" s="43">
        <v>0.26</v>
      </c>
      <c r="I21" s="37">
        <f t="shared" si="0"/>
        <v>0.7785</v>
      </c>
      <c r="J21" s="37">
        <f t="shared" si="1"/>
        <v>0.848565</v>
      </c>
      <c r="K21" s="37">
        <f t="shared" si="2"/>
        <v>10.277065</v>
      </c>
      <c r="L21" s="37">
        <f t="shared" si="3"/>
        <v>308.31195</v>
      </c>
      <c r="M21" s="47"/>
      <c r="N21" s="44"/>
      <c r="O21" s="45"/>
      <c r="P21" s="45"/>
      <c r="Q21" s="45"/>
      <c r="R21" s="45"/>
    </row>
    <row r="22" s="19" customFormat="1" ht="57" customHeight="1" spans="1:18">
      <c r="A22" s="34">
        <f>MAX($A$15:A21)+1</f>
        <v>7</v>
      </c>
      <c r="B22" s="41" t="s">
        <v>143</v>
      </c>
      <c r="C22" s="41" t="s">
        <v>144</v>
      </c>
      <c r="D22" s="34" t="s">
        <v>51</v>
      </c>
      <c r="E22" s="36">
        <v>100</v>
      </c>
      <c r="F22" s="43">
        <v>1.05</v>
      </c>
      <c r="G22" s="37">
        <v>2.43</v>
      </c>
      <c r="H22" s="43">
        <v>0.18</v>
      </c>
      <c r="I22" s="37">
        <f t="shared" si="0"/>
        <v>0.3294</v>
      </c>
      <c r="J22" s="37">
        <f t="shared" si="1"/>
        <v>0.359046</v>
      </c>
      <c r="K22" s="37">
        <f t="shared" si="2"/>
        <v>4.348446</v>
      </c>
      <c r="L22" s="37">
        <f t="shared" si="3"/>
        <v>434.8446</v>
      </c>
      <c r="M22" s="47" t="s">
        <v>145</v>
      </c>
      <c r="N22" s="44"/>
      <c r="O22" s="45"/>
      <c r="P22" s="45"/>
      <c r="Q22" s="45"/>
      <c r="R22" s="45"/>
    </row>
    <row r="23" s="19" customFormat="1" ht="61" customHeight="1" spans="1:18">
      <c r="A23" s="34">
        <f>MAX($A$15:A22)+1</f>
        <v>8</v>
      </c>
      <c r="B23" s="41" t="s">
        <v>154</v>
      </c>
      <c r="C23" s="41" t="s">
        <v>155</v>
      </c>
      <c r="D23" s="34" t="s">
        <v>51</v>
      </c>
      <c r="E23" s="36">
        <v>10</v>
      </c>
      <c r="F23" s="37">
        <v>15.46</v>
      </c>
      <c r="G23" s="37">
        <v>7.8</v>
      </c>
      <c r="H23" s="37">
        <v>1.21</v>
      </c>
      <c r="I23" s="37">
        <f t="shared" si="0"/>
        <v>2.2023</v>
      </c>
      <c r="J23" s="37">
        <f t="shared" si="1"/>
        <v>2.400507</v>
      </c>
      <c r="K23" s="37">
        <f t="shared" si="2"/>
        <v>29.072807</v>
      </c>
      <c r="L23" s="37">
        <f t="shared" si="3"/>
        <v>290.72807</v>
      </c>
      <c r="M23" s="47" t="s">
        <v>156</v>
      </c>
      <c r="N23" s="44"/>
      <c r="O23" s="45"/>
      <c r="P23" s="45"/>
      <c r="Q23" s="45"/>
      <c r="R23" s="45"/>
    </row>
    <row r="24" s="19" customFormat="1" ht="61" customHeight="1" spans="1:18">
      <c r="A24" s="34">
        <f>MAX($A$15:A23)+1</f>
        <v>9</v>
      </c>
      <c r="B24" s="41" t="s">
        <v>154</v>
      </c>
      <c r="C24" s="41" t="s">
        <v>157</v>
      </c>
      <c r="D24" s="34" t="s">
        <v>51</v>
      </c>
      <c r="E24" s="36">
        <v>10</v>
      </c>
      <c r="F24" s="37">
        <v>13.93</v>
      </c>
      <c r="G24" s="37">
        <v>5.35</v>
      </c>
      <c r="H24" s="37">
        <v>0.86</v>
      </c>
      <c r="I24" s="37">
        <f t="shared" si="0"/>
        <v>1.8126</v>
      </c>
      <c r="J24" s="37">
        <f t="shared" si="1"/>
        <v>1.975734</v>
      </c>
      <c r="K24" s="37">
        <f t="shared" si="2"/>
        <v>23.928334</v>
      </c>
      <c r="L24" s="37">
        <f t="shared" si="3"/>
        <v>239.28334</v>
      </c>
      <c r="M24" s="47" t="s">
        <v>156</v>
      </c>
      <c r="N24" s="44"/>
      <c r="O24" s="45"/>
      <c r="P24" s="45"/>
      <c r="Q24" s="45"/>
      <c r="R24" s="45"/>
    </row>
    <row r="25" s="19" customFormat="1" ht="61" customHeight="1" spans="1:18">
      <c r="A25" s="34">
        <f>MAX($A$15:A24)+1</f>
        <v>10</v>
      </c>
      <c r="B25" s="41" t="s">
        <v>158</v>
      </c>
      <c r="C25" s="41" t="s">
        <v>159</v>
      </c>
      <c r="D25" s="42" t="s">
        <v>64</v>
      </c>
      <c r="E25" s="36">
        <v>1</v>
      </c>
      <c r="F25" s="37">
        <v>13.25</v>
      </c>
      <c r="G25" s="37">
        <v>25</v>
      </c>
      <c r="H25" s="37">
        <v>0.89</v>
      </c>
      <c r="I25" s="37">
        <f t="shared" si="0"/>
        <v>3.5226</v>
      </c>
      <c r="J25" s="37">
        <f t="shared" si="1"/>
        <v>3.839634</v>
      </c>
      <c r="K25" s="37">
        <f t="shared" si="2"/>
        <v>46.502234</v>
      </c>
      <c r="L25" s="37">
        <f t="shared" si="3"/>
        <v>46.502234</v>
      </c>
      <c r="M25" s="47"/>
      <c r="N25" s="44"/>
      <c r="O25" s="45"/>
      <c r="P25" s="45"/>
      <c r="Q25" s="45"/>
      <c r="R25" s="45"/>
    </row>
    <row r="26" s="20" customFormat="1" ht="74" customHeight="1" spans="1:18">
      <c r="A26" s="34">
        <f>MAX($A$15:A25)+1</f>
        <v>11</v>
      </c>
      <c r="B26" s="41" t="s">
        <v>154</v>
      </c>
      <c r="C26" s="41" t="s">
        <v>160</v>
      </c>
      <c r="D26" s="34" t="s">
        <v>51</v>
      </c>
      <c r="E26" s="36">
        <v>10</v>
      </c>
      <c r="F26" s="37">
        <v>24.77</v>
      </c>
      <c r="G26" s="37">
        <v>24.1</v>
      </c>
      <c r="H26" s="37">
        <v>0.92</v>
      </c>
      <c r="I26" s="37">
        <f t="shared" si="0"/>
        <v>4.4811</v>
      </c>
      <c r="J26" s="37">
        <f t="shared" si="1"/>
        <v>4.884399</v>
      </c>
      <c r="K26" s="37">
        <f t="shared" si="2"/>
        <v>59.155499</v>
      </c>
      <c r="L26" s="37">
        <f t="shared" si="3"/>
        <v>591.55499</v>
      </c>
      <c r="M26" s="47" t="s">
        <v>156</v>
      </c>
      <c r="N26" s="44"/>
      <c r="O26" s="45"/>
      <c r="P26" s="45"/>
      <c r="Q26" s="45"/>
      <c r="R26" s="45"/>
    </row>
    <row r="27" s="19" customFormat="1" ht="74" customHeight="1" spans="1:18">
      <c r="A27" s="34">
        <f>MAX($A$15:A26)+1</f>
        <v>12</v>
      </c>
      <c r="B27" s="41" t="s">
        <v>154</v>
      </c>
      <c r="C27" s="41" t="s">
        <v>161</v>
      </c>
      <c r="D27" s="34" t="s">
        <v>51</v>
      </c>
      <c r="E27" s="36">
        <v>10</v>
      </c>
      <c r="F27" s="37">
        <v>22.23</v>
      </c>
      <c r="G27" s="37">
        <v>11.27</v>
      </c>
      <c r="H27" s="37">
        <v>0.58</v>
      </c>
      <c r="I27" s="37">
        <f t="shared" si="0"/>
        <v>3.0672</v>
      </c>
      <c r="J27" s="37">
        <f t="shared" si="1"/>
        <v>3.343248</v>
      </c>
      <c r="K27" s="37">
        <f t="shared" si="2"/>
        <v>40.490448</v>
      </c>
      <c r="L27" s="37">
        <f t="shared" si="3"/>
        <v>404.90448</v>
      </c>
      <c r="M27" s="47" t="s">
        <v>156</v>
      </c>
      <c r="N27" s="44"/>
      <c r="O27" s="45"/>
      <c r="P27" s="45"/>
      <c r="Q27" s="45"/>
      <c r="R27" s="45"/>
    </row>
    <row r="28" s="19" customFormat="1" ht="74" customHeight="1" spans="1:18">
      <c r="A28" s="34">
        <f>MAX($A$15:A27)+1</f>
        <v>13</v>
      </c>
      <c r="B28" s="41" t="s">
        <v>154</v>
      </c>
      <c r="C28" s="41" t="s">
        <v>162</v>
      </c>
      <c r="D28" s="34" t="s">
        <v>51</v>
      </c>
      <c r="E28" s="36">
        <v>10</v>
      </c>
      <c r="F28" s="37">
        <v>16.59</v>
      </c>
      <c r="G28" s="37">
        <v>6.98</v>
      </c>
      <c r="H28" s="37">
        <v>0.32</v>
      </c>
      <c r="I28" s="37">
        <f t="shared" si="0"/>
        <v>2.1501</v>
      </c>
      <c r="J28" s="37">
        <f t="shared" si="1"/>
        <v>2.343609</v>
      </c>
      <c r="K28" s="37">
        <f t="shared" si="2"/>
        <v>28.383709</v>
      </c>
      <c r="L28" s="37">
        <f t="shared" si="3"/>
        <v>283.83709</v>
      </c>
      <c r="M28" s="47" t="s">
        <v>156</v>
      </c>
      <c r="N28" s="44"/>
      <c r="O28" s="45"/>
      <c r="P28" s="45"/>
      <c r="Q28" s="45"/>
      <c r="R28" s="45"/>
    </row>
    <row r="29" s="20" customFormat="1" ht="74" customHeight="1" spans="1:18">
      <c r="A29" s="34">
        <f>MAX($A$15:A28)+1</f>
        <v>14</v>
      </c>
      <c r="B29" s="41" t="s">
        <v>163</v>
      </c>
      <c r="C29" s="41" t="s">
        <v>164</v>
      </c>
      <c r="D29" s="42" t="s">
        <v>64</v>
      </c>
      <c r="E29" s="36">
        <v>1</v>
      </c>
      <c r="F29" s="37">
        <v>6</v>
      </c>
      <c r="G29" s="37">
        <v>38</v>
      </c>
      <c r="H29" s="37">
        <v>0.18</v>
      </c>
      <c r="I29" s="37">
        <f t="shared" si="0"/>
        <v>3.9762</v>
      </c>
      <c r="J29" s="37">
        <f t="shared" si="1"/>
        <v>4.334058</v>
      </c>
      <c r="K29" s="37">
        <f t="shared" si="2"/>
        <v>52.490258</v>
      </c>
      <c r="L29" s="37">
        <f t="shared" si="3"/>
        <v>52.490258</v>
      </c>
      <c r="M29" s="47"/>
      <c r="N29" s="44"/>
      <c r="O29" s="45"/>
      <c r="P29" s="45"/>
      <c r="Q29" s="45"/>
      <c r="R29" s="45"/>
    </row>
    <row r="30" s="20" customFormat="1" ht="74" customHeight="1" spans="1:18">
      <c r="A30" s="34">
        <f>MAX($A$15:A29)+1</f>
        <v>15</v>
      </c>
      <c r="B30" s="41" t="s">
        <v>165</v>
      </c>
      <c r="C30" s="41" t="s">
        <v>166</v>
      </c>
      <c r="D30" s="42" t="s">
        <v>98</v>
      </c>
      <c r="E30" s="36">
        <v>1</v>
      </c>
      <c r="F30" s="37">
        <v>77.89</v>
      </c>
      <c r="G30" s="37">
        <v>560</v>
      </c>
      <c r="H30" s="37">
        <v>12.68</v>
      </c>
      <c r="I30" s="37">
        <f t="shared" si="0"/>
        <v>58.5513</v>
      </c>
      <c r="J30" s="37">
        <f t="shared" si="1"/>
        <v>63.820917</v>
      </c>
      <c r="K30" s="37">
        <f t="shared" si="2"/>
        <v>772.942217</v>
      </c>
      <c r="L30" s="37">
        <f t="shared" si="3"/>
        <v>772.942217</v>
      </c>
      <c r="M30" s="47"/>
      <c r="N30" s="44"/>
      <c r="O30" s="45"/>
      <c r="P30" s="45"/>
      <c r="Q30" s="45"/>
      <c r="R30" s="45"/>
    </row>
    <row r="31" s="20" customFormat="1" ht="74" customHeight="1" spans="1:18">
      <c r="A31" s="34">
        <f>MAX($A$15:A30)+1</f>
        <v>16</v>
      </c>
      <c r="B31" s="41" t="s">
        <v>165</v>
      </c>
      <c r="C31" s="41" t="s">
        <v>167</v>
      </c>
      <c r="D31" s="42" t="s">
        <v>98</v>
      </c>
      <c r="E31" s="36">
        <v>2</v>
      </c>
      <c r="F31" s="37">
        <v>105.31</v>
      </c>
      <c r="G31" s="37">
        <v>420</v>
      </c>
      <c r="H31" s="37">
        <v>24.43</v>
      </c>
      <c r="I31" s="37">
        <f t="shared" si="0"/>
        <v>49.4766</v>
      </c>
      <c r="J31" s="37">
        <f t="shared" si="1"/>
        <v>53.929494</v>
      </c>
      <c r="K31" s="37">
        <f t="shared" si="2"/>
        <v>653.146094</v>
      </c>
      <c r="L31" s="37">
        <f t="shared" si="3"/>
        <v>1306.292188</v>
      </c>
      <c r="M31" s="47"/>
      <c r="N31" s="44"/>
      <c r="O31" s="45"/>
      <c r="P31" s="45"/>
      <c r="Q31" s="45"/>
      <c r="R31" s="45"/>
    </row>
    <row r="32" s="19" customFormat="1" ht="74" customHeight="1" spans="1:18">
      <c r="A32" s="34">
        <f>MAX($A$15:A31)+1</f>
        <v>17</v>
      </c>
      <c r="B32" s="41" t="s">
        <v>168</v>
      </c>
      <c r="C32" s="41" t="s">
        <v>169</v>
      </c>
      <c r="D32" s="42" t="s">
        <v>98</v>
      </c>
      <c r="E32" s="36">
        <v>1</v>
      </c>
      <c r="F32" s="37">
        <v>43.05</v>
      </c>
      <c r="G32" s="37">
        <v>1000</v>
      </c>
      <c r="H32" s="37">
        <v>5.52</v>
      </c>
      <c r="I32" s="37">
        <f t="shared" si="0"/>
        <v>94.3713</v>
      </c>
      <c r="J32" s="37">
        <f t="shared" si="1"/>
        <v>102.864717</v>
      </c>
      <c r="K32" s="37">
        <f t="shared" si="2"/>
        <v>1245.806017</v>
      </c>
      <c r="L32" s="37">
        <f t="shared" si="3"/>
        <v>1245.806017</v>
      </c>
      <c r="M32" s="47"/>
      <c r="N32" s="44"/>
      <c r="O32" s="45"/>
      <c r="P32" s="45"/>
      <c r="Q32" s="45"/>
      <c r="R32" s="45"/>
    </row>
    <row r="33" s="20" customFormat="1" ht="74" customHeight="1" spans="1:18">
      <c r="A33" s="34">
        <f>MAX($A$15:A32)+1</f>
        <v>18</v>
      </c>
      <c r="B33" s="41" t="s">
        <v>170</v>
      </c>
      <c r="C33" s="41" t="s">
        <v>171</v>
      </c>
      <c r="D33" s="42" t="s">
        <v>98</v>
      </c>
      <c r="E33" s="36">
        <v>1</v>
      </c>
      <c r="F33" s="37">
        <v>42.39</v>
      </c>
      <c r="G33" s="37">
        <v>300</v>
      </c>
      <c r="H33" s="37">
        <v>6.97</v>
      </c>
      <c r="I33" s="37">
        <f t="shared" si="0"/>
        <v>31.4424</v>
      </c>
      <c r="J33" s="37">
        <f t="shared" si="1"/>
        <v>34.272216</v>
      </c>
      <c r="K33" s="37">
        <f t="shared" si="2"/>
        <v>415.074616</v>
      </c>
      <c r="L33" s="37">
        <f t="shared" si="3"/>
        <v>415.074616</v>
      </c>
      <c r="M33" s="47"/>
      <c r="N33" s="44"/>
      <c r="O33" s="45"/>
      <c r="P33" s="45"/>
      <c r="Q33" s="45"/>
      <c r="R33" s="45"/>
    </row>
    <row r="34" s="19" customFormat="1" ht="24" customHeight="1" spans="1:18">
      <c r="A34" s="34" t="s">
        <v>15</v>
      </c>
      <c r="B34" s="40" t="s">
        <v>116</v>
      </c>
      <c r="C34" s="35"/>
      <c r="D34" s="34"/>
      <c r="E34" s="36"/>
      <c r="F34" s="37"/>
      <c r="G34" s="37"/>
      <c r="H34" s="37"/>
      <c r="I34" s="37"/>
      <c r="J34" s="37"/>
      <c r="K34" s="37"/>
      <c r="L34" s="37"/>
      <c r="M34" s="49"/>
      <c r="N34" s="44"/>
      <c r="O34" s="45"/>
      <c r="P34" s="45"/>
      <c r="Q34" s="45"/>
      <c r="R34" s="45"/>
    </row>
    <row r="35" s="19" customFormat="1" ht="45" spans="1:18">
      <c r="A35" s="34">
        <v>1</v>
      </c>
      <c r="B35" s="35" t="s">
        <v>172</v>
      </c>
      <c r="C35" s="41" t="s">
        <v>173</v>
      </c>
      <c r="D35" s="42" t="s">
        <v>98</v>
      </c>
      <c r="E35" s="36">
        <v>1</v>
      </c>
      <c r="F35" s="37">
        <v>138.17</v>
      </c>
      <c r="G35" s="37">
        <v>500</v>
      </c>
      <c r="H35" s="37">
        <v>24.51</v>
      </c>
      <c r="I35" s="37">
        <f t="shared" si="0"/>
        <v>59.6412</v>
      </c>
      <c r="J35" s="37">
        <f t="shared" si="1"/>
        <v>65.008908</v>
      </c>
      <c r="K35" s="37">
        <f t="shared" si="2"/>
        <v>787.330108</v>
      </c>
      <c r="L35" s="37">
        <f t="shared" si="3"/>
        <v>787.330108</v>
      </c>
      <c r="M35" s="49"/>
      <c r="N35" s="44"/>
      <c r="O35" s="45"/>
      <c r="P35" s="45"/>
      <c r="Q35" s="45"/>
      <c r="R35" s="45"/>
    </row>
    <row r="36" s="19" customFormat="1" ht="61" customHeight="1" spans="1:18">
      <c r="A36" s="34">
        <v>2</v>
      </c>
      <c r="B36" s="35" t="s">
        <v>172</v>
      </c>
      <c r="C36" s="41" t="s">
        <v>174</v>
      </c>
      <c r="D36" s="42" t="s">
        <v>98</v>
      </c>
      <c r="E36" s="36">
        <v>1</v>
      </c>
      <c r="F36" s="37">
        <v>138.17</v>
      </c>
      <c r="G36" s="37">
        <v>500</v>
      </c>
      <c r="H36" s="37">
        <v>24.51</v>
      </c>
      <c r="I36" s="37">
        <f t="shared" si="0"/>
        <v>59.6412</v>
      </c>
      <c r="J36" s="37">
        <f t="shared" si="1"/>
        <v>65.008908</v>
      </c>
      <c r="K36" s="37">
        <f t="shared" si="2"/>
        <v>787.330108</v>
      </c>
      <c r="L36" s="37">
        <f t="shared" si="3"/>
        <v>787.330108</v>
      </c>
      <c r="M36" s="49"/>
      <c r="N36" s="44"/>
      <c r="O36" s="45"/>
      <c r="P36" s="45"/>
      <c r="Q36" s="45"/>
      <c r="R36" s="45"/>
    </row>
    <row r="37" s="20" customFormat="1" ht="85" customHeight="1" spans="1:18">
      <c r="A37" s="34">
        <v>3</v>
      </c>
      <c r="B37" s="35" t="s">
        <v>131</v>
      </c>
      <c r="C37" s="41" t="s">
        <v>175</v>
      </c>
      <c r="D37" s="42" t="s">
        <v>98</v>
      </c>
      <c r="E37" s="36">
        <v>6</v>
      </c>
      <c r="F37" s="37">
        <v>22.49</v>
      </c>
      <c r="G37" s="37">
        <v>58.11</v>
      </c>
      <c r="H37" s="37">
        <v>8.92</v>
      </c>
      <c r="I37" s="37">
        <f t="shared" si="0"/>
        <v>8.0568</v>
      </c>
      <c r="J37" s="37">
        <f t="shared" si="1"/>
        <v>8.781912</v>
      </c>
      <c r="K37" s="37">
        <f t="shared" si="2"/>
        <v>106.358712</v>
      </c>
      <c r="L37" s="37">
        <f t="shared" si="3"/>
        <v>638.152272</v>
      </c>
      <c r="M37" s="47" t="s">
        <v>134</v>
      </c>
      <c r="N37" s="44"/>
      <c r="O37" s="45"/>
      <c r="P37" s="45"/>
      <c r="Q37" s="45"/>
      <c r="R37" s="45"/>
    </row>
    <row r="38" s="19" customFormat="1" ht="57" customHeight="1" spans="1:18">
      <c r="A38" s="34">
        <v>4</v>
      </c>
      <c r="B38" s="41" t="s">
        <v>137</v>
      </c>
      <c r="C38" s="41" t="s">
        <v>149</v>
      </c>
      <c r="D38" s="42" t="s">
        <v>64</v>
      </c>
      <c r="E38" s="36">
        <v>1</v>
      </c>
      <c r="F38" s="43">
        <v>7.23</v>
      </c>
      <c r="G38" s="37">
        <v>15</v>
      </c>
      <c r="H38" s="43">
        <v>1.36</v>
      </c>
      <c r="I38" s="37">
        <f t="shared" si="0"/>
        <v>2.1231</v>
      </c>
      <c r="J38" s="37">
        <f t="shared" si="1"/>
        <v>2.314179</v>
      </c>
      <c r="K38" s="37">
        <f t="shared" si="2"/>
        <v>28.027279</v>
      </c>
      <c r="L38" s="37">
        <f t="shared" si="3"/>
        <v>28.027279</v>
      </c>
      <c r="M38" s="47" t="s">
        <v>139</v>
      </c>
      <c r="N38" s="44"/>
      <c r="O38" s="45"/>
      <c r="P38" s="45"/>
      <c r="Q38" s="45"/>
      <c r="R38" s="45"/>
    </row>
    <row r="39" s="19" customFormat="1" ht="57" customHeight="1" spans="1:18">
      <c r="A39" s="34">
        <v>5</v>
      </c>
      <c r="B39" s="41" t="s">
        <v>137</v>
      </c>
      <c r="C39" s="41" t="s">
        <v>150</v>
      </c>
      <c r="D39" s="42" t="s">
        <v>64</v>
      </c>
      <c r="E39" s="36">
        <v>2</v>
      </c>
      <c r="F39" s="43">
        <v>7.23</v>
      </c>
      <c r="G39" s="37">
        <v>17</v>
      </c>
      <c r="H39" s="43">
        <v>1.36</v>
      </c>
      <c r="I39" s="37">
        <f t="shared" si="0"/>
        <v>2.3031</v>
      </c>
      <c r="J39" s="37">
        <f t="shared" si="1"/>
        <v>2.510379</v>
      </c>
      <c r="K39" s="37">
        <f t="shared" si="2"/>
        <v>30.403479</v>
      </c>
      <c r="L39" s="37">
        <f t="shared" si="3"/>
        <v>60.806958</v>
      </c>
      <c r="M39" s="47" t="s">
        <v>139</v>
      </c>
      <c r="N39" s="44"/>
      <c r="O39" s="45"/>
      <c r="P39" s="45"/>
      <c r="Q39" s="45"/>
      <c r="R39" s="45"/>
    </row>
    <row r="40" s="19" customFormat="1" ht="57" customHeight="1" spans="1:18">
      <c r="A40" s="34">
        <v>6</v>
      </c>
      <c r="B40" s="41" t="s">
        <v>140</v>
      </c>
      <c r="C40" s="41" t="s">
        <v>141</v>
      </c>
      <c r="D40" s="34" t="s">
        <v>51</v>
      </c>
      <c r="E40" s="36">
        <v>100</v>
      </c>
      <c r="F40" s="43">
        <v>6.73</v>
      </c>
      <c r="G40" s="37">
        <v>1.66</v>
      </c>
      <c r="H40" s="43">
        <v>0.26</v>
      </c>
      <c r="I40" s="37">
        <f t="shared" ref="I40:I66" si="4">(F40+G40+H40)*$I$5</f>
        <v>0.7785</v>
      </c>
      <c r="J40" s="37">
        <f t="shared" ref="J40:J66" si="5">(F40+G40+H40+I40)*$J$5</f>
        <v>0.848565</v>
      </c>
      <c r="K40" s="37">
        <f t="shared" ref="K40:K66" si="6">F40+G40+H40+I40+J40</f>
        <v>10.277065</v>
      </c>
      <c r="L40" s="37">
        <f t="shared" ref="L40:L66" si="7">K40*E40</f>
        <v>1027.7065</v>
      </c>
      <c r="M40" s="47"/>
      <c r="N40" s="44"/>
      <c r="O40" s="45"/>
      <c r="P40" s="45"/>
      <c r="Q40" s="45"/>
      <c r="R40" s="45"/>
    </row>
    <row r="41" s="19" customFormat="1" ht="57" customHeight="1" spans="1:18">
      <c r="A41" s="34">
        <v>7</v>
      </c>
      <c r="B41" s="41" t="s">
        <v>143</v>
      </c>
      <c r="C41" s="41" t="s">
        <v>144</v>
      </c>
      <c r="D41" s="34" t="s">
        <v>51</v>
      </c>
      <c r="E41" s="36">
        <v>300</v>
      </c>
      <c r="F41" s="43">
        <v>1.05</v>
      </c>
      <c r="G41" s="37">
        <v>2.43</v>
      </c>
      <c r="H41" s="43">
        <v>0.18</v>
      </c>
      <c r="I41" s="37">
        <f t="shared" si="4"/>
        <v>0.3294</v>
      </c>
      <c r="J41" s="37">
        <f t="shared" si="5"/>
        <v>0.359046</v>
      </c>
      <c r="K41" s="37">
        <f t="shared" si="6"/>
        <v>4.348446</v>
      </c>
      <c r="L41" s="37">
        <f t="shared" si="7"/>
        <v>1304.5338</v>
      </c>
      <c r="M41" s="47" t="s">
        <v>145</v>
      </c>
      <c r="N41" s="44"/>
      <c r="O41" s="45"/>
      <c r="P41" s="45"/>
      <c r="Q41" s="45"/>
      <c r="R41" s="45"/>
    </row>
    <row r="42" s="19" customFormat="1" ht="61" customHeight="1" spans="1:18">
      <c r="A42" s="34">
        <v>8</v>
      </c>
      <c r="B42" s="41" t="s">
        <v>154</v>
      </c>
      <c r="C42" s="41" t="s">
        <v>155</v>
      </c>
      <c r="D42" s="34" t="s">
        <v>51</v>
      </c>
      <c r="E42" s="36">
        <v>3</v>
      </c>
      <c r="F42" s="37">
        <v>15.46</v>
      </c>
      <c r="G42" s="37">
        <v>7.8</v>
      </c>
      <c r="H42" s="37">
        <v>1.21</v>
      </c>
      <c r="I42" s="37">
        <f t="shared" si="4"/>
        <v>2.2023</v>
      </c>
      <c r="J42" s="37">
        <f t="shared" si="5"/>
        <v>2.400507</v>
      </c>
      <c r="K42" s="37">
        <f t="shared" si="6"/>
        <v>29.072807</v>
      </c>
      <c r="L42" s="37">
        <f t="shared" si="7"/>
        <v>87.218421</v>
      </c>
      <c r="M42" s="47" t="s">
        <v>156</v>
      </c>
      <c r="N42" s="44"/>
      <c r="O42" s="45"/>
      <c r="P42" s="45"/>
      <c r="Q42" s="45"/>
      <c r="R42" s="45"/>
    </row>
    <row r="43" s="19" customFormat="1" ht="61" customHeight="1" spans="1:18">
      <c r="A43" s="34">
        <v>9</v>
      </c>
      <c r="B43" s="41" t="s">
        <v>154</v>
      </c>
      <c r="C43" s="41" t="s">
        <v>157</v>
      </c>
      <c r="D43" s="34" t="s">
        <v>51</v>
      </c>
      <c r="E43" s="36">
        <v>3</v>
      </c>
      <c r="F43" s="37">
        <v>13.93</v>
      </c>
      <c r="G43" s="37">
        <v>5.35</v>
      </c>
      <c r="H43" s="37">
        <v>0.86</v>
      </c>
      <c r="I43" s="37">
        <f t="shared" si="4"/>
        <v>1.8126</v>
      </c>
      <c r="J43" s="37">
        <f t="shared" si="5"/>
        <v>1.975734</v>
      </c>
      <c r="K43" s="37">
        <f t="shared" si="6"/>
        <v>23.928334</v>
      </c>
      <c r="L43" s="37">
        <f t="shared" si="7"/>
        <v>71.785002</v>
      </c>
      <c r="M43" s="47" t="s">
        <v>156</v>
      </c>
      <c r="N43" s="44"/>
      <c r="O43" s="45"/>
      <c r="P43" s="45"/>
      <c r="Q43" s="45"/>
      <c r="R43" s="45"/>
    </row>
    <row r="44" s="19" customFormat="1" ht="61" customHeight="1" spans="1:18">
      <c r="A44" s="34">
        <v>10</v>
      </c>
      <c r="B44" s="41" t="s">
        <v>158</v>
      </c>
      <c r="C44" s="41" t="s">
        <v>159</v>
      </c>
      <c r="D44" s="42" t="s">
        <v>64</v>
      </c>
      <c r="E44" s="36">
        <v>1</v>
      </c>
      <c r="F44" s="37">
        <v>13.25</v>
      </c>
      <c r="G44" s="37">
        <v>25</v>
      </c>
      <c r="H44" s="37">
        <v>0.89</v>
      </c>
      <c r="I44" s="37">
        <f t="shared" si="4"/>
        <v>3.5226</v>
      </c>
      <c r="J44" s="37">
        <f t="shared" si="5"/>
        <v>3.839634</v>
      </c>
      <c r="K44" s="37">
        <f t="shared" si="6"/>
        <v>46.502234</v>
      </c>
      <c r="L44" s="37">
        <f t="shared" si="7"/>
        <v>46.502234</v>
      </c>
      <c r="M44" s="47"/>
      <c r="N44" s="44"/>
      <c r="O44" s="45"/>
      <c r="P44" s="45"/>
      <c r="Q44" s="45"/>
      <c r="R44" s="45"/>
    </row>
    <row r="45" s="19" customFormat="1" ht="74" customHeight="1" spans="1:18">
      <c r="A45" s="34">
        <v>11</v>
      </c>
      <c r="B45" s="41" t="s">
        <v>154</v>
      </c>
      <c r="C45" s="41" t="s">
        <v>160</v>
      </c>
      <c r="D45" s="34" t="s">
        <v>51</v>
      </c>
      <c r="E45" s="36">
        <v>3</v>
      </c>
      <c r="F45" s="37">
        <v>24.77</v>
      </c>
      <c r="G45" s="37">
        <v>24.1</v>
      </c>
      <c r="H45" s="37">
        <v>0.92</v>
      </c>
      <c r="I45" s="37">
        <f t="shared" si="4"/>
        <v>4.4811</v>
      </c>
      <c r="J45" s="37">
        <f t="shared" si="5"/>
        <v>4.884399</v>
      </c>
      <c r="K45" s="37">
        <f t="shared" si="6"/>
        <v>59.155499</v>
      </c>
      <c r="L45" s="37">
        <f t="shared" si="7"/>
        <v>177.466497</v>
      </c>
      <c r="M45" s="47" t="s">
        <v>156</v>
      </c>
      <c r="N45" s="44"/>
      <c r="O45" s="45"/>
      <c r="P45" s="45"/>
      <c r="Q45" s="45"/>
      <c r="R45" s="45"/>
    </row>
    <row r="46" s="19" customFormat="1" ht="74" customHeight="1" spans="1:18">
      <c r="A46" s="34">
        <v>12</v>
      </c>
      <c r="B46" s="41" t="s">
        <v>154</v>
      </c>
      <c r="C46" s="41" t="s">
        <v>161</v>
      </c>
      <c r="D46" s="34" t="s">
        <v>51</v>
      </c>
      <c r="E46" s="36">
        <v>1</v>
      </c>
      <c r="F46" s="37">
        <v>22.23</v>
      </c>
      <c r="G46" s="37">
        <v>11.27</v>
      </c>
      <c r="H46" s="37">
        <v>0.58</v>
      </c>
      <c r="I46" s="37">
        <f t="shared" si="4"/>
        <v>3.0672</v>
      </c>
      <c r="J46" s="37">
        <f t="shared" si="5"/>
        <v>3.343248</v>
      </c>
      <c r="K46" s="37">
        <f t="shared" si="6"/>
        <v>40.490448</v>
      </c>
      <c r="L46" s="37">
        <f t="shared" si="7"/>
        <v>40.490448</v>
      </c>
      <c r="M46" s="47" t="s">
        <v>156</v>
      </c>
      <c r="N46" s="44"/>
      <c r="O46" s="45"/>
      <c r="P46" s="45"/>
      <c r="Q46" s="45"/>
      <c r="R46" s="45"/>
    </row>
    <row r="47" s="19" customFormat="1" ht="74" customHeight="1" spans="1:18">
      <c r="A47" s="34">
        <v>13</v>
      </c>
      <c r="B47" s="41" t="s">
        <v>154</v>
      </c>
      <c r="C47" s="41" t="s">
        <v>162</v>
      </c>
      <c r="D47" s="34" t="s">
        <v>51</v>
      </c>
      <c r="E47" s="36">
        <v>1</v>
      </c>
      <c r="F47" s="37">
        <v>16.59</v>
      </c>
      <c r="G47" s="37">
        <v>6.98</v>
      </c>
      <c r="H47" s="37">
        <v>0.32</v>
      </c>
      <c r="I47" s="37">
        <f t="shared" si="4"/>
        <v>2.1501</v>
      </c>
      <c r="J47" s="37">
        <f t="shared" si="5"/>
        <v>2.343609</v>
      </c>
      <c r="K47" s="37">
        <f t="shared" si="6"/>
        <v>28.383709</v>
      </c>
      <c r="L47" s="37">
        <f t="shared" si="7"/>
        <v>28.383709</v>
      </c>
      <c r="M47" s="47" t="s">
        <v>156</v>
      </c>
      <c r="N47" s="44"/>
      <c r="O47" s="45"/>
      <c r="P47" s="45"/>
      <c r="Q47" s="45"/>
      <c r="R47" s="45"/>
    </row>
    <row r="48" s="19" customFormat="1" ht="74" customHeight="1" spans="1:18">
      <c r="A48" s="34">
        <v>14</v>
      </c>
      <c r="B48" s="41" t="s">
        <v>163</v>
      </c>
      <c r="C48" s="41" t="s">
        <v>164</v>
      </c>
      <c r="D48" s="42" t="s">
        <v>64</v>
      </c>
      <c r="E48" s="36">
        <v>1</v>
      </c>
      <c r="F48" s="37">
        <v>6</v>
      </c>
      <c r="G48" s="37">
        <v>38</v>
      </c>
      <c r="H48" s="37">
        <v>0.18</v>
      </c>
      <c r="I48" s="37">
        <f t="shared" si="4"/>
        <v>3.9762</v>
      </c>
      <c r="J48" s="37">
        <f t="shared" si="5"/>
        <v>4.334058</v>
      </c>
      <c r="K48" s="37">
        <f t="shared" si="6"/>
        <v>52.490258</v>
      </c>
      <c r="L48" s="37">
        <f t="shared" si="7"/>
        <v>52.490258</v>
      </c>
      <c r="M48" s="47"/>
      <c r="N48" s="44"/>
      <c r="O48" s="45"/>
      <c r="P48" s="45"/>
      <c r="Q48" s="45"/>
      <c r="R48" s="45"/>
    </row>
    <row r="49" s="19" customFormat="1" ht="74" customHeight="1" spans="1:18">
      <c r="A49" s="34">
        <v>15</v>
      </c>
      <c r="B49" s="41" t="s">
        <v>165</v>
      </c>
      <c r="C49" s="41" t="s">
        <v>167</v>
      </c>
      <c r="D49" s="42" t="s">
        <v>98</v>
      </c>
      <c r="E49" s="36">
        <v>2</v>
      </c>
      <c r="F49" s="37">
        <v>105.31</v>
      </c>
      <c r="G49" s="37">
        <v>420</v>
      </c>
      <c r="H49" s="37">
        <v>24.43</v>
      </c>
      <c r="I49" s="37">
        <f t="shared" si="4"/>
        <v>49.4766</v>
      </c>
      <c r="J49" s="37">
        <f t="shared" si="5"/>
        <v>53.929494</v>
      </c>
      <c r="K49" s="37">
        <f t="shared" si="6"/>
        <v>653.146094</v>
      </c>
      <c r="L49" s="37">
        <f t="shared" si="7"/>
        <v>1306.292188</v>
      </c>
      <c r="M49" s="47"/>
      <c r="N49" s="44"/>
      <c r="O49" s="45"/>
      <c r="P49" s="45"/>
      <c r="Q49" s="45"/>
      <c r="R49" s="45"/>
    </row>
    <row r="50" s="19" customFormat="1" ht="74" customHeight="1" spans="1:18">
      <c r="A50" s="34">
        <v>16</v>
      </c>
      <c r="B50" s="41" t="s">
        <v>170</v>
      </c>
      <c r="C50" s="41" t="s">
        <v>171</v>
      </c>
      <c r="D50" s="42" t="s">
        <v>98</v>
      </c>
      <c r="E50" s="36">
        <v>1</v>
      </c>
      <c r="F50" s="37">
        <v>42.39</v>
      </c>
      <c r="G50" s="37">
        <v>300</v>
      </c>
      <c r="H50" s="37">
        <v>6.97</v>
      </c>
      <c r="I50" s="37">
        <f t="shared" si="4"/>
        <v>31.4424</v>
      </c>
      <c r="J50" s="37">
        <f t="shared" si="5"/>
        <v>34.272216</v>
      </c>
      <c r="K50" s="37">
        <f t="shared" si="6"/>
        <v>415.074616</v>
      </c>
      <c r="L50" s="37">
        <f t="shared" si="7"/>
        <v>415.074616</v>
      </c>
      <c r="M50" s="47"/>
      <c r="N50" s="44"/>
      <c r="O50" s="45"/>
      <c r="P50" s="45"/>
      <c r="Q50" s="45"/>
      <c r="R50" s="45"/>
    </row>
    <row r="51" s="19" customFormat="1" ht="40" customHeight="1" spans="1:18">
      <c r="A51" s="34" t="s">
        <v>17</v>
      </c>
      <c r="B51" s="40" t="s">
        <v>125</v>
      </c>
      <c r="C51" s="35"/>
      <c r="D51" s="34"/>
      <c r="E51" s="36"/>
      <c r="F51" s="37"/>
      <c r="G51" s="37"/>
      <c r="H51" s="37"/>
      <c r="I51" s="37"/>
      <c r="J51" s="37"/>
      <c r="K51" s="37"/>
      <c r="L51" s="37"/>
      <c r="M51" s="47"/>
      <c r="N51" s="44"/>
      <c r="O51" s="45"/>
      <c r="P51" s="45"/>
      <c r="Q51" s="45"/>
      <c r="R51" s="45"/>
    </row>
    <row r="52" s="19" customFormat="1" ht="45" spans="1:18">
      <c r="A52" s="34">
        <v>1</v>
      </c>
      <c r="B52" s="35" t="s">
        <v>172</v>
      </c>
      <c r="C52" s="41" t="s">
        <v>176</v>
      </c>
      <c r="D52" s="42" t="s">
        <v>98</v>
      </c>
      <c r="E52" s="36">
        <v>1</v>
      </c>
      <c r="F52" s="37">
        <v>138.17</v>
      </c>
      <c r="G52" s="37">
        <v>500</v>
      </c>
      <c r="H52" s="37">
        <v>24.51</v>
      </c>
      <c r="I52" s="37">
        <f t="shared" si="4"/>
        <v>59.6412</v>
      </c>
      <c r="J52" s="37">
        <f t="shared" si="5"/>
        <v>65.008908</v>
      </c>
      <c r="K52" s="37">
        <f t="shared" si="6"/>
        <v>787.330108</v>
      </c>
      <c r="L52" s="37">
        <f t="shared" si="7"/>
        <v>787.330108</v>
      </c>
      <c r="M52" s="49"/>
      <c r="N52" s="44"/>
      <c r="O52" s="45"/>
      <c r="P52" s="45"/>
      <c r="Q52" s="45"/>
      <c r="R52" s="45"/>
    </row>
    <row r="53" s="19" customFormat="1" ht="61" customHeight="1" spans="1:18">
      <c r="A53" s="34">
        <v>2</v>
      </c>
      <c r="B53" s="35" t="s">
        <v>172</v>
      </c>
      <c r="C53" s="41" t="s">
        <v>177</v>
      </c>
      <c r="D53" s="42" t="s">
        <v>98</v>
      </c>
      <c r="E53" s="36">
        <v>1</v>
      </c>
      <c r="F53" s="37">
        <v>138.17</v>
      </c>
      <c r="G53" s="37">
        <v>500</v>
      </c>
      <c r="H53" s="37">
        <v>24.51</v>
      </c>
      <c r="I53" s="37">
        <f t="shared" si="4"/>
        <v>59.6412</v>
      </c>
      <c r="J53" s="37">
        <f t="shared" si="5"/>
        <v>65.008908</v>
      </c>
      <c r="K53" s="37">
        <f t="shared" si="6"/>
        <v>787.330108</v>
      </c>
      <c r="L53" s="37">
        <f t="shared" si="7"/>
        <v>787.330108</v>
      </c>
      <c r="M53" s="49"/>
      <c r="N53" s="44"/>
      <c r="O53" s="45"/>
      <c r="P53" s="45"/>
      <c r="Q53" s="45"/>
      <c r="R53" s="45"/>
    </row>
    <row r="54" s="19" customFormat="1" ht="57" customHeight="1" spans="1:18">
      <c r="A54" s="34">
        <v>3</v>
      </c>
      <c r="B54" s="35" t="s">
        <v>131</v>
      </c>
      <c r="C54" s="41" t="s">
        <v>175</v>
      </c>
      <c r="D54" s="42" t="s">
        <v>98</v>
      </c>
      <c r="E54" s="36">
        <v>5</v>
      </c>
      <c r="F54" s="37">
        <v>22.49</v>
      </c>
      <c r="G54" s="37">
        <v>58.11</v>
      </c>
      <c r="H54" s="37">
        <v>8.92</v>
      </c>
      <c r="I54" s="37">
        <f t="shared" si="4"/>
        <v>8.0568</v>
      </c>
      <c r="J54" s="37">
        <f t="shared" si="5"/>
        <v>8.781912</v>
      </c>
      <c r="K54" s="37">
        <f t="shared" si="6"/>
        <v>106.358712</v>
      </c>
      <c r="L54" s="37">
        <f t="shared" si="7"/>
        <v>531.79356</v>
      </c>
      <c r="M54" s="47" t="s">
        <v>134</v>
      </c>
      <c r="N54" s="44"/>
      <c r="O54" s="45"/>
      <c r="P54" s="45"/>
      <c r="Q54" s="45"/>
      <c r="R54" s="45"/>
    </row>
    <row r="55" s="19" customFormat="1" ht="57" customHeight="1" spans="1:18">
      <c r="A55" s="34">
        <v>4</v>
      </c>
      <c r="B55" s="41" t="s">
        <v>137</v>
      </c>
      <c r="C55" s="41" t="s">
        <v>150</v>
      </c>
      <c r="D55" s="42" t="s">
        <v>64</v>
      </c>
      <c r="E55" s="36">
        <v>2</v>
      </c>
      <c r="F55" s="43">
        <v>7.23</v>
      </c>
      <c r="G55" s="37">
        <v>17</v>
      </c>
      <c r="H55" s="43">
        <v>1.36</v>
      </c>
      <c r="I55" s="37">
        <f t="shared" si="4"/>
        <v>2.3031</v>
      </c>
      <c r="J55" s="37">
        <f t="shared" si="5"/>
        <v>2.510379</v>
      </c>
      <c r="K55" s="37">
        <f t="shared" si="6"/>
        <v>30.403479</v>
      </c>
      <c r="L55" s="37">
        <f t="shared" si="7"/>
        <v>60.806958</v>
      </c>
      <c r="M55" s="47" t="s">
        <v>139</v>
      </c>
      <c r="N55" s="44"/>
      <c r="O55" s="45"/>
      <c r="P55" s="45"/>
      <c r="Q55" s="45"/>
      <c r="R55" s="45"/>
    </row>
    <row r="56" s="19" customFormat="1" ht="57" customHeight="1" spans="1:18">
      <c r="A56" s="34">
        <v>5</v>
      </c>
      <c r="B56" s="41" t="s">
        <v>140</v>
      </c>
      <c r="C56" s="41" t="s">
        <v>141</v>
      </c>
      <c r="D56" s="34" t="s">
        <v>51</v>
      </c>
      <c r="E56" s="36">
        <v>50</v>
      </c>
      <c r="F56" s="43">
        <v>6.73</v>
      </c>
      <c r="G56" s="37">
        <v>1.66</v>
      </c>
      <c r="H56" s="43">
        <v>0.26</v>
      </c>
      <c r="I56" s="37">
        <f t="shared" si="4"/>
        <v>0.7785</v>
      </c>
      <c r="J56" s="37">
        <f t="shared" si="5"/>
        <v>0.848565</v>
      </c>
      <c r="K56" s="37">
        <f t="shared" si="6"/>
        <v>10.277065</v>
      </c>
      <c r="L56" s="37">
        <f t="shared" si="7"/>
        <v>513.85325</v>
      </c>
      <c r="M56" s="47"/>
      <c r="N56" s="44"/>
      <c r="O56" s="45"/>
      <c r="P56" s="45"/>
      <c r="Q56" s="45"/>
      <c r="R56" s="45"/>
    </row>
    <row r="57" s="19" customFormat="1" ht="57" customHeight="1" spans="1:18">
      <c r="A57" s="34">
        <v>6</v>
      </c>
      <c r="B57" s="41" t="s">
        <v>143</v>
      </c>
      <c r="C57" s="41" t="s">
        <v>144</v>
      </c>
      <c r="D57" s="34" t="s">
        <v>51</v>
      </c>
      <c r="E57" s="36">
        <v>150</v>
      </c>
      <c r="F57" s="43">
        <v>1.05</v>
      </c>
      <c r="G57" s="37">
        <v>2.43</v>
      </c>
      <c r="H57" s="43">
        <v>0.18</v>
      </c>
      <c r="I57" s="37">
        <f t="shared" si="4"/>
        <v>0.3294</v>
      </c>
      <c r="J57" s="37">
        <f t="shared" si="5"/>
        <v>0.359046</v>
      </c>
      <c r="K57" s="37">
        <f t="shared" si="6"/>
        <v>4.348446</v>
      </c>
      <c r="L57" s="37">
        <f t="shared" si="7"/>
        <v>652.2669</v>
      </c>
      <c r="M57" s="47" t="s">
        <v>145</v>
      </c>
      <c r="N57" s="44"/>
      <c r="O57" s="45"/>
      <c r="P57" s="45"/>
      <c r="Q57" s="45"/>
      <c r="R57" s="45"/>
    </row>
    <row r="58" s="19" customFormat="1" ht="61" customHeight="1" spans="1:18">
      <c r="A58" s="34">
        <v>7</v>
      </c>
      <c r="B58" s="41" t="s">
        <v>154</v>
      </c>
      <c r="C58" s="41" t="s">
        <v>155</v>
      </c>
      <c r="D58" s="34" t="s">
        <v>51</v>
      </c>
      <c r="E58" s="36">
        <v>3</v>
      </c>
      <c r="F58" s="37">
        <v>15.46</v>
      </c>
      <c r="G58" s="37">
        <v>7.8</v>
      </c>
      <c r="H58" s="37">
        <v>1.21</v>
      </c>
      <c r="I58" s="37">
        <f t="shared" si="4"/>
        <v>2.2023</v>
      </c>
      <c r="J58" s="37">
        <f t="shared" si="5"/>
        <v>2.400507</v>
      </c>
      <c r="K58" s="37">
        <f t="shared" si="6"/>
        <v>29.072807</v>
      </c>
      <c r="L58" s="37">
        <f t="shared" si="7"/>
        <v>87.218421</v>
      </c>
      <c r="M58" s="47" t="s">
        <v>156</v>
      </c>
      <c r="N58" s="44"/>
      <c r="O58" s="45"/>
      <c r="P58" s="45"/>
      <c r="Q58" s="45"/>
      <c r="R58" s="45"/>
    </row>
    <row r="59" s="19" customFormat="1" ht="61" customHeight="1" spans="1:18">
      <c r="A59" s="34">
        <v>8</v>
      </c>
      <c r="B59" s="41" t="s">
        <v>154</v>
      </c>
      <c r="C59" s="41" t="s">
        <v>157</v>
      </c>
      <c r="D59" s="34" t="s">
        <v>51</v>
      </c>
      <c r="E59" s="36">
        <v>3</v>
      </c>
      <c r="F59" s="37">
        <v>13.93</v>
      </c>
      <c r="G59" s="37">
        <v>5.35</v>
      </c>
      <c r="H59" s="37">
        <v>0.86</v>
      </c>
      <c r="I59" s="37">
        <f t="shared" si="4"/>
        <v>1.8126</v>
      </c>
      <c r="J59" s="37">
        <f t="shared" si="5"/>
        <v>1.975734</v>
      </c>
      <c r="K59" s="37">
        <f t="shared" si="6"/>
        <v>23.928334</v>
      </c>
      <c r="L59" s="37">
        <f t="shared" si="7"/>
        <v>71.785002</v>
      </c>
      <c r="M59" s="47" t="s">
        <v>156</v>
      </c>
      <c r="N59" s="44"/>
      <c r="O59" s="45"/>
      <c r="P59" s="45"/>
      <c r="Q59" s="45"/>
      <c r="R59" s="45"/>
    </row>
    <row r="60" s="19" customFormat="1" ht="61" customHeight="1" spans="1:18">
      <c r="A60" s="34">
        <v>9</v>
      </c>
      <c r="B60" s="41" t="s">
        <v>158</v>
      </c>
      <c r="C60" s="41" t="s">
        <v>159</v>
      </c>
      <c r="D60" s="42" t="s">
        <v>64</v>
      </c>
      <c r="E60" s="36">
        <v>1</v>
      </c>
      <c r="F60" s="37">
        <v>13.25</v>
      </c>
      <c r="G60" s="37">
        <v>25</v>
      </c>
      <c r="H60" s="37">
        <v>0.89</v>
      </c>
      <c r="I60" s="37">
        <f t="shared" si="4"/>
        <v>3.5226</v>
      </c>
      <c r="J60" s="37">
        <f t="shared" si="5"/>
        <v>3.839634</v>
      </c>
      <c r="K60" s="37">
        <f t="shared" si="6"/>
        <v>46.502234</v>
      </c>
      <c r="L60" s="37">
        <f t="shared" si="7"/>
        <v>46.502234</v>
      </c>
      <c r="M60" s="47"/>
      <c r="N60" s="44"/>
      <c r="O60" s="45"/>
      <c r="P60" s="45"/>
      <c r="Q60" s="45"/>
      <c r="R60" s="45"/>
    </row>
    <row r="61" s="19" customFormat="1" ht="74" customHeight="1" spans="1:18">
      <c r="A61" s="34">
        <v>10</v>
      </c>
      <c r="B61" s="41" t="s">
        <v>154</v>
      </c>
      <c r="C61" s="41" t="s">
        <v>160</v>
      </c>
      <c r="D61" s="34" t="s">
        <v>51</v>
      </c>
      <c r="E61" s="36">
        <v>3</v>
      </c>
      <c r="F61" s="37">
        <v>24.77</v>
      </c>
      <c r="G61" s="37">
        <v>24.1</v>
      </c>
      <c r="H61" s="37">
        <v>0.92</v>
      </c>
      <c r="I61" s="37">
        <f t="shared" si="4"/>
        <v>4.4811</v>
      </c>
      <c r="J61" s="37">
        <f t="shared" si="5"/>
        <v>4.884399</v>
      </c>
      <c r="K61" s="37">
        <f t="shared" si="6"/>
        <v>59.155499</v>
      </c>
      <c r="L61" s="37">
        <f t="shared" si="7"/>
        <v>177.466497</v>
      </c>
      <c r="M61" s="47" t="s">
        <v>156</v>
      </c>
      <c r="N61" s="44"/>
      <c r="O61" s="45"/>
      <c r="P61" s="45"/>
      <c r="Q61" s="45"/>
      <c r="R61" s="45"/>
    </row>
    <row r="62" s="19" customFormat="1" ht="74" customHeight="1" spans="1:18">
      <c r="A62" s="34">
        <v>11</v>
      </c>
      <c r="B62" s="41" t="s">
        <v>154</v>
      </c>
      <c r="C62" s="41" t="s">
        <v>161</v>
      </c>
      <c r="D62" s="34" t="s">
        <v>51</v>
      </c>
      <c r="E62" s="36">
        <v>1</v>
      </c>
      <c r="F62" s="37">
        <v>22.23</v>
      </c>
      <c r="G62" s="37">
        <v>11.27</v>
      </c>
      <c r="H62" s="37">
        <v>0.58</v>
      </c>
      <c r="I62" s="37">
        <f t="shared" si="4"/>
        <v>3.0672</v>
      </c>
      <c r="J62" s="37">
        <f t="shared" si="5"/>
        <v>3.343248</v>
      </c>
      <c r="K62" s="37">
        <f t="shared" si="6"/>
        <v>40.490448</v>
      </c>
      <c r="L62" s="37">
        <f t="shared" si="7"/>
        <v>40.490448</v>
      </c>
      <c r="M62" s="47" t="s">
        <v>156</v>
      </c>
      <c r="N62" s="44"/>
      <c r="O62" s="45"/>
      <c r="P62" s="45"/>
      <c r="Q62" s="45"/>
      <c r="R62" s="45"/>
    </row>
    <row r="63" s="19" customFormat="1" ht="74" customHeight="1" spans="1:18">
      <c r="A63" s="34">
        <v>12</v>
      </c>
      <c r="B63" s="41" t="s">
        <v>154</v>
      </c>
      <c r="C63" s="41" t="s">
        <v>162</v>
      </c>
      <c r="D63" s="34" t="s">
        <v>51</v>
      </c>
      <c r="E63" s="36">
        <v>1</v>
      </c>
      <c r="F63" s="37">
        <v>16.59</v>
      </c>
      <c r="G63" s="37">
        <v>6.98</v>
      </c>
      <c r="H63" s="37">
        <v>0.32</v>
      </c>
      <c r="I63" s="37">
        <f t="shared" si="4"/>
        <v>2.1501</v>
      </c>
      <c r="J63" s="37">
        <f t="shared" si="5"/>
        <v>2.343609</v>
      </c>
      <c r="K63" s="37">
        <f t="shared" si="6"/>
        <v>28.383709</v>
      </c>
      <c r="L63" s="37">
        <f t="shared" si="7"/>
        <v>28.383709</v>
      </c>
      <c r="M63" s="47" t="s">
        <v>156</v>
      </c>
      <c r="N63" s="44"/>
      <c r="O63" s="45"/>
      <c r="P63" s="45"/>
      <c r="Q63" s="45"/>
      <c r="R63" s="45"/>
    </row>
    <row r="64" s="19" customFormat="1" ht="74" customHeight="1" spans="1:18">
      <c r="A64" s="34">
        <v>13</v>
      </c>
      <c r="B64" s="41" t="s">
        <v>163</v>
      </c>
      <c r="C64" s="41" t="s">
        <v>164</v>
      </c>
      <c r="D64" s="42" t="s">
        <v>64</v>
      </c>
      <c r="E64" s="36">
        <v>1</v>
      </c>
      <c r="F64" s="37">
        <v>6</v>
      </c>
      <c r="G64" s="37">
        <v>38</v>
      </c>
      <c r="H64" s="37">
        <v>0.18</v>
      </c>
      <c r="I64" s="37">
        <f t="shared" si="4"/>
        <v>3.9762</v>
      </c>
      <c r="J64" s="37">
        <f t="shared" si="5"/>
        <v>4.334058</v>
      </c>
      <c r="K64" s="37">
        <f t="shared" si="6"/>
        <v>52.490258</v>
      </c>
      <c r="L64" s="37">
        <f t="shared" si="7"/>
        <v>52.490258</v>
      </c>
      <c r="M64" s="47"/>
      <c r="N64" s="44"/>
      <c r="O64" s="45"/>
      <c r="P64" s="45"/>
      <c r="Q64" s="45"/>
      <c r="R64" s="45"/>
    </row>
    <row r="65" s="19" customFormat="1" ht="74" customHeight="1" spans="1:18">
      <c r="A65" s="34">
        <v>14</v>
      </c>
      <c r="B65" s="41" t="s">
        <v>165</v>
      </c>
      <c r="C65" s="41" t="s">
        <v>167</v>
      </c>
      <c r="D65" s="42" t="s">
        <v>98</v>
      </c>
      <c r="E65" s="36">
        <v>2</v>
      </c>
      <c r="F65" s="37">
        <v>105.31</v>
      </c>
      <c r="G65" s="37">
        <v>420</v>
      </c>
      <c r="H65" s="37">
        <v>24.43</v>
      </c>
      <c r="I65" s="37">
        <f t="shared" si="4"/>
        <v>49.4766</v>
      </c>
      <c r="J65" s="37">
        <f t="shared" si="5"/>
        <v>53.929494</v>
      </c>
      <c r="K65" s="37">
        <f t="shared" si="6"/>
        <v>653.146094</v>
      </c>
      <c r="L65" s="37">
        <f t="shared" si="7"/>
        <v>1306.292188</v>
      </c>
      <c r="M65" s="47"/>
      <c r="N65" s="44"/>
      <c r="O65" s="45"/>
      <c r="P65" s="45"/>
      <c r="Q65" s="45"/>
      <c r="R65" s="45"/>
    </row>
    <row r="66" s="19" customFormat="1" ht="74" customHeight="1" spans="1:18">
      <c r="A66" s="34">
        <v>15</v>
      </c>
      <c r="B66" s="41" t="s">
        <v>170</v>
      </c>
      <c r="C66" s="41" t="s">
        <v>171</v>
      </c>
      <c r="D66" s="42" t="s">
        <v>98</v>
      </c>
      <c r="E66" s="36">
        <v>1</v>
      </c>
      <c r="F66" s="37">
        <v>42.39</v>
      </c>
      <c r="G66" s="37">
        <v>300</v>
      </c>
      <c r="H66" s="37">
        <v>6.97</v>
      </c>
      <c r="I66" s="37">
        <f t="shared" si="4"/>
        <v>31.4424</v>
      </c>
      <c r="J66" s="37">
        <f t="shared" si="5"/>
        <v>34.272216</v>
      </c>
      <c r="K66" s="37">
        <f t="shared" si="6"/>
        <v>415.074616</v>
      </c>
      <c r="L66" s="37">
        <f t="shared" si="7"/>
        <v>415.074616</v>
      </c>
      <c r="M66" s="47"/>
      <c r="N66" s="44"/>
      <c r="O66" s="45"/>
      <c r="P66" s="45"/>
      <c r="Q66" s="45"/>
      <c r="R66" s="45"/>
    </row>
    <row r="67" s="21" customFormat="1" spans="1:18">
      <c r="A67" s="40" t="s">
        <v>93</v>
      </c>
      <c r="B67" s="40"/>
      <c r="C67" s="50" t="s">
        <v>99</v>
      </c>
      <c r="D67" s="40"/>
      <c r="E67" s="51"/>
      <c r="F67" s="52"/>
      <c r="G67" s="52"/>
      <c r="H67" s="52"/>
      <c r="I67" s="52"/>
      <c r="J67" s="52"/>
      <c r="K67" s="52"/>
      <c r="L67" s="52">
        <f>SUM(L7:L66)</f>
        <v>175796.943237</v>
      </c>
      <c r="M67" s="50"/>
      <c r="N67" s="57"/>
      <c r="O67" s="58"/>
      <c r="P67" s="58"/>
      <c r="Q67" s="58"/>
      <c r="R67" s="58"/>
    </row>
    <row r="68" s="22" customFormat="1" ht="58" customHeight="1" spans="1:18">
      <c r="A68" s="53" t="s">
        <v>100</v>
      </c>
      <c r="B68" s="54" t="s">
        <v>101</v>
      </c>
      <c r="C68" s="54"/>
      <c r="D68" s="54"/>
      <c r="E68" s="55"/>
      <c r="F68" s="56"/>
      <c r="G68" s="56"/>
      <c r="H68" s="56"/>
      <c r="I68" s="56"/>
      <c r="J68" s="56"/>
      <c r="K68" s="56"/>
      <c r="L68" s="56"/>
      <c r="M68" s="54"/>
      <c r="N68" s="44"/>
      <c r="O68" s="45"/>
      <c r="P68" s="45"/>
      <c r="Q68" s="45"/>
      <c r="R68" s="45"/>
    </row>
  </sheetData>
  <mergeCells count="17">
    <mergeCell ref="A1:M1"/>
    <mergeCell ref="A2:F2"/>
    <mergeCell ref="G2:K2"/>
    <mergeCell ref="L2:M2"/>
    <mergeCell ref="F3:J3"/>
    <mergeCell ref="B68:M68"/>
    <mergeCell ref="A3:A5"/>
    <mergeCell ref="B3:B5"/>
    <mergeCell ref="C3:C5"/>
    <mergeCell ref="D3:D5"/>
    <mergeCell ref="E3:E5"/>
    <mergeCell ref="F4:F5"/>
    <mergeCell ref="G4:G5"/>
    <mergeCell ref="H4:H5"/>
    <mergeCell ref="K3:K5"/>
    <mergeCell ref="L3:L5"/>
    <mergeCell ref="M3:M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topLeftCell="N7" workbookViewId="0">
      <selection activeCell="F15" sqref="F15"/>
    </sheetView>
  </sheetViews>
  <sheetFormatPr defaultColWidth="9.14285714285714" defaultRowHeight="12.75"/>
  <cols>
    <col min="1" max="1" width="8" style="3" customWidth="1"/>
    <col min="2" max="2" width="27.1428571428571" style="4" customWidth="1"/>
    <col min="4" max="4" width="12.4285714285714" customWidth="1"/>
    <col min="5" max="6" width="13.2857142857143" customWidth="1"/>
    <col min="7" max="7" width="12.5714285714286" customWidth="1"/>
    <col min="10" max="10" width="22" customWidth="1"/>
    <col min="18" max="18" width="14.5714285714286" customWidth="1"/>
  </cols>
  <sheetData>
    <row r="1" ht="41.1" customHeight="1" spans="1:31">
      <c r="A1" s="5" t="s">
        <v>178</v>
      </c>
      <c r="B1" s="6"/>
      <c r="C1" s="5"/>
      <c r="D1" s="5"/>
      <c r="E1" s="5"/>
      <c r="F1" s="5"/>
      <c r="G1" s="5"/>
      <c r="I1" s="18" t="s">
        <v>179</v>
      </c>
      <c r="J1" s="6"/>
      <c r="K1" s="5"/>
      <c r="L1" s="5"/>
      <c r="M1" s="5"/>
      <c r="N1" s="5"/>
      <c r="O1" s="5"/>
      <c r="Q1" s="18" t="s">
        <v>180</v>
      </c>
      <c r="R1" s="6"/>
      <c r="S1" s="5"/>
      <c r="T1" s="5"/>
      <c r="U1" s="5"/>
      <c r="V1" s="5"/>
      <c r="W1" s="5"/>
      <c r="Y1" s="18" t="s">
        <v>181</v>
      </c>
      <c r="Z1" s="6"/>
      <c r="AA1" s="5"/>
      <c r="AB1" s="5"/>
      <c r="AC1" s="5"/>
      <c r="AD1" s="5"/>
      <c r="AE1" s="5"/>
    </row>
    <row r="2" s="1" customFormat="1" ht="38.1" customHeight="1" spans="1:31">
      <c r="A2" s="7" t="s">
        <v>22</v>
      </c>
      <c r="B2" s="8" t="s">
        <v>2</v>
      </c>
      <c r="C2" s="7" t="s">
        <v>3</v>
      </c>
      <c r="D2" s="7" t="s">
        <v>182</v>
      </c>
      <c r="E2" s="7" t="s">
        <v>183</v>
      </c>
      <c r="F2" s="7" t="s">
        <v>99</v>
      </c>
      <c r="G2" s="7" t="s">
        <v>6</v>
      </c>
      <c r="I2" s="7" t="s">
        <v>22</v>
      </c>
      <c r="J2" s="8" t="s">
        <v>2</v>
      </c>
      <c r="K2" s="7" t="s">
        <v>3</v>
      </c>
      <c r="L2" s="7" t="s">
        <v>182</v>
      </c>
      <c r="M2" s="7" t="s">
        <v>183</v>
      </c>
      <c r="N2" s="7" t="s">
        <v>99</v>
      </c>
      <c r="O2" s="7" t="s">
        <v>6</v>
      </c>
      <c r="Q2" s="7" t="s">
        <v>22</v>
      </c>
      <c r="R2" s="8" t="s">
        <v>2</v>
      </c>
      <c r="S2" s="7" t="s">
        <v>3</v>
      </c>
      <c r="T2" s="7" t="s">
        <v>182</v>
      </c>
      <c r="U2" s="7" t="s">
        <v>183</v>
      </c>
      <c r="V2" s="7" t="s">
        <v>99</v>
      </c>
      <c r="W2" s="7" t="s">
        <v>6</v>
      </c>
      <c r="Y2" s="7" t="s">
        <v>22</v>
      </c>
      <c r="Z2" s="8" t="s">
        <v>2</v>
      </c>
      <c r="AA2" s="7" t="s">
        <v>3</v>
      </c>
      <c r="AB2" s="7" t="s">
        <v>182</v>
      </c>
      <c r="AC2" s="7" t="s">
        <v>183</v>
      </c>
      <c r="AD2" s="7" t="s">
        <v>99</v>
      </c>
      <c r="AE2" s="7" t="s">
        <v>6</v>
      </c>
    </row>
    <row r="3" s="2" customFormat="1" ht="38.1" customHeight="1" spans="1:31">
      <c r="A3" s="7"/>
      <c r="B3" s="9" t="s">
        <v>184</v>
      </c>
      <c r="C3" s="10"/>
      <c r="D3" s="10"/>
      <c r="E3" s="10"/>
      <c r="F3" s="10"/>
      <c r="G3" s="10"/>
      <c r="I3" s="7"/>
      <c r="J3" s="9" t="s">
        <v>184</v>
      </c>
      <c r="K3" s="10"/>
      <c r="L3" s="10"/>
      <c r="M3" s="10"/>
      <c r="N3" s="10"/>
      <c r="O3" s="10"/>
      <c r="Q3" s="7"/>
      <c r="R3" s="9" t="s">
        <v>184</v>
      </c>
      <c r="S3" s="10"/>
      <c r="T3" s="10"/>
      <c r="U3" s="10"/>
      <c r="V3" s="10"/>
      <c r="W3" s="10"/>
      <c r="Y3" s="7"/>
      <c r="Z3" s="9" t="s">
        <v>184</v>
      </c>
      <c r="AA3" s="10"/>
      <c r="AB3" s="10"/>
      <c r="AC3" s="10"/>
      <c r="AD3" s="10"/>
      <c r="AE3" s="10"/>
    </row>
    <row r="4" ht="48.95" customHeight="1" spans="1:31">
      <c r="A4" s="11">
        <v>1</v>
      </c>
      <c r="B4" s="12" t="s">
        <v>185</v>
      </c>
      <c r="C4" s="13" t="s">
        <v>186</v>
      </c>
      <c r="D4" s="14">
        <v>2</v>
      </c>
      <c r="E4" s="14"/>
      <c r="F4" s="14"/>
      <c r="G4" s="14"/>
      <c r="I4" s="11">
        <v>1</v>
      </c>
      <c r="J4" s="12" t="s">
        <v>185</v>
      </c>
      <c r="K4" s="13" t="s">
        <v>186</v>
      </c>
      <c r="L4" s="14">
        <v>2</v>
      </c>
      <c r="M4" s="14"/>
      <c r="N4" s="14"/>
      <c r="O4" s="14"/>
      <c r="Q4" s="11">
        <v>1</v>
      </c>
      <c r="R4" s="12" t="s">
        <v>185</v>
      </c>
      <c r="S4" s="13" t="s">
        <v>186</v>
      </c>
      <c r="T4" s="14">
        <v>2</v>
      </c>
      <c r="U4" s="14"/>
      <c r="V4" s="14"/>
      <c r="W4" s="14"/>
      <c r="Y4" s="11">
        <v>1</v>
      </c>
      <c r="Z4" s="12" t="s">
        <v>185</v>
      </c>
      <c r="AA4" s="13" t="s">
        <v>186</v>
      </c>
      <c r="AB4" s="14">
        <v>2</v>
      </c>
      <c r="AC4" s="14"/>
      <c r="AD4" s="14"/>
      <c r="AE4" s="14"/>
    </row>
    <row r="5" ht="48.95" customHeight="1" spans="1:31">
      <c r="A5" s="11">
        <v>3</v>
      </c>
      <c r="B5" s="15" t="s">
        <v>187</v>
      </c>
      <c r="C5" s="14" t="s">
        <v>51</v>
      </c>
      <c r="D5" s="14">
        <f>5.17*2</f>
        <v>10.34</v>
      </c>
      <c r="E5" s="14">
        <v>30.62</v>
      </c>
      <c r="F5" s="14">
        <f>E5*D5</f>
        <v>316.6108</v>
      </c>
      <c r="G5" s="14"/>
      <c r="I5" s="11">
        <v>3</v>
      </c>
      <c r="J5" s="15" t="s">
        <v>187</v>
      </c>
      <c r="K5" s="14" t="s">
        <v>51</v>
      </c>
      <c r="L5" s="14">
        <f>5.17*2</f>
        <v>10.34</v>
      </c>
      <c r="M5" s="14">
        <v>30.62</v>
      </c>
      <c r="N5" s="14">
        <f>M5*L5</f>
        <v>316.6108</v>
      </c>
      <c r="O5" s="14"/>
      <c r="Q5" s="11">
        <v>3</v>
      </c>
      <c r="R5" s="15" t="s">
        <v>187</v>
      </c>
      <c r="S5" s="14" t="s">
        <v>51</v>
      </c>
      <c r="T5" s="14">
        <f>5.17*2</f>
        <v>10.34</v>
      </c>
      <c r="U5" s="14">
        <v>30.62</v>
      </c>
      <c r="V5" s="14">
        <f>U5*T5</f>
        <v>316.6108</v>
      </c>
      <c r="W5" s="14"/>
      <c r="Y5" s="11">
        <v>3</v>
      </c>
      <c r="Z5" s="15" t="s">
        <v>187</v>
      </c>
      <c r="AA5" s="14" t="s">
        <v>51</v>
      </c>
      <c r="AB5" s="14">
        <f>5.17*2</f>
        <v>10.34</v>
      </c>
      <c r="AC5" s="14">
        <v>30.62</v>
      </c>
      <c r="AD5" s="14">
        <f>AC5*AB5</f>
        <v>316.6108</v>
      </c>
      <c r="AE5" s="14"/>
    </row>
    <row r="6" ht="48.95" customHeight="1" spans="1:31">
      <c r="A6" s="11">
        <v>4</v>
      </c>
      <c r="B6" s="15" t="s">
        <v>188</v>
      </c>
      <c r="C6" s="14" t="s">
        <v>51</v>
      </c>
      <c r="D6" s="14">
        <f>5.17*8</f>
        <v>41.36</v>
      </c>
      <c r="E6" s="14">
        <v>8</v>
      </c>
      <c r="F6" s="14">
        <f>E6*D6</f>
        <v>330.88</v>
      </c>
      <c r="G6" s="14"/>
      <c r="I6" s="11">
        <v>4</v>
      </c>
      <c r="J6" s="15" t="s">
        <v>188</v>
      </c>
      <c r="K6" s="14" t="s">
        <v>51</v>
      </c>
      <c r="L6" s="14">
        <f>5.17*8</f>
        <v>41.36</v>
      </c>
      <c r="M6" s="14">
        <v>8</v>
      </c>
      <c r="N6" s="14">
        <f>M6*L6</f>
        <v>330.88</v>
      </c>
      <c r="O6" s="14"/>
      <c r="Q6" s="11">
        <v>4</v>
      </c>
      <c r="R6" s="15" t="s">
        <v>188</v>
      </c>
      <c r="S6" s="14" t="s">
        <v>51</v>
      </c>
      <c r="T6" s="14">
        <f>5.17*8</f>
        <v>41.36</v>
      </c>
      <c r="U6" s="14">
        <v>8</v>
      </c>
      <c r="V6" s="14">
        <f>U6*T6</f>
        <v>330.88</v>
      </c>
      <c r="W6" s="14"/>
      <c r="Y6" s="11">
        <v>4</v>
      </c>
      <c r="Z6" s="15" t="s">
        <v>188</v>
      </c>
      <c r="AA6" s="14" t="s">
        <v>51</v>
      </c>
      <c r="AB6" s="14">
        <f>5.17*8</f>
        <v>41.36</v>
      </c>
      <c r="AC6" s="14">
        <v>8</v>
      </c>
      <c r="AD6" s="14">
        <f>AC6*AB6</f>
        <v>330.88</v>
      </c>
      <c r="AE6" s="14"/>
    </row>
    <row r="7" ht="48.95" customHeight="1" spans="1:31">
      <c r="A7" s="11">
        <v>5</v>
      </c>
      <c r="B7" s="15" t="s">
        <v>189</v>
      </c>
      <c r="C7" s="14" t="s">
        <v>51</v>
      </c>
      <c r="D7" s="14">
        <f>(0.575+0.495+0.858+0.11+0.19+0.787+0.148+0.148+0.475+0.675+0.495+0.855)*6</f>
        <v>34.866</v>
      </c>
      <c r="E7" s="14">
        <v>3.06</v>
      </c>
      <c r="F7" s="14">
        <f t="shared" ref="F7:F21" si="0">E7*D7</f>
        <v>106.68996</v>
      </c>
      <c r="G7" s="14"/>
      <c r="I7" s="11">
        <v>5</v>
      </c>
      <c r="J7" s="15" t="s">
        <v>189</v>
      </c>
      <c r="K7" s="14" t="s">
        <v>51</v>
      </c>
      <c r="L7" s="14">
        <f>(0.575+0.495+0.858+0.11+0.19+0.787+0.148+0.148+0.475+0.675+0.495+0.855)*6</f>
        <v>34.866</v>
      </c>
      <c r="M7" s="14">
        <v>3.06</v>
      </c>
      <c r="N7" s="14">
        <f t="shared" ref="N7:N16" si="1">M7*L7</f>
        <v>106.68996</v>
      </c>
      <c r="O7" s="14"/>
      <c r="Q7" s="11">
        <v>5</v>
      </c>
      <c r="R7" s="15" t="s">
        <v>189</v>
      </c>
      <c r="S7" s="14" t="s">
        <v>51</v>
      </c>
      <c r="T7" s="14">
        <f>(0.575+0.495+0.858+0.11+0.19+0.787+0.148+0.148+0.475+0.675+0.495+0.855)*6</f>
        <v>34.866</v>
      </c>
      <c r="U7" s="14">
        <v>3.06</v>
      </c>
      <c r="V7" s="14">
        <f t="shared" ref="V7:V16" si="2">U7*T7</f>
        <v>106.68996</v>
      </c>
      <c r="W7" s="14"/>
      <c r="Y7" s="11">
        <v>5</v>
      </c>
      <c r="Z7" s="15" t="s">
        <v>189</v>
      </c>
      <c r="AA7" s="14" t="s">
        <v>51</v>
      </c>
      <c r="AB7" s="14">
        <f>(0.575+0.495+0.858+0.11+0.19+0.787+0.148+0.148+0.475+0.675+0.495+0.855)*6</f>
        <v>34.866</v>
      </c>
      <c r="AC7" s="14">
        <v>3.06</v>
      </c>
      <c r="AD7" s="14">
        <f t="shared" ref="AD7:AD16" si="3">AC7*AB7</f>
        <v>106.68996</v>
      </c>
      <c r="AE7" s="14"/>
    </row>
    <row r="8" ht="48.95" customHeight="1" spans="1:31">
      <c r="A8" s="11">
        <v>6</v>
      </c>
      <c r="B8" s="15" t="s">
        <v>190</v>
      </c>
      <c r="C8" s="14" t="s">
        <v>51</v>
      </c>
      <c r="D8" s="14">
        <f>(0.185*2+0.085*2+0.11*2+0.135+0.11*2+0.185*2+0.085*2+0.135)*6</f>
        <v>10.74</v>
      </c>
      <c r="E8" s="14">
        <v>10</v>
      </c>
      <c r="F8" s="14">
        <f t="shared" si="0"/>
        <v>107.4</v>
      </c>
      <c r="G8" s="14"/>
      <c r="I8" s="11">
        <v>6</v>
      </c>
      <c r="J8" s="15" t="s">
        <v>190</v>
      </c>
      <c r="K8" s="14" t="s">
        <v>51</v>
      </c>
      <c r="L8" s="14">
        <f>(0.185*2+0.085*2+0.11*2+0.135+0.11*2+0.185*2+0.085*2+0.135)*6</f>
        <v>10.74</v>
      </c>
      <c r="M8" s="14">
        <v>10</v>
      </c>
      <c r="N8" s="14">
        <f t="shared" si="1"/>
        <v>107.4</v>
      </c>
      <c r="O8" s="14"/>
      <c r="Q8" s="11">
        <v>6</v>
      </c>
      <c r="R8" s="15" t="s">
        <v>190</v>
      </c>
      <c r="S8" s="14" t="s">
        <v>51</v>
      </c>
      <c r="T8" s="14">
        <f>(0.185*2+0.085*2+0.11*2+0.135+0.11*2+0.185*2+0.085*2+0.135)*6</f>
        <v>10.74</v>
      </c>
      <c r="U8" s="14">
        <v>10</v>
      </c>
      <c r="V8" s="14">
        <f t="shared" si="2"/>
        <v>107.4</v>
      </c>
      <c r="W8" s="14"/>
      <c r="Y8" s="11">
        <v>6</v>
      </c>
      <c r="Z8" s="15" t="s">
        <v>190</v>
      </c>
      <c r="AA8" s="14" t="s">
        <v>51</v>
      </c>
      <c r="AB8" s="14">
        <f>(0.185*2+0.085*2+0.11*2+0.135+0.11*2+0.185*2+0.085*2+0.135)*6</f>
        <v>10.74</v>
      </c>
      <c r="AC8" s="14">
        <v>10</v>
      </c>
      <c r="AD8" s="14">
        <f t="shared" si="3"/>
        <v>107.4</v>
      </c>
      <c r="AE8" s="14"/>
    </row>
    <row r="9" ht="78" customHeight="1" spans="1:31">
      <c r="A9" s="11">
        <v>7</v>
      </c>
      <c r="B9" s="12" t="s">
        <v>191</v>
      </c>
      <c r="C9" s="13" t="s">
        <v>186</v>
      </c>
      <c r="D9" s="14">
        <f>6*6</f>
        <v>36</v>
      </c>
      <c r="E9" s="14"/>
      <c r="F9" s="14">
        <f t="shared" si="0"/>
        <v>0</v>
      </c>
      <c r="G9" s="14"/>
      <c r="I9" s="11">
        <v>7</v>
      </c>
      <c r="J9" s="12" t="s">
        <v>191</v>
      </c>
      <c r="K9" s="13" t="s">
        <v>186</v>
      </c>
      <c r="L9" s="14">
        <f>6*6</f>
        <v>36</v>
      </c>
      <c r="M9" s="14"/>
      <c r="N9" s="14">
        <f t="shared" si="1"/>
        <v>0</v>
      </c>
      <c r="O9" s="14"/>
      <c r="Q9" s="11">
        <v>7</v>
      </c>
      <c r="R9" s="12" t="s">
        <v>191</v>
      </c>
      <c r="S9" s="13" t="s">
        <v>186</v>
      </c>
      <c r="T9" s="14">
        <f>6*6</f>
        <v>36</v>
      </c>
      <c r="U9" s="14"/>
      <c r="V9" s="14">
        <f t="shared" si="2"/>
        <v>0</v>
      </c>
      <c r="W9" s="14"/>
      <c r="Y9" s="11">
        <v>7</v>
      </c>
      <c r="Z9" s="12" t="s">
        <v>191</v>
      </c>
      <c r="AA9" s="13" t="s">
        <v>186</v>
      </c>
      <c r="AB9" s="14">
        <f>6*6</f>
        <v>36</v>
      </c>
      <c r="AC9" s="14"/>
      <c r="AD9" s="14">
        <f t="shared" si="3"/>
        <v>0</v>
      </c>
      <c r="AE9" s="14"/>
    </row>
    <row r="10" ht="78" customHeight="1" spans="1:31">
      <c r="A10" s="11"/>
      <c r="B10" s="12" t="s">
        <v>192</v>
      </c>
      <c r="C10" s="13"/>
      <c r="D10" s="14">
        <f>0.21*7</f>
        <v>1.47</v>
      </c>
      <c r="E10" s="14">
        <v>3.06</v>
      </c>
      <c r="F10" s="14">
        <f t="shared" si="0"/>
        <v>4.4982</v>
      </c>
      <c r="G10" s="14"/>
      <c r="I10" s="11"/>
      <c r="J10" s="12" t="s">
        <v>192</v>
      </c>
      <c r="K10" s="13"/>
      <c r="L10" s="14">
        <f>0.21*7</f>
        <v>1.47</v>
      </c>
      <c r="M10" s="14">
        <v>3.06</v>
      </c>
      <c r="N10" s="14">
        <f t="shared" si="1"/>
        <v>4.4982</v>
      </c>
      <c r="O10" s="14"/>
      <c r="Q10" s="11"/>
      <c r="R10" s="12" t="s">
        <v>192</v>
      </c>
      <c r="S10" s="13"/>
      <c r="T10" s="14">
        <f>0.21*7</f>
        <v>1.47</v>
      </c>
      <c r="U10" s="14">
        <v>3.06</v>
      </c>
      <c r="V10" s="14">
        <f t="shared" si="2"/>
        <v>4.4982</v>
      </c>
      <c r="W10" s="14"/>
      <c r="Y10" s="11"/>
      <c r="Z10" s="12" t="s">
        <v>192</v>
      </c>
      <c r="AA10" s="13"/>
      <c r="AB10" s="14">
        <f>0.21*7</f>
        <v>1.47</v>
      </c>
      <c r="AC10" s="14">
        <v>3.06</v>
      </c>
      <c r="AD10" s="14">
        <f t="shared" si="3"/>
        <v>4.4982</v>
      </c>
      <c r="AE10" s="14"/>
    </row>
    <row r="11" ht="42" customHeight="1" spans="1:31">
      <c r="A11" s="11"/>
      <c r="B11" s="16" t="s">
        <v>193</v>
      </c>
      <c r="C11" s="13"/>
      <c r="D11" s="14"/>
      <c r="E11" s="14"/>
      <c r="F11" s="14">
        <f t="shared" si="0"/>
        <v>0</v>
      </c>
      <c r="G11" s="14"/>
      <c r="I11" s="11"/>
      <c r="J11" s="16" t="s">
        <v>193</v>
      </c>
      <c r="K11" s="13"/>
      <c r="L11" s="14"/>
      <c r="M11" s="14"/>
      <c r="N11" s="14">
        <f t="shared" si="1"/>
        <v>0</v>
      </c>
      <c r="O11" s="14"/>
      <c r="Q11" s="11"/>
      <c r="R11" s="16" t="s">
        <v>193</v>
      </c>
      <c r="S11" s="13"/>
      <c r="T11" s="14"/>
      <c r="U11" s="14"/>
      <c r="V11" s="14">
        <f t="shared" si="2"/>
        <v>0</v>
      </c>
      <c r="W11" s="14"/>
      <c r="Y11" s="11"/>
      <c r="Z11" s="16" t="s">
        <v>193</v>
      </c>
      <c r="AA11" s="13"/>
      <c r="AB11" s="14"/>
      <c r="AC11" s="14"/>
      <c r="AD11" s="14">
        <f t="shared" si="3"/>
        <v>0</v>
      </c>
      <c r="AE11" s="14"/>
    </row>
    <row r="12" ht="48.95" customHeight="1" spans="1:31">
      <c r="A12" s="11">
        <v>1</v>
      </c>
      <c r="B12" s="15" t="s">
        <v>189</v>
      </c>
      <c r="C12" s="14" t="s">
        <v>51</v>
      </c>
      <c r="D12" s="14">
        <f>(0.547+0.156+0.686+1.112+1.137)*2+1.13*4+(0.547+0.156+0.686)*3*2+(1.55+1.7+1.055)*3</f>
        <v>33.045</v>
      </c>
      <c r="E12" s="14"/>
      <c r="F12" s="14">
        <f t="shared" si="0"/>
        <v>0</v>
      </c>
      <c r="G12" s="14"/>
      <c r="I12" s="11">
        <v>1</v>
      </c>
      <c r="J12" s="15" t="s">
        <v>189</v>
      </c>
      <c r="K12" s="14" t="s">
        <v>51</v>
      </c>
      <c r="L12" s="14">
        <f>(0.547+0.156+0.686+1.112+1.137)*2+1.13*4+(0.547+0.156+0.686)*3*2+(1.55+1.7+1.055)*3</f>
        <v>33.045</v>
      </c>
      <c r="M12" s="14">
        <f>M10</f>
        <v>3.06</v>
      </c>
      <c r="N12" s="14">
        <f t="shared" si="1"/>
        <v>101.1177</v>
      </c>
      <c r="O12" s="14"/>
      <c r="Q12" s="11">
        <v>1</v>
      </c>
      <c r="R12" s="15" t="s">
        <v>189</v>
      </c>
      <c r="S12" s="14" t="s">
        <v>51</v>
      </c>
      <c r="T12" s="14">
        <f>(0.547+0.156+0.686+1.112+1.137)*2+1.13*4+(0.547+0.156+0.686)*3*2+(1.55+1.7+1.055)*3</f>
        <v>33.045</v>
      </c>
      <c r="U12" s="14">
        <f>U10</f>
        <v>3.06</v>
      </c>
      <c r="V12" s="14">
        <f t="shared" si="2"/>
        <v>101.1177</v>
      </c>
      <c r="W12" s="14"/>
      <c r="Y12" s="11">
        <v>1</v>
      </c>
      <c r="Z12" s="15" t="s">
        <v>189</v>
      </c>
      <c r="AA12" s="14" t="s">
        <v>51</v>
      </c>
      <c r="AB12" s="14">
        <f>(0.547+0.156+0.686+1.112)*2+(0.547+0.156+0.686)*3*2+(1.55+1.055)*3</f>
        <v>21.151</v>
      </c>
      <c r="AC12" s="14">
        <f>AC10</f>
        <v>3.06</v>
      </c>
      <c r="AD12" s="14">
        <f t="shared" si="3"/>
        <v>64.72206</v>
      </c>
      <c r="AE12" s="14"/>
    </row>
    <row r="13" ht="48.95" customHeight="1" spans="1:31">
      <c r="A13" s="11"/>
      <c r="B13" s="12" t="s">
        <v>194</v>
      </c>
      <c r="C13" s="13" t="s">
        <v>186</v>
      </c>
      <c r="D13" s="14">
        <f>3*2</f>
        <v>6</v>
      </c>
      <c r="E13" s="14"/>
      <c r="F13" s="14">
        <f t="shared" si="0"/>
        <v>0</v>
      </c>
      <c r="G13" s="14"/>
      <c r="I13" s="11"/>
      <c r="J13" s="12" t="s">
        <v>194</v>
      </c>
      <c r="K13" s="13" t="s">
        <v>186</v>
      </c>
      <c r="L13" s="14">
        <f>3*2</f>
        <v>6</v>
      </c>
      <c r="M13" s="14"/>
      <c r="N13" s="14">
        <f t="shared" si="1"/>
        <v>0</v>
      </c>
      <c r="O13" s="14"/>
      <c r="Q13" s="11"/>
      <c r="R13" s="12" t="s">
        <v>194</v>
      </c>
      <c r="S13" s="13" t="s">
        <v>186</v>
      </c>
      <c r="T13" s="14">
        <f>3*2</f>
        <v>6</v>
      </c>
      <c r="U13" s="14"/>
      <c r="V13" s="14">
        <f t="shared" si="2"/>
        <v>0</v>
      </c>
      <c r="W13" s="14"/>
      <c r="Y13" s="11"/>
      <c r="Z13" s="12" t="s">
        <v>194</v>
      </c>
      <c r="AA13" s="13" t="s">
        <v>186</v>
      </c>
      <c r="AB13" s="14">
        <f>3*2</f>
        <v>6</v>
      </c>
      <c r="AC13" s="14"/>
      <c r="AD13" s="14">
        <f t="shared" si="3"/>
        <v>0</v>
      </c>
      <c r="AE13" s="14"/>
    </row>
    <row r="14" ht="48.95" customHeight="1" spans="1:31">
      <c r="A14" s="11"/>
      <c r="B14" s="16" t="s">
        <v>195</v>
      </c>
      <c r="C14" s="14"/>
      <c r="D14" s="14"/>
      <c r="E14" s="14"/>
      <c r="F14" s="14">
        <f t="shared" si="0"/>
        <v>0</v>
      </c>
      <c r="G14" s="14"/>
      <c r="I14" s="11"/>
      <c r="J14" s="16" t="s">
        <v>195</v>
      </c>
      <c r="K14" s="14"/>
      <c r="L14" s="14"/>
      <c r="M14" s="14"/>
      <c r="N14" s="14">
        <f t="shared" si="1"/>
        <v>0</v>
      </c>
      <c r="O14" s="14"/>
      <c r="Q14" s="11"/>
      <c r="R14" s="16" t="s">
        <v>195</v>
      </c>
      <c r="S14" s="14"/>
      <c r="T14" s="14"/>
      <c r="U14" s="14"/>
      <c r="V14" s="14">
        <f t="shared" si="2"/>
        <v>0</v>
      </c>
      <c r="W14" s="14"/>
      <c r="Y14" s="11"/>
      <c r="Z14" s="16" t="s">
        <v>195</v>
      </c>
      <c r="AA14" s="14"/>
      <c r="AB14" s="14"/>
      <c r="AC14" s="14"/>
      <c r="AD14" s="14">
        <f t="shared" si="3"/>
        <v>0</v>
      </c>
      <c r="AE14" s="14"/>
    </row>
    <row r="15" ht="48.95" customHeight="1" spans="1:31">
      <c r="A15" s="11"/>
      <c r="B15" s="15" t="s">
        <v>189</v>
      </c>
      <c r="C15" s="14" t="s">
        <v>51</v>
      </c>
      <c r="D15" s="14">
        <f>(0.543+0.156+0.686+1.112+1.133*2+0.296*3)*3+3.98*3+(1.55+1.7+1.055)*3</f>
        <v>41.808</v>
      </c>
      <c r="E15" s="14">
        <v>3.06</v>
      </c>
      <c r="F15" s="14">
        <f t="shared" si="0"/>
        <v>127.93248</v>
      </c>
      <c r="G15" s="14"/>
      <c r="I15" s="11"/>
      <c r="J15" s="15" t="s">
        <v>189</v>
      </c>
      <c r="K15" s="14" t="s">
        <v>51</v>
      </c>
      <c r="L15" s="14">
        <f>(0.543+0.156+0.686+1.112+1.133*2+0.296*3)*3+3.98*3+(1.55+1.7+1.055)*3</f>
        <v>41.808</v>
      </c>
      <c r="M15" s="14">
        <v>3.06</v>
      </c>
      <c r="N15" s="14">
        <f t="shared" si="1"/>
        <v>127.93248</v>
      </c>
      <c r="O15" s="14"/>
      <c r="Q15" s="11"/>
      <c r="R15" s="15" t="s">
        <v>189</v>
      </c>
      <c r="S15" s="14" t="s">
        <v>51</v>
      </c>
      <c r="T15" s="14">
        <f>(0.543+0.156+0.686+1.112+1.133*2+0.296*3)*3+3.98*3+(1.55+1.7+1.055)*3</f>
        <v>41.808</v>
      </c>
      <c r="U15" s="14">
        <v>3.06</v>
      </c>
      <c r="V15" s="14">
        <f t="shared" si="2"/>
        <v>127.93248</v>
      </c>
      <c r="W15" s="14"/>
      <c r="Y15" s="11"/>
      <c r="Z15" s="15" t="s">
        <v>189</v>
      </c>
      <c r="AA15" s="14" t="s">
        <v>51</v>
      </c>
      <c r="AB15" s="14">
        <f>(0.543+0.156+0.686+1.112+1.133*2+0.296*3)*3+3.98*3+(1.55+1.7+1.055)*3</f>
        <v>41.808</v>
      </c>
      <c r="AC15" s="14">
        <v>3.06</v>
      </c>
      <c r="AD15" s="14">
        <f t="shared" si="3"/>
        <v>127.93248</v>
      </c>
      <c r="AE15" s="14"/>
    </row>
    <row r="16" ht="48.95" customHeight="1" spans="1:31">
      <c r="A16" s="11"/>
      <c r="B16" s="12" t="s">
        <v>196</v>
      </c>
      <c r="C16" s="13" t="s">
        <v>186</v>
      </c>
      <c r="D16" s="14">
        <f>5*3</f>
        <v>15</v>
      </c>
      <c r="E16" s="14"/>
      <c r="F16" s="14">
        <f t="shared" si="0"/>
        <v>0</v>
      </c>
      <c r="G16" s="14"/>
      <c r="I16" s="11"/>
      <c r="J16" s="12" t="s">
        <v>196</v>
      </c>
      <c r="K16" s="13" t="s">
        <v>186</v>
      </c>
      <c r="L16" s="14">
        <f>5*3</f>
        <v>15</v>
      </c>
      <c r="M16" s="14"/>
      <c r="N16" s="14">
        <f t="shared" si="1"/>
        <v>0</v>
      </c>
      <c r="O16" s="14"/>
      <c r="Q16" s="11"/>
      <c r="R16" s="12" t="s">
        <v>196</v>
      </c>
      <c r="S16" s="13" t="s">
        <v>186</v>
      </c>
      <c r="T16" s="14">
        <f>5*3</f>
        <v>15</v>
      </c>
      <c r="U16" s="14"/>
      <c r="V16" s="14">
        <f t="shared" si="2"/>
        <v>0</v>
      </c>
      <c r="W16" s="14"/>
      <c r="Y16" s="11"/>
      <c r="Z16" s="12" t="s">
        <v>196</v>
      </c>
      <c r="AA16" s="13" t="s">
        <v>186</v>
      </c>
      <c r="AB16" s="14">
        <f>5*3</f>
        <v>15</v>
      </c>
      <c r="AC16" s="14"/>
      <c r="AD16" s="14">
        <f t="shared" si="3"/>
        <v>0</v>
      </c>
      <c r="AE16" s="14"/>
    </row>
    <row r="17" ht="48.95" customHeight="1" spans="1:31">
      <c r="A17" s="11"/>
      <c r="B17" s="17" t="s">
        <v>197</v>
      </c>
      <c r="C17" s="14"/>
      <c r="D17" s="14"/>
      <c r="E17" s="14"/>
      <c r="F17" s="14">
        <f t="shared" si="0"/>
        <v>0</v>
      </c>
      <c r="G17" s="14"/>
      <c r="I17" s="11"/>
      <c r="J17" s="17"/>
      <c r="K17" s="14"/>
      <c r="L17" s="14"/>
      <c r="M17" s="14"/>
      <c r="N17" s="14"/>
      <c r="O17" s="14"/>
      <c r="Q17" s="11"/>
      <c r="R17" s="17"/>
      <c r="S17" s="14"/>
      <c r="T17" s="14"/>
      <c r="U17" s="14"/>
      <c r="V17" s="14"/>
      <c r="W17" s="14"/>
      <c r="Y17" s="11"/>
      <c r="Z17" s="17"/>
      <c r="AA17" s="14"/>
      <c r="AB17" s="14"/>
      <c r="AC17" s="14"/>
      <c r="AD17" s="14"/>
      <c r="AE17" s="14"/>
    </row>
    <row r="18" ht="48.95" customHeight="1" spans="1:31">
      <c r="A18" s="11">
        <v>1</v>
      </c>
      <c r="B18" s="12" t="s">
        <v>198</v>
      </c>
      <c r="C18" s="14" t="s">
        <v>51</v>
      </c>
      <c r="D18" s="14">
        <f>2.55*4*2</f>
        <v>20.4</v>
      </c>
      <c r="E18" s="14">
        <v>10.21</v>
      </c>
      <c r="F18" s="14">
        <f t="shared" si="0"/>
        <v>208.284</v>
      </c>
      <c r="G18" s="14"/>
      <c r="I18" s="11"/>
      <c r="J18" s="12"/>
      <c r="K18" s="14"/>
      <c r="L18" s="14"/>
      <c r="M18" s="14"/>
      <c r="N18" s="14"/>
      <c r="O18" s="14"/>
      <c r="Q18" s="11"/>
      <c r="R18" s="12"/>
      <c r="S18" s="14"/>
      <c r="T18" s="14"/>
      <c r="U18" s="14"/>
      <c r="V18" s="14"/>
      <c r="W18" s="14"/>
      <c r="Y18" s="11"/>
      <c r="Z18" s="12"/>
      <c r="AA18" s="14"/>
      <c r="AB18" s="14"/>
      <c r="AC18" s="14"/>
      <c r="AD18" s="14"/>
      <c r="AE18" s="14"/>
    </row>
    <row r="19" ht="48.95" customHeight="1" spans="1:31">
      <c r="A19" s="11">
        <v>2</v>
      </c>
      <c r="B19" s="12" t="s">
        <v>199</v>
      </c>
      <c r="C19" s="14"/>
      <c r="D19" s="14">
        <f>3.568*3*2+2.55*4+0.17*6*4</f>
        <v>35.688</v>
      </c>
      <c r="E19" s="14">
        <v>3.06</v>
      </c>
      <c r="F19" s="14">
        <f t="shared" si="0"/>
        <v>109.20528</v>
      </c>
      <c r="G19" s="14"/>
      <c r="I19" s="11"/>
      <c r="J19" s="12"/>
      <c r="K19" s="14"/>
      <c r="L19" s="14"/>
      <c r="M19" s="14"/>
      <c r="N19" s="14"/>
      <c r="O19" s="14"/>
      <c r="Q19" s="11"/>
      <c r="R19" s="12"/>
      <c r="S19" s="14"/>
      <c r="T19" s="14"/>
      <c r="U19" s="14"/>
      <c r="V19" s="14"/>
      <c r="W19" s="14"/>
      <c r="Y19" s="11"/>
      <c r="Z19" s="12"/>
      <c r="AA19" s="14"/>
      <c r="AB19" s="14"/>
      <c r="AC19" s="14"/>
      <c r="AD19" s="14"/>
      <c r="AE19" s="14"/>
    </row>
    <row r="20" ht="93" customHeight="1" spans="1:31">
      <c r="A20" s="11">
        <v>3</v>
      </c>
      <c r="B20" s="12" t="s">
        <v>200</v>
      </c>
      <c r="C20" s="13" t="s">
        <v>186</v>
      </c>
      <c r="D20" s="14">
        <f>4*2+2</f>
        <v>10</v>
      </c>
      <c r="E20" s="14"/>
      <c r="F20" s="14">
        <f t="shared" si="0"/>
        <v>0</v>
      </c>
      <c r="G20" s="14"/>
      <c r="I20" s="11"/>
      <c r="J20" s="12"/>
      <c r="K20" s="13"/>
      <c r="L20" s="14"/>
      <c r="M20" s="14"/>
      <c r="N20" s="14"/>
      <c r="O20" s="14"/>
      <c r="Q20" s="11"/>
      <c r="R20" s="12"/>
      <c r="S20" s="13"/>
      <c r="T20" s="14"/>
      <c r="U20" s="14"/>
      <c r="V20" s="14"/>
      <c r="W20" s="14"/>
      <c r="Y20" s="11"/>
      <c r="Z20" s="12"/>
      <c r="AA20" s="13"/>
      <c r="AB20" s="14"/>
      <c r="AC20" s="14"/>
      <c r="AD20" s="14"/>
      <c r="AE20" s="14"/>
    </row>
    <row r="21" ht="44.1" customHeight="1" spans="1:31">
      <c r="A21" s="11"/>
      <c r="B21" s="15" t="s">
        <v>201</v>
      </c>
      <c r="C21" s="14" t="s">
        <v>51</v>
      </c>
      <c r="D21" s="14">
        <f>(23.77-6)*2</f>
        <v>35.54</v>
      </c>
      <c r="E21" s="14">
        <v>0.89</v>
      </c>
      <c r="F21" s="14">
        <f t="shared" si="0"/>
        <v>31.6306</v>
      </c>
      <c r="G21" s="14"/>
      <c r="I21" s="11"/>
      <c r="J21" s="15"/>
      <c r="K21" s="14"/>
      <c r="L21" s="14"/>
      <c r="M21" s="14"/>
      <c r="N21" s="14"/>
      <c r="O21" s="14"/>
      <c r="Q21" s="11"/>
      <c r="R21" s="15"/>
      <c r="S21" s="14"/>
      <c r="T21" s="14"/>
      <c r="U21" s="14"/>
      <c r="V21" s="14"/>
      <c r="W21" s="14"/>
      <c r="Y21" s="11"/>
      <c r="Z21" s="15"/>
      <c r="AA21" s="14"/>
      <c r="AB21" s="14"/>
      <c r="AC21" s="14"/>
      <c r="AD21" s="14"/>
      <c r="AE21" s="14"/>
    </row>
    <row r="22" ht="26.1" customHeight="1" spans="1:31">
      <c r="A22" s="11"/>
      <c r="B22" s="17" t="s">
        <v>99</v>
      </c>
      <c r="C22" s="14" t="s">
        <v>202</v>
      </c>
      <c r="D22" s="14"/>
      <c r="E22" s="14"/>
      <c r="F22" s="14">
        <f>SUM(F3:F21)</f>
        <v>1343.13132</v>
      </c>
      <c r="G22" s="14"/>
      <c r="I22" s="11"/>
      <c r="J22" s="17" t="s">
        <v>99</v>
      </c>
      <c r="K22" s="14" t="s">
        <v>202</v>
      </c>
      <c r="L22" s="14"/>
      <c r="M22" s="14"/>
      <c r="N22" s="14">
        <f>SUM(N3:N21)</f>
        <v>1095.12914</v>
      </c>
      <c r="O22" s="14"/>
      <c r="Q22" s="11"/>
      <c r="R22" s="17" t="s">
        <v>99</v>
      </c>
      <c r="S22" s="14" t="s">
        <v>202</v>
      </c>
      <c r="T22" s="14"/>
      <c r="U22" s="14"/>
      <c r="V22" s="14">
        <f>SUM(V3:V21)</f>
        <v>1095.12914</v>
      </c>
      <c r="W22" s="14"/>
      <c r="Y22" s="11"/>
      <c r="Z22" s="17" t="s">
        <v>99</v>
      </c>
      <c r="AA22" s="14" t="s">
        <v>202</v>
      </c>
      <c r="AB22" s="14"/>
      <c r="AC22" s="14"/>
      <c r="AD22" s="14">
        <f>SUM(AD3:AD21)</f>
        <v>1058.7335</v>
      </c>
      <c r="AE22" s="14"/>
    </row>
    <row r="26" ht="11.1" customHeight="1"/>
    <row r="27" hidden="1"/>
  </sheetData>
  <autoFilter xmlns:etc="http://www.wps.cn/officeDocument/2017/etCustomData" ref="A2:G22" etc:filterBottomFollowUsedRange="0">
    <extLst/>
  </autoFilter>
  <mergeCells count="4">
    <mergeCell ref="A1:G1"/>
    <mergeCell ref="I1:O1"/>
    <mergeCell ref="Q1:W1"/>
    <mergeCell ref="Y1:AE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7</vt:i4>
      </vt:variant>
    </vt:vector>
  </HeadingPairs>
  <TitlesOfParts>
    <vt:vector size="7" baseType="lpstr">
      <vt:lpstr>Sheet2</vt:lpstr>
      <vt:lpstr>01汇总表</vt:lpstr>
      <vt:lpstr>Sheet1</vt:lpstr>
      <vt:lpstr>02公区精装土建工程清单</vt:lpstr>
      <vt:lpstr>03天逸项目配套用房精装土建工程清单</vt:lpstr>
      <vt:lpstr>04公区及配套用房精装安装工程清单</vt:lpstr>
      <vt:lpstr>门头钢结构工程量计算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喵...</cp:lastModifiedBy>
  <dcterms:created xsi:type="dcterms:W3CDTF">2020-11-19T09:45:00Z</dcterms:created>
  <dcterms:modified xsi:type="dcterms:W3CDTF">2025-08-07T00:43:43Z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6D527FC5E6144FD193E78C6669736DD6_13</vt:lpwstr>
  </property>
</Properties>
</file>