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date1904="1" codeName="ThisWorkbook"/>
  <bookViews>
    <workbookView windowWidth="27945" windowHeight="12375"/>
  </bookViews>
  <sheets>
    <sheet name="2资料存档目录" sheetId="1" r:id="rId1"/>
    <sheet name="3、结算汇总表" sheetId="3" r:id="rId2"/>
    <sheet name="4、各月结算汇总" sheetId="10" r:id="rId3"/>
    <sheet name="5 、2024年10月结算明细表" sheetId="5" r:id="rId4"/>
    <sheet name="6、2024年11月结算明细表" sheetId="11" r:id="rId5"/>
    <sheet name="2024年12月" sheetId="12" r:id="rId6"/>
    <sheet name="2025年2月" sheetId="13" r:id="rId7"/>
    <sheet name="2025年3月" sheetId="14" r:id="rId8"/>
    <sheet name="2025年4月" sheetId="15" r:id="rId9"/>
    <sheet name="2025年6月" sheetId="16" r:id="rId10"/>
    <sheet name="07单子计算明细" sheetId="7" state="hidden" r:id="rId11"/>
    <sheet name="09单子明细" sheetId="8" state="hidden" r:id="rId12"/>
    <sheet name="计算明细" sheetId="6" state="hidden" r:id="rId13"/>
    <sheet name="Sheet1" sheetId="9" state="hidden" r:id="rId14"/>
  </sheets>
  <definedNames>
    <definedName name="_xlnm.Print_Area" localSheetId="0">'2资料存档目录'!$A$1:$F$25</definedName>
    <definedName name="_xlnm.Print_Area" localSheetId="1">'3、结算汇总表'!$A$1:$H$34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<sst xmlns="http://schemas.openxmlformats.org/spreadsheetml/2006/main" count="912" uniqueCount="472">
  <si>
    <t>栾川山水文苑2024-2025年度零星工程合同
结算资料存档目录</t>
  </si>
  <si>
    <t>序号</t>
  </si>
  <si>
    <t>名称</t>
  </si>
  <si>
    <t>份/页</t>
  </si>
  <si>
    <t>页码</t>
  </si>
  <si>
    <t>原件/复印件</t>
  </si>
  <si>
    <t>备注</t>
  </si>
  <si>
    <t>栾川山水文苑2024-2025年度零星工程合同结算审批表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</si>
  <si>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</si>
  <si>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</si>
  <si>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</si>
  <si>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</si>
  <si>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</si>
  <si>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</si>
  <si>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</si>
  <si>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</si>
  <si>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</si>
  <si>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</si>
  <si>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1份3页</t>
  </si>
  <si>
    <t>第5页</t>
  </si>
  <si>
    <t>结算申请单</t>
  </si>
  <si>
    <t>第6页</t>
  </si>
  <si>
    <t>结算通知书</t>
  </si>
  <si>
    <t>第7页</t>
  </si>
  <si>
    <t>授权委托书</t>
  </si>
  <si>
    <t>第8页</t>
  </si>
  <si>
    <t>派发单043-049</t>
  </si>
  <si>
    <t>1份48页</t>
  </si>
  <si>
    <t>第9-56页</t>
  </si>
  <si>
    <t>结算资料核对确认单</t>
  </si>
  <si>
    <t>第57页</t>
  </si>
  <si>
    <t>工程账目往里明细</t>
  </si>
  <si>
    <t>第58页</t>
  </si>
  <si>
    <t>结算工作交接单</t>
  </si>
  <si>
    <t>第59页</t>
  </si>
  <si>
    <t>2024年10月结算审批资料</t>
  </si>
  <si>
    <t>本</t>
  </si>
  <si>
    <t>2024年11月结算审批资料</t>
  </si>
  <si>
    <t>2024年12月结算审批资料</t>
  </si>
  <si>
    <t>2025年2月结算审批资料</t>
  </si>
  <si>
    <t>2025年3月结算审批资料</t>
  </si>
  <si>
    <t>2025年4月结算审批资料</t>
  </si>
  <si>
    <t>2025年6月结算审批资料</t>
  </si>
  <si>
    <t>2025年7月结算审批资料</t>
  </si>
  <si>
    <t>合同复印件</t>
  </si>
  <si>
    <t>造价师：</t>
  </si>
  <si>
    <t>日期：</t>
  </si>
  <si>
    <t>栾川山水文苑2024-2025年度零星工程合同结算汇总表</t>
  </si>
  <si>
    <t xml:space="preserve">合同编号：LCS1-JA-103                           合同金额：731033.98 元 </t>
  </si>
  <si>
    <t>合同名称：栾川山水文苑2024-2025年度零星工程合同</t>
  </si>
  <si>
    <t>甲    方：栾川县浩德颐康文旅有限公司</t>
  </si>
  <si>
    <t>乙    方：河南玺尊建设有限公司栾川合峪分公司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</si>
  <si>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</si>
  <si>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</si>
  <si>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</si>
  <si>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</si>
  <si>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</si>
  <si>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</si>
  <si>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</si>
  <si>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</si>
  <si>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</si>
  <si>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</si>
  <si>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</si>
  <si>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</si>
  <si>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</si>
  <si>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</si>
  <si>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</si>
  <si>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</si>
  <si>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</si>
  <si>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</si>
  <si>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</si>
  <si>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</si>
  <si>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</si>
  <si>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</si>
  <si>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</si>
  <si>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</si>
  <si>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</si>
  <si>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</si>
  <si>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</si>
  <si>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</si>
  <si>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</si>
  <si>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</si>
  <si>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</si>
  <si>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</si>
  <si>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</si>
  <si>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</si>
  <si>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栾川山水文苑2024-2025年度零星工程合同结算明细表</t>
  </si>
  <si>
    <t>主要内容</t>
  </si>
  <si>
    <t>单位</t>
  </si>
  <si>
    <t>工程量</t>
  </si>
  <si>
    <t>单价</t>
  </si>
  <si>
    <t>合同总价</t>
  </si>
  <si>
    <t>2024年10月结算</t>
  </si>
  <si>
    <t>项</t>
  </si>
  <si>
    <t>2024年11月结算</t>
  </si>
  <si>
    <t>2024年12月结算</t>
  </si>
  <si>
    <t>2025年2月结算</t>
  </si>
  <si>
    <t>2025年3月结算</t>
  </si>
  <si>
    <t>2025年4月结算</t>
  </si>
  <si>
    <t>2025年6月结算</t>
  </si>
  <si>
    <t>八</t>
  </si>
  <si>
    <t>2025年7月结算</t>
  </si>
  <si>
    <t>派发单及确认单043</t>
  </si>
  <si>
    <t>协调卫生移动树木</t>
  </si>
  <si>
    <t>养护费</t>
  </si>
  <si>
    <t>售楼部东露台花箱采购</t>
  </si>
  <si>
    <t>营养土够买</t>
  </si>
  <si>
    <t>人工</t>
  </si>
  <si>
    <t>工</t>
  </si>
  <si>
    <t>塑木地板修补材料费</t>
  </si>
  <si>
    <t>技工</t>
  </si>
  <si>
    <t>派发单及确认单044</t>
  </si>
  <si>
    <t>201样板间维修</t>
  </si>
  <si>
    <t>详见约谈记录及维修统计表，费用从河南专晶建筑工程有限公司扣除</t>
  </si>
  <si>
    <t>个</t>
  </si>
  <si>
    <t>跟换龙头</t>
  </si>
  <si>
    <t>沙发脚垫</t>
  </si>
  <si>
    <t>派发单及确认单045</t>
  </si>
  <si>
    <t>1.05*1.08隐形井盖</t>
  </si>
  <si>
    <t>派发单及确认单046</t>
  </si>
  <si>
    <t>16#楼-2-101/302/305/405/504/505维修</t>
  </si>
  <si>
    <t>详见约谈记录，费用从河南首创建设集团有限公司扣除</t>
  </si>
  <si>
    <t>派发单及确认单047</t>
  </si>
  <si>
    <t>16#楼维修</t>
  </si>
  <si>
    <t>派发单及确认单048</t>
  </si>
  <si>
    <t>16#-2-302</t>
  </si>
  <si>
    <t>派发单及确认单049</t>
  </si>
  <si>
    <t>开道工</t>
  </si>
  <si>
    <t>安全帽</t>
  </si>
  <si>
    <t>图纸</t>
  </si>
  <si>
    <t>元</t>
  </si>
  <si>
    <t>安装远溯景观建设有限公司公司</t>
  </si>
  <si>
    <t>小计</t>
  </si>
  <si>
    <t>除税价</t>
  </si>
  <si>
    <t>含税价</t>
  </si>
  <si>
    <t>最终结算价格</t>
  </si>
  <si>
    <t>甲方</t>
  </si>
  <si>
    <t>乙方</t>
  </si>
  <si>
    <t>栾川山水文苑2024年-2025年度零星工程合同10月结算明细表</t>
  </si>
  <si>
    <t>派发单及确认单001</t>
  </si>
  <si>
    <t>电井内公共桥架与插接母线预留更换位置安装</t>
  </si>
  <si>
    <t>m</t>
  </si>
  <si>
    <t>详见约谈记录</t>
  </si>
  <si>
    <t>派发单及确认单002</t>
  </si>
  <si>
    <t>s1地块交付采购电缆及配件</t>
  </si>
  <si>
    <t>三相100A电表</t>
  </si>
  <si>
    <t>块</t>
  </si>
  <si>
    <t>协商价</t>
  </si>
  <si>
    <t>派发单及确认单003</t>
  </si>
  <si>
    <t>s1地块热力基础  碎石垫层</t>
  </si>
  <si>
    <t>m3</t>
  </si>
  <si>
    <t>s2地块热力基础  120mmc30混凝土垫层</t>
  </si>
  <si>
    <t>南商业接</t>
  </si>
  <si>
    <t>c30混凝土条形梁</t>
  </si>
  <si>
    <t>模板</t>
  </si>
  <si>
    <t>m2</t>
  </si>
  <si>
    <t>铸铁井盖 700</t>
  </si>
  <si>
    <t>派发单及确认单004</t>
  </si>
  <si>
    <t>补种黄杨篱</t>
  </si>
  <si>
    <t>参照商业街</t>
  </si>
  <si>
    <t>分摊系数</t>
  </si>
  <si>
    <t>河南诚鹏建设工程有限公司</t>
  </si>
  <si>
    <t>安徽远溯景观建设工程有限公司</t>
  </si>
  <si>
    <t>郑州宜信装饰工程有限公司</t>
  </si>
  <si>
    <t>山东奇威特太阳能销售股份有限公司</t>
  </si>
  <si>
    <t>淄博消防安全工程公司</t>
  </si>
  <si>
    <t>河南省埃思特建设工程有限公司</t>
  </si>
  <si>
    <t>河南邦丰装饰工程有限公司</t>
  </si>
  <si>
    <t>郑州七彩装饰工程有限公司</t>
  </si>
  <si>
    <t>洛阳阳光铝业有限公司</t>
  </si>
  <si>
    <t>河南首创建设集团有限公司</t>
  </si>
  <si>
    <t>西继迅达电梯有限公司</t>
  </si>
  <si>
    <t>广州宝露智能科技有限公司</t>
  </si>
  <si>
    <t>步阳集团有限公司</t>
  </si>
  <si>
    <t>洛阳兴民门业有限公司嵩县分公司</t>
  </si>
  <si>
    <t>派发单及确认单005</t>
  </si>
  <si>
    <t>垃圾清理</t>
  </si>
  <si>
    <t>普</t>
  </si>
  <si>
    <t>垃圾出车</t>
  </si>
  <si>
    <t>车</t>
  </si>
  <si>
    <t>派发单及确认单006</t>
  </si>
  <si>
    <t>假花采购及安装</t>
  </si>
  <si>
    <t>套</t>
  </si>
  <si>
    <t>派发单及确认单007</t>
  </si>
  <si>
    <t>支护单位拆除电缆时破坏东大门苗木及雾森系统</t>
  </si>
  <si>
    <t>扣款单位:河南畅祥路桥工程有限公司
合同编号lcs1-JA-097</t>
  </si>
  <si>
    <t>派发单及确认单008</t>
  </si>
  <si>
    <t>黄杨球（1.5冠）</t>
  </si>
  <si>
    <t>棵</t>
  </si>
  <si>
    <t>协商仅计算苗子到场价</t>
  </si>
  <si>
    <t>派发单及确认单009</t>
  </si>
  <si>
    <t>垃圾处置费</t>
  </si>
  <si>
    <t>管理费税金等8%</t>
  </si>
  <si>
    <t>合计</t>
  </si>
  <si>
    <t>本月结算金额</t>
  </si>
  <si>
    <t>日期</t>
  </si>
  <si>
    <t>栾川山水文苑2024年-2025年度零星工程合同11月结算明细表</t>
  </si>
  <si>
    <t>派发单及确认单010</t>
  </si>
  <si>
    <t>管道保温</t>
  </si>
  <si>
    <t>合同价上18元/吗，厚度由原来2cm调整为3cm</t>
  </si>
  <si>
    <t>16#楼东单元户门橱柜增加透气孔，每户个</t>
  </si>
  <si>
    <t>人防区域封堵板移到到非车位地方</t>
  </si>
  <si>
    <t>派发单及确认单011</t>
  </si>
  <si>
    <t>5#东侧配电箱基础拆除 24墙</t>
  </si>
  <si>
    <t>c25混凝土垫层</t>
  </si>
  <si>
    <t>1.8cmpc砖铺贴</t>
  </si>
  <si>
    <t>参照商业街价格</t>
  </si>
  <si>
    <t>派发单及确认单012</t>
  </si>
  <si>
    <t>s1地块北侧围挡拆除后运至s7地块制定位置</t>
  </si>
  <si>
    <t>派发单及确认单013</t>
  </si>
  <si>
    <t>202改造工程</t>
  </si>
  <si>
    <t>派发单及确认单014</t>
  </si>
  <si>
    <t>西大门北侧地形整理、围挡拆除，垃圾清理、 
通道处墙面污染清理</t>
  </si>
  <si>
    <t>派发单及确认单015</t>
  </si>
  <si>
    <t>增加取水点、20#东单元北污水管改造</t>
  </si>
  <si>
    <t>5#东箱变吊装</t>
  </si>
  <si>
    <t>6#7#临时电缆拆除运至指定位置</t>
  </si>
  <si>
    <t>派发单及确认单016</t>
  </si>
  <si>
    <t>交房加急铺地砖（材料为宜信）</t>
  </si>
  <si>
    <t>楼梯踏步（材料为宜信）</t>
  </si>
  <si>
    <t>栾川山水文苑2024年-2025年度零星工程合同12月结算明细表</t>
  </si>
  <si>
    <t>派发单及确认单017</t>
  </si>
  <si>
    <t>水洗泵更换</t>
  </si>
  <si>
    <t>售楼部洗菜池上下水更换、阀门及热水器浮球阀等更换</t>
  </si>
  <si>
    <t>开洞</t>
  </si>
  <si>
    <t>派发单及确认单018 （具体价格详见约谈记录）</t>
  </si>
  <si>
    <t>轻微缺陷  无法具体剂量项目</t>
  </si>
  <si>
    <t>河南梦之居建设实业发展有限公司</t>
  </si>
  <si>
    <t>洛阳察尔思家居有限公司</t>
  </si>
  <si>
    <t>河南专晶建筑工程有限公司</t>
  </si>
  <si>
    <t>河南买家乐建材有限公司</t>
  </si>
  <si>
    <t>河南九至荣商贸有限公司</t>
  </si>
  <si>
    <t>洛阳钧澄商贸有限公司</t>
  </si>
  <si>
    <t>宜信装饰</t>
  </si>
  <si>
    <t>木地板饰面 修复</t>
  </si>
  <si>
    <t>户内门饰面 修复</t>
  </si>
  <si>
    <t>墙砖、岩板 修复</t>
  </si>
  <si>
    <t>橱柜、厨柜台面 修复</t>
  </si>
  <si>
    <t>更换加大装饰盖 预埋水管出墙长</t>
  </si>
  <si>
    <t>增加厨柜前不锈钢边条 厨柜、厨卫间门顶</t>
  </si>
  <si>
    <t>地漏维修 阳台、卫生间
地漏预埋管短、少网片</t>
  </si>
  <si>
    <t>马桶移位（501） 水箱距离墙≥200mm</t>
  </si>
  <si>
    <t>地砖更换1片（706）维修地砖色差大</t>
  </si>
  <si>
    <t>派发单及确认单019</t>
  </si>
  <si>
    <t>16#-1-11层公区前地砖修瓷</t>
  </si>
  <si>
    <t>处</t>
  </si>
  <si>
    <t>派发单及确认单020</t>
  </si>
  <si>
    <t>16-2、12-1单元门维修</t>
  </si>
  <si>
    <t>22#楼公区来及处理</t>
  </si>
  <si>
    <t>栾川山水文苑2024年-2025年度零星工程合同2025年2月结算明细表</t>
  </si>
  <si>
    <t>派发单及确认单021</t>
  </si>
  <si>
    <t>土方开挖外运</t>
  </si>
  <si>
    <t>碎石垫层</t>
  </si>
  <si>
    <t>参照s7大门口价格</t>
  </si>
  <si>
    <t>派发单及确认单022</t>
  </si>
  <si>
    <t>样板间室内给排水、电器改造</t>
  </si>
  <si>
    <t>户内门+洁具+热水器+捂脸拆除+基层修补+垃圾外运</t>
  </si>
  <si>
    <t>防腐木整体喷亲</t>
  </si>
  <si>
    <t>室外定制花箱+外墙水泥板维修</t>
  </si>
  <si>
    <t>样板间屋面方式sbs</t>
  </si>
  <si>
    <t>派发单及确认单023</t>
  </si>
  <si>
    <t>售楼部景观排水管网堵塞  
重新敷设pe300双壁波纹管</t>
  </si>
  <si>
    <t>派发单及确认单024</t>
  </si>
  <si>
    <t xml:space="preserve"> 增加DN100暗杆闸阀2个
pe法兰2个
de32、de25ppr阀门各1个</t>
  </si>
  <si>
    <t>原法兰更换</t>
  </si>
  <si>
    <t>派发单及确认单025</t>
  </si>
  <si>
    <t>下沉庭院区域拆除工</t>
  </si>
  <si>
    <t>扣款单位：河南诚鹏建设工程有限公司
合同编号：LCS7-JA-013</t>
  </si>
  <si>
    <t>扳手 8把</t>
  </si>
  <si>
    <t xml:space="preserve"> 把</t>
  </si>
  <si>
    <t>锁具 2把</t>
  </si>
  <si>
    <t>把</t>
  </si>
  <si>
    <t>栾川山水文苑2024年-2025年度零星工程合同2025年3月结算明细表</t>
  </si>
  <si>
    <t>派发单及确认单026</t>
  </si>
  <si>
    <t>s7地块桑葚园补偿款</t>
  </si>
  <si>
    <t>详见情况明说</t>
  </si>
  <si>
    <t>派发单及确认单027</t>
  </si>
  <si>
    <t>开口协调及市政植物及路灯移载</t>
  </si>
  <si>
    <t>派发单及确认单028</t>
  </si>
  <si>
    <t>s7地块东南开口处垫层
c25混凝土10cm厚</t>
  </si>
  <si>
    <t>合同价按厚度调整</t>
  </si>
  <si>
    <t>派发单及确认单029</t>
  </si>
  <si>
    <t>售楼部景观示范区品质提升更换草皮</t>
  </si>
  <si>
    <t>详见以前约谈记录</t>
  </si>
  <si>
    <t>场地整理</t>
  </si>
  <si>
    <t>火焰南天竹</t>
  </si>
  <si>
    <t>大叶黄杨球 1.5m冠</t>
  </si>
  <si>
    <t>瓜子黄杨</t>
  </si>
  <si>
    <t>红枫 （直径5cm）</t>
  </si>
  <si>
    <t>八角金盘（提供苗子，不栽种不养护）</t>
  </si>
  <si>
    <t>派发单及确认单030</t>
  </si>
  <si>
    <t>给水管：1、PPR管，DN20（含保温）
含材料及安装人工，不含土方开挖、回填</t>
  </si>
  <si>
    <t>阀门：1、PPR管，DN20
含材料及安装人工</t>
  </si>
  <si>
    <t>排水管：1、PVC管，DN100
含材料及安装人工，不含土方开挖、回填</t>
  </si>
  <si>
    <t>排水管：1、PVC管，De50
含材料及安装人工，不含土方开挖、回填</t>
  </si>
  <si>
    <t>挖土方：1、名称:土方的开挖
2、未详尽处满足图纸设计、相关规范要求</t>
  </si>
  <si>
    <t>开洞：1、DN150
含材料、人工，施工到位</t>
  </si>
  <si>
    <t>堵洞：1、DN150
含材料、人工，施工到位</t>
  </si>
  <si>
    <t>回填土：1、名称:土方的回填
2、未详尽处满足图纸设计、相关规范要求
3、场外倒运、机械费用、回填夯实</t>
  </si>
  <si>
    <t>人工倒运，施工场地不方便，现场协商谈价</t>
  </si>
  <si>
    <t>栾川山水文苑2024年-2025年度零星工程合同2025年4月结算明细表</t>
  </si>
  <si>
    <t>派发单及确认单031</t>
  </si>
  <si>
    <t>博古架背墙、岩板饰面新增加木工板基层</t>
  </si>
  <si>
    <t>阳光房窗帘盒改为乳胶漆
阳光房与20#交界处防渗漏强化处理</t>
  </si>
  <si>
    <r>
      <rPr>
        <sz val="10"/>
        <color theme="1"/>
        <rFont val="宋体"/>
        <charset val="134"/>
      </rPr>
      <t>砌筑露台操作台 0.85*0.9*2.6m 、</t>
    </r>
    <r>
      <rPr>
        <sz val="10"/>
        <color rgb="FFFF0000"/>
        <rFont val="宋体"/>
        <charset val="134"/>
      </rPr>
      <t>石材、</t>
    </r>
    <r>
      <rPr>
        <sz val="10"/>
        <color theme="1"/>
        <rFont val="宋体"/>
        <charset val="134"/>
      </rPr>
      <t>细石混凝土回填  24.5</t>
    </r>
  </si>
  <si>
    <t>专晶承担2450元</t>
  </si>
  <si>
    <t>餐厅灯具及开关插座位置移动</t>
  </si>
  <si>
    <t>专晶</t>
  </si>
  <si>
    <t>卧室1窗口吊顶批白乳胶漆
壁纸基层31.78m2处理平整</t>
  </si>
  <si>
    <t>卧室2增改工程</t>
  </si>
  <si>
    <t>全屋顶面乳胶漆重新打磨处理
卫生间、洗衣房吊顶
回风口做成一体式</t>
  </si>
  <si>
    <t>洗衣房吊顶、灯具安装、下水安装等</t>
  </si>
  <si>
    <t>2层公区缺陷修复</t>
  </si>
  <si>
    <t>淄博消防承担1200元，
宜信承担1000元</t>
  </si>
  <si>
    <t>卧室2 窗外向铝板方向找坡</t>
  </si>
  <si>
    <t>阳光房北侧吊顶立面木基层拆除重新安装</t>
  </si>
  <si>
    <t>专晶承担1000元。</t>
  </si>
  <si>
    <t>厨房增加开通等</t>
  </si>
  <si>
    <t>卫生间窗户外批白 安灯 排气等</t>
  </si>
  <si>
    <t>洋房房预留电源等</t>
  </si>
  <si>
    <t>完工保洁</t>
  </si>
  <si>
    <t>空调室外机购买20000元、
空调管道改造 2000元</t>
  </si>
  <si>
    <t>专晶2357元。
6480内机安装费（代付）</t>
  </si>
  <si>
    <t>2025.2.27新增调整项目</t>
  </si>
  <si>
    <t>阳光房屋面增加不锈钢盖板、
增加排水管</t>
  </si>
  <si>
    <t>专晶承担</t>
  </si>
  <si>
    <t>一层司机房铝扣板</t>
  </si>
  <si>
    <t>pvc立管包管子</t>
  </si>
  <si>
    <t>司机房室内预留电线整改</t>
  </si>
  <si>
    <t>社区服务用房加固后批白、乳胶漆</t>
  </si>
  <si>
    <t>阳光房北外墙顶不锈钢封堵</t>
  </si>
  <si>
    <t>露台操作台人造石+洗手盆</t>
  </si>
  <si>
    <t>石材不计算</t>
  </si>
  <si>
    <t>阳光房岩板更换垃圾清理</t>
  </si>
  <si>
    <t>洗衣房地砖更换（专晶装饰未交底给水管线走向，排水立管开洞损坏）</t>
  </si>
  <si>
    <t>司机房瓷砖美缝</t>
  </si>
  <si>
    <t>玻璃板下增加铝板压顶</t>
  </si>
  <si>
    <t>2025.2.17日约谈价格</t>
  </si>
  <si>
    <t>杂项尾活</t>
  </si>
  <si>
    <t>部分重复，扣除1500元</t>
  </si>
  <si>
    <t>卧室木地板</t>
  </si>
  <si>
    <t>阳光房不锈钢</t>
  </si>
  <si>
    <t>阳光房打胶</t>
  </si>
  <si>
    <t>天沟安装</t>
  </si>
  <si>
    <t>水电改造</t>
  </si>
  <si>
    <t>灯具开关插座</t>
  </si>
  <si>
    <t>派发单及确认单032</t>
  </si>
  <si>
    <t>37#南侧排水管 DE100</t>
  </si>
  <si>
    <t>37#南侧排水管 DE50</t>
  </si>
  <si>
    <t>吊洞  150</t>
  </si>
  <si>
    <t xml:space="preserve">DE20自来水表 </t>
  </si>
  <si>
    <t>协商价格</t>
  </si>
  <si>
    <t>DE20截止阀</t>
  </si>
  <si>
    <t>PPR-DN20</t>
  </si>
  <si>
    <t>化粪池及下沉庭院给水</t>
  </si>
  <si>
    <t>派发单及确认单033</t>
  </si>
  <si>
    <t>202房间2025.4.16约谈</t>
  </si>
  <si>
    <t>品质提升</t>
  </si>
  <si>
    <t>购买瓷砖4块</t>
  </si>
  <si>
    <t>派发单及确认单034</t>
  </si>
  <si>
    <t>窗纱安装完成</t>
  </si>
  <si>
    <t>305卫生间门与面盆冲突</t>
  </si>
  <si>
    <t>首创承担</t>
  </si>
  <si>
    <t>1305增加改造下水</t>
  </si>
  <si>
    <t>派发单及确认单035</t>
  </si>
  <si>
    <t>物质购买</t>
  </si>
  <si>
    <t>市政苗木部分</t>
  </si>
  <si>
    <t>工人</t>
  </si>
  <si>
    <t>派发单及确认单036</t>
  </si>
  <si>
    <t>钢管桩</t>
  </si>
  <si>
    <t>幼儿园入口挖土方</t>
  </si>
  <si>
    <t>以往约谈价格</t>
  </si>
  <si>
    <t>c25混凝土</t>
  </si>
  <si>
    <t>派发单及确认单037</t>
  </si>
  <si>
    <t>4月30日下午大风 扶树、修灯</t>
  </si>
  <si>
    <t>远溯承担</t>
  </si>
  <si>
    <t>栾川山水文苑2024年-2025年度零星工程合同2025年6月结算明细表</t>
  </si>
  <si>
    <t>派发单及确认单038</t>
  </si>
  <si>
    <t>s7地块东半部分围墙栏杆安装</t>
  </si>
  <si>
    <t>派发单及确认单039</t>
  </si>
  <si>
    <t>大区、东大门雾森管道维修，主机维修、喷头、压力表更换</t>
  </si>
  <si>
    <t>安徽远溯扣款详见约谈记录</t>
  </si>
  <si>
    <t>西侧道路减速带更换及路面恢复</t>
  </si>
  <si>
    <t>17#18#枯死小苗清标外运及双播草籽</t>
  </si>
  <si>
    <t>安徽远溯扣款</t>
  </si>
  <si>
    <t>派发单及确认单040</t>
  </si>
  <si>
    <t>售楼部示范区雾森管道维修、配件更换</t>
  </si>
  <si>
    <t>东段步钉石雾森敷设安装调试</t>
  </si>
  <si>
    <t>技</t>
  </si>
  <si>
    <t>售楼部地下室泳池设备间集水坑降水（含管道拆除）</t>
  </si>
  <si>
    <t>售楼部东段水系dn100止回阀更换</t>
  </si>
  <si>
    <t>黑色砾石</t>
  </si>
  <si>
    <t>袋</t>
  </si>
  <si>
    <t>售楼部周边路沿石、pc砖修复</t>
  </si>
  <si>
    <t>售楼部跟换厨房灶具龙头1个、洗菜池龙头1个</t>
  </si>
  <si>
    <t>派发单及确认单41</t>
  </si>
  <si>
    <t>售楼部部东段水系外墙格栅拆除及及恢复</t>
  </si>
  <si>
    <t>瓷砖拆除</t>
  </si>
  <si>
    <t>瓷砖铺设</t>
  </si>
  <si>
    <t>石材拆除</t>
  </si>
  <si>
    <t>石材铺设</t>
  </si>
  <si>
    <t>sbs防水及细石砼保护层拆除</t>
  </si>
  <si>
    <t>两层拆除丙纶布</t>
  </si>
  <si>
    <t>不锈钢圆盘</t>
  </si>
  <si>
    <t>水钻开洞，查看下沉情况</t>
  </si>
  <si>
    <t>施工围挡搭设及拆除（3m高）</t>
  </si>
  <si>
    <t>施工围挡搭设及拆除（2m高）</t>
  </si>
  <si>
    <t>机械配合吊车 25t</t>
  </si>
  <si>
    <t>台班</t>
  </si>
  <si>
    <t>派发单及确认单042</t>
  </si>
  <si>
    <t>s1跑道喷绘含划线</t>
  </si>
  <si>
    <t>此单子从安徽远溯扣除</t>
  </si>
  <si>
    <t>透水混凝土重新施工</t>
  </si>
  <si>
    <t>参照景观价格</t>
  </si>
  <si>
    <t>局部切割清理透水混凝土</t>
  </si>
  <si>
    <t>派发单007-售楼部西侧化粪池及市政管网施工</t>
  </si>
  <si>
    <t>工程项目名称</t>
  </si>
  <si>
    <t>工程内容</t>
  </si>
  <si>
    <t>工程量
g</t>
  </si>
  <si>
    <t>其中：各子项构成（元）</t>
  </si>
  <si>
    <t>含税综合单价(元)
f=(a+b+c+d+e)</t>
  </si>
  <si>
    <t>合价(元)=g*f</t>
  </si>
  <si>
    <t>人工费
a</t>
  </si>
  <si>
    <t>主材费
b</t>
  </si>
  <si>
    <t>机械、辅材及其他c</t>
  </si>
  <si>
    <t>管理费及利润
d=(a+b+c)*费率</t>
  </si>
  <si>
    <t>税金
e=(a+b+c+d)*费率</t>
  </si>
  <si>
    <t>售楼部西侧化粪池及市政管网施工</t>
  </si>
  <si>
    <t>砼垫层（含管道包封）</t>
  </si>
  <si>
    <t>1.混凝土强度等级:100厚C15混凝土
2.混凝土拌合料要求：符合规范要求
3.模板安拆费用计入综合单价，支模方式综合考虑
4.其它说明：其它满足规范和设计图纸要求</t>
  </si>
  <si>
    <t>执行三方合同价</t>
  </si>
  <si>
    <t>直径500钢筋混凝土管</t>
  </si>
  <si>
    <t xml:space="preserve">1、安装部位:室外
2、介质:雨水
3、材质、规格：钢筋混凝土管 DN500
</t>
  </si>
  <si>
    <t>双方协商</t>
  </si>
  <si>
    <t>砖砌井</t>
  </si>
  <si>
    <t>1、井口内径φ700，井深3.2米，井下部直径1.4米，上部直径0.7米，内粉</t>
  </si>
  <si>
    <t>座</t>
  </si>
  <si>
    <t>铸铁井盖</t>
  </si>
  <si>
    <t>1、φ700，带框（800*800）</t>
  </si>
  <si>
    <t>玻璃钢化粪池</t>
  </si>
  <si>
    <t>1.名称:玻璃钢化粪池
2.型号、规格:HFRP(LWQ)-13(V=100m3)
3.详见图集12YS8，基础做法见图集14SS706第49页，含周边换填及土方</t>
  </si>
  <si>
    <t>拆除</t>
  </si>
  <si>
    <t xml:space="preserve">拆除20cm混凝土垫层
</t>
  </si>
  <si>
    <t>拆除5cm沥青，切缝15cm</t>
  </si>
  <si>
    <t>挖土方</t>
  </si>
  <si>
    <t>1、名称:土方的开挖
2、未详尽处满足图纸设计、相关规范要求</t>
  </si>
  <si>
    <t>参考南商业街补充协议，挖管沟价格</t>
  </si>
  <si>
    <t>土方回填</t>
  </si>
  <si>
    <t>因为交房，不惧回填条件，直接回填</t>
  </si>
  <si>
    <t>1、浇注砼路面</t>
  </si>
  <si>
    <t>C25砼路面厚250mm（商品混凝土价格）</t>
  </si>
  <si>
    <t>派发单009-售楼部北侧原临时管网更改接入正式管网</t>
  </si>
  <si>
    <t>排水管</t>
  </si>
  <si>
    <t>16、PVC管，DN100
含材料及安装人工，不含土方开挖、回填</t>
  </si>
  <si>
    <t>三方合同价</t>
  </si>
  <si>
    <t>17、PVC管，DN150
含材料及安装人工，不含土方开挖、回填</t>
  </si>
  <si>
    <t>1、PVC管，De50
含材料及安装人工，不含土方开挖、回填</t>
  </si>
  <si>
    <t>1、焊接钢管，DN80
含材料及安装人工，不含土方开挖、回填</t>
  </si>
  <si>
    <t>回填土</t>
  </si>
  <si>
    <t>1、名称:土方的回填
2、未详尽处满足图纸设计、相关规范要求</t>
  </si>
  <si>
    <t>派发单001草皮计算明细</t>
  </si>
  <si>
    <t>长</t>
  </si>
  <si>
    <t>宽</t>
  </si>
  <si>
    <t>3#楼前</t>
  </si>
  <si>
    <t>5#楼前</t>
  </si>
  <si>
    <t>5#楼前 边条</t>
  </si>
  <si>
    <t>变压器左侧</t>
  </si>
  <si>
    <t>梯形面积</t>
  </si>
  <si>
    <t>售楼部西侧草皮</t>
  </si>
  <si>
    <t>破坏面积</t>
  </si>
  <si>
    <t>三角</t>
  </si>
  <si>
    <t>梯形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</si>
</sst>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73"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.5"/>
      <color indexed="8"/>
      <name val="宋体"/>
      <charset val="134"/>
    </font>
    <font>
      <sz val="9"/>
      <name val="Arial"/>
      <charset val="134"/>
    </font>
    <font>
      <sz val="10"/>
      <name val="Arial"/>
      <charset val="1"/>
    </font>
    <font>
      <sz val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Arial"/>
      <charset val="1"/>
    </font>
    <font>
      <b/>
      <sz val="8"/>
      <name val="宋体"/>
      <charset val="134"/>
    </font>
    <font>
      <sz val="8"/>
      <name val="Arial"/>
      <charset val="134"/>
    </font>
    <font>
      <b/>
      <sz val="9"/>
      <name val="宋体"/>
      <charset val="134"/>
    </font>
    <font>
      <b/>
      <sz val="14"/>
      <color rgb="FF000000"/>
      <name val="微软雅黑"/>
      <charset val="134"/>
    </font>
    <font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color rgb="FF000000"/>
      <name val="微软雅黑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9" fillId="2" borderId="32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44" fillId="0" borderId="3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" borderId="35" applyNumberFormat="0" applyAlignment="0" applyProtection="0">
      <alignment vertical="center"/>
    </xf>
    <xf numFmtId="0" fontId="46" fillId="4" borderId="36" applyNumberFormat="0" applyAlignment="0" applyProtection="0">
      <alignment vertical="center"/>
    </xf>
    <xf numFmtId="0" fontId="47" fillId="4" borderId="35" applyNumberFormat="0" applyAlignment="0" applyProtection="0">
      <alignment vertical="center"/>
    </xf>
    <xf numFmtId="0" fontId="48" fillId="5" borderId="37" applyNumberFormat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50" fillId="0" borderId="39" applyNumberFormat="0" applyFill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40" applyNumberFormat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9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60" fillId="34" borderId="41" applyNumberFormat="0" applyAlignment="0" applyProtection="0">
      <alignment vertical="center"/>
    </xf>
    <xf numFmtId="0" fontId="0" fillId="0" borderId="0">
      <alignment vertical="center"/>
    </xf>
    <xf numFmtId="0" fontId="56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60" fillId="34" borderId="41" applyNumberFormat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41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57" fillId="34" borderId="40" applyNumberFormat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2" fillId="44" borderId="42" applyNumberFormat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3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63" fillId="0" borderId="43" applyNumberFormat="0" applyFill="0" applyAlignment="0" applyProtection="0">
      <alignment vertical="center"/>
    </xf>
    <xf numFmtId="0" fontId="63" fillId="0" borderId="43" applyNumberFormat="0" applyFill="0" applyAlignment="0" applyProtection="0">
      <alignment vertical="center"/>
    </xf>
    <xf numFmtId="0" fontId="64" fillId="0" borderId="44" applyNumberFormat="0" applyFill="0" applyAlignment="0" applyProtection="0">
      <alignment vertical="center"/>
    </xf>
    <xf numFmtId="0" fontId="64" fillId="0" borderId="44" applyNumberFormat="0" applyFill="0" applyAlignment="0" applyProtection="0">
      <alignment vertical="center"/>
    </xf>
    <xf numFmtId="0" fontId="65" fillId="0" borderId="45" applyNumberFormat="0" applyFill="0" applyAlignment="0" applyProtection="0">
      <alignment vertical="center"/>
    </xf>
    <xf numFmtId="0" fontId="65" fillId="0" borderId="45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9" fillId="0" borderId="46" applyNumberFormat="0" applyFill="0" applyAlignment="0" applyProtection="0">
      <alignment vertical="center"/>
    </xf>
    <xf numFmtId="0" fontId="69" fillId="0" borderId="46" applyNumberFormat="0" applyFill="0" applyAlignment="0" applyProtection="0">
      <alignment vertical="center"/>
    </xf>
    <xf numFmtId="0" fontId="62" fillId="44" borderId="42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47" applyNumberFormat="0" applyFill="0" applyAlignment="0" applyProtection="0">
      <alignment vertical="center"/>
    </xf>
    <xf numFmtId="0" fontId="71" fillId="0" borderId="47" applyNumberFormat="0" applyFill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72" fillId="42" borderId="40" applyNumberFormat="0" applyAlignment="0" applyProtection="0">
      <alignment vertical="center"/>
    </xf>
    <xf numFmtId="0" fontId="72" fillId="42" borderId="40" applyNumberFormat="0" applyAlignment="0" applyProtection="0">
      <alignment vertical="center"/>
    </xf>
    <xf numFmtId="0" fontId="0" fillId="54" borderId="48" applyNumberFormat="0" applyFont="0" applyAlignment="0" applyProtection="0">
      <alignment vertical="center"/>
    </xf>
    <xf numFmtId="0" fontId="0" fillId="54" borderId="48" applyNumberFormat="0" applyFont="0" applyAlignment="0" applyProtection="0">
      <alignment vertical="center"/>
    </xf>
  </cellStyleXfs>
  <cellXfs count="2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176" fontId="2" fillId="0" borderId="6" xfId="0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 applyProtection="1">
      <alignment horizontal="right" vertical="center" wrapText="1"/>
    </xf>
    <xf numFmtId="176" fontId="4" fillId="0" borderId="7" xfId="0" applyNumberFormat="1" applyFont="1" applyFill="1" applyBorder="1" applyAlignment="1" applyProtection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/>
      <protection locked="0"/>
    </xf>
    <xf numFmtId="176" fontId="6" fillId="0" borderId="7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/>
    <xf numFmtId="0" fontId="5" fillId="0" borderId="7" xfId="0" applyFont="1" applyFill="1" applyBorder="1" applyAlignment="1"/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176" fontId="8" fillId="0" borderId="7" xfId="0" applyNumberFormat="1" applyFont="1" applyFill="1" applyBorder="1" applyAlignment="1" applyProtection="1">
      <alignment horizontal="center" vertical="center" wrapText="1"/>
    </xf>
    <xf numFmtId="176" fontId="2" fillId="0" borderId="7" xfId="0" applyNumberFormat="1" applyFont="1" applyFill="1" applyBorder="1" applyAlignment="1" applyProtection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10" fillId="0" borderId="7" xfId="0" applyNumberFormat="1" applyFont="1" applyFill="1" applyBorder="1" applyAlignment="1">
      <alignment vertical="center"/>
    </xf>
    <xf numFmtId="176" fontId="11" fillId="0" borderId="7" xfId="0" applyNumberFormat="1" applyFont="1" applyFill="1" applyBorder="1" applyAlignment="1">
      <alignment horizontal="center" vertical="center" wrapText="1"/>
    </xf>
    <xf numFmtId="176" fontId="12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0" xfId="0" applyNumberFormat="1" applyFont="1" applyFill="1" applyAlignment="1">
      <alignment horizontal="center" vertical="center"/>
    </xf>
    <xf numFmtId="176" fontId="13" fillId="0" borderId="7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vertical="center" wrapText="1"/>
    </xf>
    <xf numFmtId="176" fontId="0" fillId="0" borderId="0" xfId="0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7" xfId="0" applyFont="1" applyFill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7" xfId="0" applyFont="1" applyFill="1" applyBorder="1" applyAlignment="1">
      <alignment vertical="center"/>
    </xf>
    <xf numFmtId="0" fontId="17" fillId="0" borderId="6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176" fontId="16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6" fontId="15" fillId="0" borderId="7" xfId="0" applyNumberFormat="1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9" fontId="0" fillId="0" borderId="7" xfId="0" applyNumberForma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vertical="center" wrapText="1"/>
    </xf>
    <xf numFmtId="176" fontId="22" fillId="0" borderId="7" xfId="0" applyNumberFormat="1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176" fontId="0" fillId="0" borderId="7" xfId="0" applyNumberForma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7" xfId="0" applyBorder="1">
      <alignment vertical="center"/>
    </xf>
    <xf numFmtId="0" fontId="8" fillId="0" borderId="7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76" fontId="0" fillId="0" borderId="7" xfId="0" applyNumberFormat="1" applyBorder="1">
      <alignment vertical="center"/>
    </xf>
    <xf numFmtId="9" fontId="0" fillId="0" borderId="7" xfId="0" applyNumberFormat="1" applyBorder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top" wrapText="1"/>
    </xf>
    <xf numFmtId="0" fontId="28" fillId="0" borderId="14" xfId="0" applyFont="1" applyBorder="1" applyAlignment="1">
      <alignment horizontal="center" vertical="top" wrapText="1"/>
    </xf>
    <xf numFmtId="0" fontId="29" fillId="0" borderId="15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justify" vertical="top" wrapText="1"/>
    </xf>
    <xf numFmtId="0" fontId="29" fillId="0" borderId="13" xfId="0" applyFont="1" applyBorder="1" applyAlignment="1">
      <alignment horizontal="justify" vertical="top" wrapText="1"/>
    </xf>
    <xf numFmtId="0" fontId="29" fillId="0" borderId="14" xfId="0" applyFont="1" applyBorder="1" applyAlignment="1">
      <alignment horizontal="justify" vertical="top" wrapText="1"/>
    </xf>
    <xf numFmtId="0" fontId="30" fillId="0" borderId="16" xfId="0" applyFont="1" applyBorder="1" applyAlignment="1">
      <alignment horizontal="justify" vertical="top" wrapText="1"/>
    </xf>
    <xf numFmtId="176" fontId="30" fillId="0" borderId="16" xfId="0" applyNumberFormat="1" applyFont="1" applyBorder="1" applyAlignment="1">
      <alignment horizontal="justify" vertical="top" wrapText="1"/>
    </xf>
    <xf numFmtId="0" fontId="30" fillId="0" borderId="15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justify" vertical="top" wrapText="1"/>
    </xf>
    <xf numFmtId="0" fontId="30" fillId="0" borderId="13" xfId="0" applyFont="1" applyBorder="1" applyAlignment="1">
      <alignment horizontal="justify" vertical="top" wrapText="1"/>
    </xf>
    <xf numFmtId="0" fontId="30" fillId="0" borderId="14" xfId="0" applyFont="1" applyBorder="1" applyAlignment="1">
      <alignment horizontal="justify" vertical="top" wrapText="1"/>
    </xf>
    <xf numFmtId="0" fontId="30" fillId="0" borderId="17" xfId="0" applyFont="1" applyBorder="1" applyAlignment="1">
      <alignment horizontal="center" vertical="top" wrapText="1"/>
    </xf>
    <xf numFmtId="0" fontId="30" fillId="0" borderId="16" xfId="0" applyFont="1" applyBorder="1" applyAlignment="1">
      <alignment horizontal="center" vertical="top" wrapText="1"/>
    </xf>
    <xf numFmtId="0" fontId="29" fillId="0" borderId="1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justify" vertical="top" wrapText="1"/>
    </xf>
    <xf numFmtId="0" fontId="29" fillId="0" borderId="20" xfId="0" applyFont="1" applyBorder="1" applyAlignment="1">
      <alignment horizontal="justify" vertical="top" wrapText="1"/>
    </xf>
    <xf numFmtId="177" fontId="30" fillId="0" borderId="12" xfId="0" applyNumberFormat="1" applyFont="1" applyBorder="1" applyAlignment="1">
      <alignment horizontal="justify" vertical="top" wrapText="1"/>
    </xf>
    <xf numFmtId="177" fontId="30" fillId="0" borderId="13" xfId="0" applyNumberFormat="1" applyFont="1" applyBorder="1" applyAlignment="1">
      <alignment horizontal="justify" vertical="top" wrapText="1"/>
    </xf>
    <xf numFmtId="177" fontId="30" fillId="0" borderId="14" xfId="0" applyNumberFormat="1" applyFont="1" applyBorder="1" applyAlignment="1">
      <alignment horizontal="justify" vertical="top" wrapText="1"/>
    </xf>
    <xf numFmtId="0" fontId="29" fillId="0" borderId="21" xfId="0" applyFont="1" applyBorder="1" applyAlignment="1">
      <alignment horizontal="justify" vertical="top" wrapText="1"/>
    </xf>
    <xf numFmtId="0" fontId="29" fillId="0" borderId="16" xfId="0" applyFont="1" applyBorder="1" applyAlignment="1">
      <alignment horizontal="justify" vertical="top" wrapText="1"/>
    </xf>
    <xf numFmtId="0" fontId="30" fillId="0" borderId="16" xfId="0" applyFont="1" applyBorder="1" applyAlignment="1">
      <alignment horizontal="center" vertical="center" wrapText="1"/>
    </xf>
    <xf numFmtId="178" fontId="27" fillId="0" borderId="12" xfId="0" applyNumberFormat="1" applyFont="1" applyBorder="1" applyAlignment="1">
      <alignment horizontal="left" vertical="top" wrapText="1"/>
    </xf>
    <xf numFmtId="178" fontId="27" fillId="0" borderId="13" xfId="0" applyNumberFormat="1" applyFont="1" applyBorder="1" applyAlignment="1">
      <alignment horizontal="left" vertical="top" wrapText="1"/>
    </xf>
    <xf numFmtId="178" fontId="27" fillId="0" borderId="14" xfId="0" applyNumberFormat="1" applyFont="1" applyBorder="1" applyAlignment="1">
      <alignment horizontal="left" vertical="top" wrapText="1"/>
    </xf>
    <xf numFmtId="0" fontId="29" fillId="0" borderId="18" xfId="0" applyFont="1" applyBorder="1" applyAlignment="1">
      <alignment horizontal="justify" vertical="top" wrapText="1"/>
    </xf>
    <xf numFmtId="0" fontId="29" fillId="0" borderId="15" xfId="0" applyFont="1" applyBorder="1" applyAlignment="1">
      <alignment horizontal="justify" vertical="top" wrapText="1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/>
    </xf>
    <xf numFmtId="0" fontId="29" fillId="0" borderId="0" xfId="0" applyFont="1" applyAlignment="1">
      <alignment horizontal="justify" vertical="center"/>
    </xf>
    <xf numFmtId="0" fontId="29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19" fillId="0" borderId="25" xfId="22" applyFont="1" applyFill="1" applyBorder="1" applyAlignment="1">
      <alignment horizontal="center" vertical="center" wrapText="1"/>
    </xf>
    <xf numFmtId="0" fontId="19" fillId="0" borderId="10" xfId="22" applyFont="1" applyFill="1" applyBorder="1" applyAlignment="1">
      <alignment vertical="center" wrapText="1"/>
    </xf>
    <xf numFmtId="0" fontId="19" fillId="0" borderId="10" xfId="22" applyFont="1" applyFill="1" applyBorder="1" applyAlignment="1">
      <alignment horizontal="center" vertical="center" wrapText="1"/>
    </xf>
    <xf numFmtId="0" fontId="19" fillId="0" borderId="26" xfId="22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0" fontId="36" fillId="0" borderId="0" xfId="0" applyFont="1" applyFill="1" applyAlignment="1">
      <alignment vertical="center" wrapText="1"/>
    </xf>
    <xf numFmtId="0" fontId="34" fillId="0" borderId="0" xfId="0" applyFont="1" applyFill="1" applyAlignment="1">
      <alignment vertical="center" wrapText="1"/>
    </xf>
    <xf numFmtId="0" fontId="0" fillId="0" borderId="7" xfId="0" applyBorder="1" applyAlignment="1">
      <alignment vertical="center"/>
    </xf>
    <xf numFmtId="0" fontId="19" fillId="0" borderId="10" xfId="22" applyFont="1" applyFill="1" applyBorder="1" applyAlignment="1">
      <alignment horizontal="center" vertical="center" wrapText="1"/>
    </xf>
    <xf numFmtId="0" fontId="19" fillId="0" borderId="10" xfId="22" applyFont="1" applyFill="1" applyBorder="1" applyAlignment="1">
      <alignment vertical="center" wrapText="1"/>
    </xf>
    <xf numFmtId="0" fontId="34" fillId="0" borderId="7" xfId="0" applyFont="1" applyFill="1" applyBorder="1" applyAlignment="1">
      <alignment vertical="center"/>
    </xf>
    <xf numFmtId="0" fontId="0" fillId="0" borderId="27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33" fillId="0" borderId="0" xfId="0" applyFont="1" applyFill="1" applyBorder="1" applyAlignment="1">
      <alignment vertical="center" wrapText="1"/>
    </xf>
    <xf numFmtId="0" fontId="33" fillId="0" borderId="0" xfId="0" applyFont="1" applyFill="1" applyAlignment="1">
      <alignment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10 2 2 2 2 2" xfId="109"/>
    <cellStyle name="常规 2" xfId="110"/>
    <cellStyle name="常规 2 2" xfId="111"/>
    <cellStyle name="常规 4" xfId="112"/>
    <cellStyle name="常规 54 2 2" xfId="113"/>
    <cellStyle name="解释性文本 2" xfId="114"/>
    <cellStyle name="好 2" xfId="115"/>
    <cellStyle name="好 2 2" xfId="116"/>
    <cellStyle name="汇总 2" xfId="117"/>
    <cellStyle name="汇总 2 2" xfId="118"/>
    <cellStyle name="检查单元格 2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381000</xdr:colOff>
      <xdr:row>0</xdr:row>
      <xdr:rowOff>12065</xdr:rowOff>
    </xdr:from>
    <xdr:to>
      <xdr:col>6</xdr:col>
      <xdr:colOff>287655</xdr:colOff>
      <xdr:row>24</xdr:row>
      <xdr:rowOff>115570</xdr:rowOff>
    </xdr:to>
    <xdr:pic>
      <xdr:nvPicPr>
        <xdr:cNvPr id="2" name="图片 1" descr="7a84096c8610778a9c1ea66324f940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6800" y="12065"/>
          <a:ext cx="3335655" cy="4446905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25</xdr:row>
      <xdr:rowOff>153035</xdr:rowOff>
    </xdr:from>
    <xdr:to>
      <xdr:col>6</xdr:col>
      <xdr:colOff>365125</xdr:colOff>
      <xdr:row>46</xdr:row>
      <xdr:rowOff>120650</xdr:rowOff>
    </xdr:to>
    <xdr:pic>
      <xdr:nvPicPr>
        <xdr:cNvPr id="3" name="图片 2" descr="bb7fe07c87e5ff4e20449d66e1d48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9175" y="4677410"/>
          <a:ext cx="3460750" cy="3768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selection activeCell="K12" sqref="K12"/>
    </sheetView>
  </sheetViews>
  <sheetFormatPr defaultColWidth="9" defaultRowHeight="14.25"/>
  <cols>
    <col min="1" max="1" width="7.25" style="58" customWidth="1"/>
    <col min="2" max="2" width="38.375" style="57" customWidth="1"/>
    <col min="3" max="3" width="8.875" style="58" customWidth="1"/>
    <col min="4" max="4" width="9.625" style="58" customWidth="1"/>
    <col min="5" max="5" width="11" style="57" customWidth="1"/>
    <col min="6" max="6" width="10" style="177" customWidth="1"/>
    <col min="7" max="7" width="8.5" style="57" customWidth="1"/>
    <col min="8" max="10" width="9" style="57"/>
    <col min="11" max="11" width="46.125" style="57" customWidth="1"/>
    <col min="12" max="12" width="9" style="57"/>
  </cols>
  <sheetData>
    <row r="1" ht="48" customHeight="1" spans="1:9">
      <c r="A1" s="178" t="s">
        <v>0</v>
      </c>
      <c r="B1" s="178"/>
      <c r="C1" s="178"/>
      <c r="D1" s="178"/>
      <c r="E1" s="178"/>
      <c r="F1" s="178"/>
      <c r="G1" s="179"/>
      <c r="H1" s="179"/>
      <c r="I1" s="179"/>
    </row>
    <row r="2" ht="30.75" customHeight="1" spans="1:6">
      <c r="A2" s="180" t="s">
        <v>1</v>
      </c>
      <c r="B2" s="181" t="s">
        <v>2</v>
      </c>
      <c r="C2" s="181" t="s">
        <v>3</v>
      </c>
      <c r="D2" s="181" t="s">
        <v>4</v>
      </c>
      <c r="E2" s="181" t="s">
        <v>5</v>
      </c>
      <c r="F2" s="182" t="s">
        <v>6</v>
      </c>
    </row>
    <row r="3" s="173" customFormat="1" ht="33" customHeight="1" spans="1:12">
      <c r="A3" s="183">
        <v>1</v>
      </c>
      <c r="B3" s="184" t="s">
        <v>7</v>
      </c>
      <c r="C3" s="185" t="s">
        <v>8</v>
      </c>
      <c r="D3" s="185" t="s">
        <v>9</v>
      </c>
      <c r="E3" s="184" t="s">
        <v>10</v>
      </c>
      <c r="F3" s="186"/>
      <c r="G3" s="187"/>
      <c r="H3" s="187"/>
      <c r="I3" s="187"/>
      <c r="J3" s="187"/>
      <c r="K3" s="187"/>
      <c r="L3" s="187"/>
    </row>
    <row r="4" s="173" customFormat="1" ht="25" customHeight="1" spans="1:12">
      <c r="A4" s="183">
        <v>2</v>
      </c>
      <c r="B4" s="184" t="s">
        <v>11</v>
      </c>
      <c r="C4" s="185" t="s">
        <v>8</v>
      </c>
      <c r="D4" s="185" t="s">
        <v>12</v>
      </c>
      <c r="E4" s="184" t="s">
        <v>10</v>
      </c>
      <c r="F4" s="186"/>
      <c r="G4" s="187"/>
      <c r="H4" s="187"/>
      <c r="I4" s="187"/>
      <c r="J4" s="187"/>
      <c r="K4" s="187"/>
      <c r="L4" s="187"/>
    </row>
    <row r="5" s="173" customFormat="1" ht="25" customHeight="1" spans="1:12">
      <c r="A5" s="183">
        <v>3</v>
      </c>
      <c r="B5" s="184" t="s">
        <v>13</v>
      </c>
      <c r="C5" s="185" t="s">
        <v>8</v>
      </c>
      <c r="D5" s="185" t="s">
        <v>14</v>
      </c>
      <c r="E5" s="184" t="s">
        <v>10</v>
      </c>
      <c r="F5" s="186"/>
      <c r="G5" s="187"/>
      <c r="H5" s="187"/>
      <c r="I5" s="187"/>
      <c r="J5" s="187"/>
      <c r="K5" s="187"/>
      <c r="L5" s="187"/>
    </row>
    <row r="6" s="173" customFormat="1" ht="25" customHeight="1" spans="1:12">
      <c r="A6" s="183">
        <v>4</v>
      </c>
      <c r="B6" s="184" t="s">
        <v>15</v>
      </c>
      <c r="C6" s="185" t="s">
        <v>8</v>
      </c>
      <c r="D6" s="185" t="s">
        <v>16</v>
      </c>
      <c r="E6" s="184" t="s">
        <v>10</v>
      </c>
      <c r="F6" s="186"/>
      <c r="G6" s="187"/>
      <c r="H6" s="187"/>
      <c r="I6" s="187"/>
      <c r="J6" s="187"/>
      <c r="K6" s="187"/>
      <c r="L6" s="187"/>
    </row>
    <row r="7" s="173" customFormat="1" ht="25" customHeight="1" spans="1:12">
      <c r="A7" s="183">
        <v>5</v>
      </c>
      <c r="B7" s="184" t="s">
        <v>17</v>
      </c>
      <c r="C7" s="185" t="s">
        <v>18</v>
      </c>
      <c r="D7" s="185" t="s">
        <v>19</v>
      </c>
      <c r="E7" s="184" t="s">
        <v>10</v>
      </c>
      <c r="F7" s="186"/>
      <c r="G7" s="187"/>
      <c r="H7" s="187"/>
      <c r="I7" s="187"/>
      <c r="J7" s="187"/>
      <c r="K7" s="187"/>
      <c r="L7" s="187"/>
    </row>
    <row r="8" s="173" customFormat="1" ht="25" customHeight="1" spans="1:12">
      <c r="A8" s="183">
        <v>6</v>
      </c>
      <c r="B8" s="184" t="s">
        <v>20</v>
      </c>
      <c r="C8" s="185" t="s">
        <v>8</v>
      </c>
      <c r="D8" s="185" t="s">
        <v>21</v>
      </c>
      <c r="E8" s="184" t="s">
        <v>10</v>
      </c>
      <c r="F8" s="186"/>
      <c r="G8" s="188"/>
      <c r="H8" s="187"/>
      <c r="I8" s="187"/>
      <c r="J8" s="187"/>
      <c r="K8" s="187"/>
      <c r="L8" s="187"/>
    </row>
    <row r="9" s="173" customFormat="1" ht="25" customHeight="1" spans="1:12">
      <c r="A9" s="183">
        <v>7</v>
      </c>
      <c r="B9" s="184" t="s">
        <v>22</v>
      </c>
      <c r="C9" s="185" t="s">
        <v>8</v>
      </c>
      <c r="D9" s="185" t="s">
        <v>23</v>
      </c>
      <c r="E9" s="184" t="s">
        <v>10</v>
      </c>
      <c r="F9" s="186"/>
      <c r="G9" s="188"/>
      <c r="H9" s="187"/>
      <c r="I9" s="187"/>
      <c r="J9" s="187"/>
      <c r="K9" s="187"/>
      <c r="L9" s="187"/>
    </row>
    <row r="10" s="174" customFormat="1" ht="25" customHeight="1" spans="1:12">
      <c r="A10" s="183">
        <v>8</v>
      </c>
      <c r="B10" s="184" t="s">
        <v>24</v>
      </c>
      <c r="C10" s="185" t="s">
        <v>8</v>
      </c>
      <c r="D10" s="185" t="s">
        <v>25</v>
      </c>
      <c r="E10" s="184" t="s">
        <v>10</v>
      </c>
      <c r="F10" s="186"/>
      <c r="G10" s="189"/>
      <c r="H10" s="190"/>
      <c r="I10" s="203"/>
      <c r="J10" s="203"/>
      <c r="K10" s="203"/>
      <c r="L10" s="203"/>
    </row>
    <row r="11" s="175" customFormat="1" ht="25" customHeight="1" spans="1:12">
      <c r="A11" s="183">
        <v>9</v>
      </c>
      <c r="B11" s="184" t="s">
        <v>26</v>
      </c>
      <c r="C11" s="185" t="s">
        <v>27</v>
      </c>
      <c r="D11" s="185" t="s">
        <v>28</v>
      </c>
      <c r="E11" s="184" t="s">
        <v>10</v>
      </c>
      <c r="F11" s="186"/>
      <c r="G11" s="191"/>
      <c r="H11" s="192"/>
      <c r="I11" s="204"/>
      <c r="J11" s="204"/>
      <c r="K11" s="204"/>
      <c r="L11" s="204"/>
    </row>
    <row r="12" s="175" customFormat="1" ht="25" customHeight="1" spans="1:10">
      <c r="A12" s="183">
        <v>10</v>
      </c>
      <c r="B12" s="184" t="s">
        <v>29</v>
      </c>
      <c r="C12" s="185" t="s">
        <v>8</v>
      </c>
      <c r="D12" s="185" t="s">
        <v>30</v>
      </c>
      <c r="E12" s="184" t="s">
        <v>10</v>
      </c>
      <c r="F12" s="186"/>
      <c r="G12" s="191"/>
      <c r="H12" s="192"/>
      <c r="I12" s="204"/>
      <c r="J12" s="204"/>
    </row>
    <row r="13" s="175" customFormat="1" ht="25" customHeight="1" spans="1:10">
      <c r="A13" s="183">
        <v>11</v>
      </c>
      <c r="B13" s="184" t="s">
        <v>31</v>
      </c>
      <c r="C13" s="185" t="s">
        <v>8</v>
      </c>
      <c r="D13" s="185" t="s">
        <v>32</v>
      </c>
      <c r="E13" s="184" t="s">
        <v>10</v>
      </c>
      <c r="F13" s="186"/>
      <c r="G13" s="191"/>
      <c r="H13" s="192"/>
      <c r="I13" s="204"/>
      <c r="J13" s="204"/>
    </row>
    <row r="14" s="176" customFormat="1" ht="25" customHeight="1" spans="1:10">
      <c r="A14" s="183">
        <v>12</v>
      </c>
      <c r="B14" s="184" t="s">
        <v>33</v>
      </c>
      <c r="C14" s="185" t="s">
        <v>8</v>
      </c>
      <c r="D14" s="185" t="s">
        <v>34</v>
      </c>
      <c r="E14" s="184" t="s">
        <v>10</v>
      </c>
      <c r="F14" s="186"/>
      <c r="G14" s="191"/>
      <c r="H14" s="192"/>
      <c r="I14" s="192"/>
      <c r="J14" s="192"/>
    </row>
    <row r="15" s="176" customFormat="1" ht="25" customHeight="1" spans="1:10">
      <c r="A15" s="183">
        <v>13</v>
      </c>
      <c r="B15" s="193" t="s">
        <v>35</v>
      </c>
      <c r="C15" s="118" t="s">
        <v>36</v>
      </c>
      <c r="D15" s="194"/>
      <c r="E15" s="195"/>
      <c r="F15" s="186"/>
      <c r="G15" s="191"/>
      <c r="H15" s="192"/>
      <c r="I15" s="192"/>
      <c r="J15" s="192"/>
    </row>
    <row r="16" s="176" customFormat="1" ht="25" customHeight="1" spans="1:10">
      <c r="A16" s="183">
        <v>14</v>
      </c>
      <c r="B16" s="193" t="s">
        <v>37</v>
      </c>
      <c r="C16" s="118" t="s">
        <v>36</v>
      </c>
      <c r="D16" s="194"/>
      <c r="E16" s="195"/>
      <c r="F16" s="186"/>
      <c r="G16" s="191"/>
      <c r="H16" s="192"/>
      <c r="I16" s="192"/>
      <c r="J16" s="192"/>
    </row>
    <row r="17" s="176" customFormat="1" ht="25" customHeight="1" spans="1:10">
      <c r="A17" s="183">
        <v>15</v>
      </c>
      <c r="B17" s="193" t="s">
        <v>38</v>
      </c>
      <c r="C17" s="118" t="s">
        <v>36</v>
      </c>
      <c r="D17" s="194"/>
      <c r="E17" s="195"/>
      <c r="F17" s="186"/>
      <c r="G17" s="191"/>
      <c r="H17" s="192"/>
      <c r="I17" s="192"/>
      <c r="J17" s="192"/>
    </row>
    <row r="18" s="176" customFormat="1" ht="25" customHeight="1" spans="1:10">
      <c r="A18" s="183">
        <v>16</v>
      </c>
      <c r="B18" s="193" t="s">
        <v>39</v>
      </c>
      <c r="C18" s="118" t="s">
        <v>36</v>
      </c>
      <c r="D18" s="194"/>
      <c r="E18" s="195"/>
      <c r="F18" s="186"/>
      <c r="G18" s="191"/>
      <c r="H18" s="192"/>
      <c r="I18" s="192"/>
      <c r="J18" s="192"/>
    </row>
    <row r="19" s="176" customFormat="1" ht="25" customHeight="1" spans="1:10">
      <c r="A19" s="183">
        <v>17</v>
      </c>
      <c r="B19" s="193" t="s">
        <v>40</v>
      </c>
      <c r="C19" s="118" t="s">
        <v>36</v>
      </c>
      <c r="D19" s="194"/>
      <c r="E19" s="195"/>
      <c r="F19" s="186"/>
      <c r="G19" s="191"/>
      <c r="H19" s="192"/>
      <c r="I19" s="192"/>
      <c r="J19" s="192"/>
    </row>
    <row r="20" s="176" customFormat="1" ht="25" customHeight="1" spans="1:12">
      <c r="A20" s="183">
        <v>18</v>
      </c>
      <c r="B20" s="193" t="s">
        <v>41</v>
      </c>
      <c r="C20" s="118" t="s">
        <v>36</v>
      </c>
      <c r="D20" s="194"/>
      <c r="E20" s="195"/>
      <c r="F20" s="186"/>
      <c r="G20" s="191"/>
      <c r="H20" s="192"/>
      <c r="I20" s="192"/>
      <c r="J20" s="192"/>
      <c r="K20" s="57"/>
      <c r="L20" s="57"/>
    </row>
    <row r="21" s="176" customFormat="1" ht="25" customHeight="1" spans="1:12">
      <c r="A21" s="183">
        <v>19</v>
      </c>
      <c r="B21" s="193" t="s">
        <v>42</v>
      </c>
      <c r="C21" s="118" t="s">
        <v>36</v>
      </c>
      <c r="D21" s="196"/>
      <c r="E21" s="196"/>
      <c r="F21" s="186"/>
      <c r="G21" s="191"/>
      <c r="H21" s="192"/>
      <c r="I21" s="192"/>
      <c r="J21" s="192"/>
      <c r="K21" s="57"/>
      <c r="L21" s="57"/>
    </row>
    <row r="22" s="176" customFormat="1" ht="25" customHeight="1" spans="1:12">
      <c r="A22" s="183">
        <v>20</v>
      </c>
      <c r="B22" s="193" t="s">
        <v>43</v>
      </c>
      <c r="C22" s="118" t="s">
        <v>36</v>
      </c>
      <c r="D22" s="196"/>
      <c r="E22" s="196"/>
      <c r="F22" s="186"/>
      <c r="G22" s="191"/>
      <c r="H22" s="192"/>
      <c r="I22" s="192"/>
      <c r="J22" s="192"/>
      <c r="K22" s="57"/>
      <c r="L22" s="57"/>
    </row>
    <row r="23" s="176" customFormat="1" ht="25" customHeight="1" spans="1:12">
      <c r="A23" s="183">
        <v>21</v>
      </c>
      <c r="B23" s="196" t="s">
        <v>44</v>
      </c>
      <c r="C23" s="118" t="s">
        <v>36</v>
      </c>
      <c r="D23" s="196"/>
      <c r="E23" s="196"/>
      <c r="F23" s="186"/>
      <c r="G23" s="191"/>
      <c r="H23" s="192"/>
      <c r="I23" s="192"/>
      <c r="J23" s="192"/>
      <c r="K23" s="57"/>
      <c r="L23" s="57"/>
    </row>
    <row r="24" ht="33.95" customHeight="1" spans="1:6">
      <c r="A24" s="197" t="s">
        <v>45</v>
      </c>
      <c r="B24" s="198"/>
      <c r="C24" s="198" t="s">
        <v>46</v>
      </c>
      <c r="D24" s="198"/>
      <c r="E24" s="198"/>
      <c r="F24" s="199"/>
    </row>
    <row r="25" ht="33.95" customHeight="1" spans="1:6">
      <c r="A25" s="200"/>
      <c r="B25" s="201"/>
      <c r="C25" s="201"/>
      <c r="D25" s="201"/>
      <c r="E25" s="201"/>
      <c r="F25" s="202"/>
    </row>
    <row r="40" ht="43.5" customHeight="1"/>
  </sheetData>
  <mergeCells count="3">
    <mergeCell ref="A1:F1"/>
    <mergeCell ref="A24:B25"/>
    <mergeCell ref="C24:F25"/>
  </mergeCells>
  <pageMargins left="0.550694444444444" right="0.590277777777778" top="0.393055555555556" bottom="0.393055555555556" header="0.511805555555556" footer="0.511805555555556"/>
  <pageSetup paperSize="9" orientation="portrait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opLeftCell="A7" workbookViewId="0">
      <selection activeCell="M13" sqref="M13"/>
    </sheetView>
  </sheetViews>
  <sheetFormatPr defaultColWidth="9" defaultRowHeight="14.25"/>
  <cols>
    <col min="1" max="1" width="4.125" style="58" customWidth="1"/>
    <col min="2" max="2" width="11.0166666666667" style="57" customWidth="1"/>
    <col min="3" max="3" width="27.95" style="57" customWidth="1"/>
    <col min="4" max="4" width="5.875" style="58" customWidth="1"/>
    <col min="5" max="5" width="6.59166666666667" style="57" customWidth="1"/>
    <col min="6" max="6" width="9.125" style="57" customWidth="1"/>
    <col min="7" max="7" width="10.875" style="57" customWidth="1"/>
    <col min="8" max="8" width="13.0666666666667" style="57" customWidth="1"/>
    <col min="9" max="10" width="9" style="57"/>
    <col min="11" max="11" width="12.625" style="57"/>
    <col min="12" max="12" width="9" style="57"/>
    <col min="13" max="13" width="16.125" style="57" customWidth="1"/>
    <col min="14" max="16384" width="9" style="57"/>
  </cols>
  <sheetData>
    <row r="1" s="57" customFormat="1" ht="29" customHeight="1" spans="1:8">
      <c r="A1" s="59" t="s">
        <v>376</v>
      </c>
      <c r="B1" s="59"/>
      <c r="C1" s="59"/>
      <c r="D1" s="59"/>
      <c r="E1" s="59"/>
      <c r="F1" s="59"/>
      <c r="G1" s="59"/>
      <c r="H1" s="59"/>
    </row>
    <row r="2" s="57" customFormat="1" ht="31" customHeight="1" spans="1:8">
      <c r="A2" s="60" t="s">
        <v>1</v>
      </c>
      <c r="B2" s="60" t="s">
        <v>52</v>
      </c>
      <c r="C2" s="60" t="s">
        <v>87</v>
      </c>
      <c r="D2" s="60" t="s">
        <v>88</v>
      </c>
      <c r="E2" s="60" t="s">
        <v>89</v>
      </c>
      <c r="F2" s="60" t="s">
        <v>90</v>
      </c>
      <c r="G2" s="60" t="s">
        <v>91</v>
      </c>
      <c r="H2" s="61" t="s">
        <v>6</v>
      </c>
    </row>
    <row r="3" s="57" customFormat="1" ht="40" customHeight="1" spans="1:14">
      <c r="A3" s="62">
        <v>1</v>
      </c>
      <c r="B3" s="62" t="s">
        <v>377</v>
      </c>
      <c r="C3" s="63" t="s">
        <v>378</v>
      </c>
      <c r="D3" s="64" t="s">
        <v>141</v>
      </c>
      <c r="E3" s="64">
        <v>70.15</v>
      </c>
      <c r="F3" s="64">
        <v>500</v>
      </c>
      <c r="G3" s="64">
        <f t="shared" ref="G3:G6" si="0">E3*F3</f>
        <v>35075</v>
      </c>
      <c r="H3" s="65"/>
      <c r="I3" s="75"/>
      <c r="J3" s="75"/>
      <c r="K3" s="75"/>
      <c r="L3" s="75"/>
      <c r="M3" s="76"/>
      <c r="N3" s="75"/>
    </row>
    <row r="4" s="57" customFormat="1" ht="35" customHeight="1" spans="1:14">
      <c r="A4" s="62">
        <v>2</v>
      </c>
      <c r="B4" s="62" t="s">
        <v>379</v>
      </c>
      <c r="C4" s="63" t="s">
        <v>380</v>
      </c>
      <c r="D4" s="64" t="s">
        <v>93</v>
      </c>
      <c r="E4" s="64">
        <v>1</v>
      </c>
      <c r="F4" s="64">
        <v>13800</v>
      </c>
      <c r="G4" s="64">
        <f t="shared" si="0"/>
        <v>13800</v>
      </c>
      <c r="H4" s="66" t="s">
        <v>381</v>
      </c>
      <c r="I4" s="75"/>
      <c r="J4" s="75"/>
      <c r="K4" s="75"/>
      <c r="L4" s="75"/>
      <c r="M4" s="75"/>
      <c r="N4" s="75"/>
    </row>
    <row r="5" s="57" customFormat="1" ht="23" customHeight="1" spans="1:14">
      <c r="A5" s="67"/>
      <c r="B5" s="67"/>
      <c r="C5" s="68" t="s">
        <v>382</v>
      </c>
      <c r="D5" s="64" t="s">
        <v>93</v>
      </c>
      <c r="E5" s="64">
        <v>1</v>
      </c>
      <c r="F5" s="64">
        <v>1000</v>
      </c>
      <c r="G5" s="64">
        <f t="shared" si="0"/>
        <v>1000</v>
      </c>
      <c r="H5" s="66"/>
      <c r="I5" s="75"/>
      <c r="J5" s="75"/>
      <c r="K5" s="75"/>
      <c r="L5" s="75"/>
      <c r="M5" s="75"/>
      <c r="N5" s="75"/>
    </row>
    <row r="6" s="57" customFormat="1" ht="38" customHeight="1" spans="1:14">
      <c r="A6" s="67"/>
      <c r="B6" s="67"/>
      <c r="C6" s="63" t="s">
        <v>383</v>
      </c>
      <c r="D6" s="64" t="s">
        <v>155</v>
      </c>
      <c r="E6" s="64">
        <v>63.32</v>
      </c>
      <c r="F6" s="64">
        <v>10</v>
      </c>
      <c r="G6" s="64">
        <f t="shared" si="0"/>
        <v>633.2</v>
      </c>
      <c r="H6" s="66" t="s">
        <v>384</v>
      </c>
      <c r="I6" s="75"/>
      <c r="J6" s="75"/>
      <c r="K6" s="75"/>
      <c r="L6" s="75"/>
      <c r="M6" s="75"/>
      <c r="N6" s="75"/>
    </row>
    <row r="7" s="57" customFormat="1" ht="32" customHeight="1" spans="1:14">
      <c r="A7" s="62">
        <v>3</v>
      </c>
      <c r="B7" s="62" t="s">
        <v>385</v>
      </c>
      <c r="C7" s="63" t="s">
        <v>386</v>
      </c>
      <c r="D7" s="64" t="s">
        <v>93</v>
      </c>
      <c r="E7" s="64">
        <v>1</v>
      </c>
      <c r="F7" s="64">
        <v>13740</v>
      </c>
      <c r="G7" s="64">
        <f t="shared" ref="G7:G14" si="1">F7*E7</f>
        <v>13740</v>
      </c>
      <c r="H7" s="69" t="s">
        <v>142</v>
      </c>
      <c r="I7" s="75"/>
      <c r="J7" s="75"/>
      <c r="K7" s="75"/>
      <c r="L7" s="75"/>
      <c r="M7" s="75"/>
      <c r="N7" s="75"/>
    </row>
    <row r="8" s="57" customFormat="1" ht="16.5" spans="1:14">
      <c r="A8" s="67"/>
      <c r="B8" s="67"/>
      <c r="C8" s="68" t="s">
        <v>387</v>
      </c>
      <c r="D8" s="64" t="s">
        <v>388</v>
      </c>
      <c r="E8" s="64">
        <v>2</v>
      </c>
      <c r="F8" s="64">
        <v>200</v>
      </c>
      <c r="G8" s="64">
        <f t="shared" si="1"/>
        <v>400</v>
      </c>
      <c r="H8" s="69"/>
      <c r="I8" s="75"/>
      <c r="J8" s="75"/>
      <c r="K8" s="75"/>
      <c r="L8" s="75"/>
      <c r="M8" s="75"/>
      <c r="N8" s="75"/>
    </row>
    <row r="9" s="57" customFormat="1" ht="24" spans="1:14">
      <c r="A9" s="67"/>
      <c r="B9" s="67"/>
      <c r="C9" s="63" t="s">
        <v>389</v>
      </c>
      <c r="D9" s="64" t="s">
        <v>93</v>
      </c>
      <c r="E9" s="64">
        <v>1</v>
      </c>
      <c r="F9" s="64">
        <v>500</v>
      </c>
      <c r="G9" s="64">
        <f t="shared" si="1"/>
        <v>500</v>
      </c>
      <c r="H9" s="69"/>
      <c r="I9" s="75"/>
      <c r="J9" s="75"/>
      <c r="K9" s="75"/>
      <c r="L9" s="75"/>
      <c r="M9" s="75"/>
      <c r="N9" s="75"/>
    </row>
    <row r="10" s="57" customFormat="1" ht="16.5" spans="1:14">
      <c r="A10" s="67"/>
      <c r="B10" s="67"/>
      <c r="C10" s="63" t="s">
        <v>390</v>
      </c>
      <c r="D10" s="64" t="s">
        <v>93</v>
      </c>
      <c r="E10" s="64">
        <v>1</v>
      </c>
      <c r="F10" s="64">
        <v>1000</v>
      </c>
      <c r="G10" s="64">
        <f t="shared" si="1"/>
        <v>1000</v>
      </c>
      <c r="H10" s="69"/>
      <c r="I10" s="75"/>
      <c r="J10" s="75"/>
      <c r="K10" s="75"/>
      <c r="L10" s="75"/>
      <c r="M10" s="75"/>
      <c r="N10" s="75"/>
    </row>
    <row r="11" s="57" customFormat="1" ht="16.5" spans="1:14">
      <c r="A11" s="67"/>
      <c r="B11" s="67"/>
      <c r="C11" s="63" t="s">
        <v>391</v>
      </c>
      <c r="D11" s="64" t="s">
        <v>392</v>
      </c>
      <c r="E11" s="64">
        <v>40</v>
      </c>
      <c r="F11" s="64">
        <v>45</v>
      </c>
      <c r="G11" s="64">
        <f t="shared" si="1"/>
        <v>1800</v>
      </c>
      <c r="H11" s="69"/>
      <c r="I11" s="75"/>
      <c r="J11" s="75"/>
      <c r="K11" s="75"/>
      <c r="L11" s="75"/>
      <c r="M11" s="75"/>
      <c r="N11" s="75"/>
    </row>
    <row r="12" s="57" customFormat="1" ht="16.5" spans="1:14">
      <c r="A12" s="67"/>
      <c r="B12" s="67"/>
      <c r="C12" s="63" t="s">
        <v>393</v>
      </c>
      <c r="D12" s="64" t="s">
        <v>388</v>
      </c>
      <c r="E12" s="64">
        <v>2</v>
      </c>
      <c r="F12" s="64">
        <v>200</v>
      </c>
      <c r="G12" s="64">
        <f t="shared" si="1"/>
        <v>400</v>
      </c>
      <c r="H12" s="69"/>
      <c r="I12" s="75"/>
      <c r="J12" s="75"/>
      <c r="K12" s="75"/>
      <c r="L12" s="75"/>
      <c r="M12" s="75"/>
      <c r="N12" s="75"/>
    </row>
    <row r="13" s="57" customFormat="1" ht="24" spans="1:14">
      <c r="A13" s="67"/>
      <c r="B13" s="67"/>
      <c r="C13" s="63" t="s">
        <v>394</v>
      </c>
      <c r="D13" s="64" t="s">
        <v>93</v>
      </c>
      <c r="E13" s="64">
        <v>1</v>
      </c>
      <c r="F13" s="64">
        <v>500</v>
      </c>
      <c r="G13" s="64">
        <f t="shared" si="1"/>
        <v>500</v>
      </c>
      <c r="H13" s="66"/>
      <c r="I13" s="75"/>
      <c r="J13" s="75"/>
      <c r="K13" s="75"/>
      <c r="L13" s="75"/>
      <c r="M13" s="75"/>
      <c r="N13" s="75"/>
    </row>
    <row r="14" s="57" customFormat="1" ht="24" spans="1:14">
      <c r="A14" s="62">
        <v>4</v>
      </c>
      <c r="B14" s="62" t="s">
        <v>395</v>
      </c>
      <c r="C14" s="63" t="s">
        <v>396</v>
      </c>
      <c r="D14" s="64" t="s">
        <v>93</v>
      </c>
      <c r="E14" s="64">
        <v>1</v>
      </c>
      <c r="F14" s="64">
        <v>6480</v>
      </c>
      <c r="G14" s="64">
        <f t="shared" si="1"/>
        <v>6480</v>
      </c>
      <c r="H14" s="66"/>
      <c r="I14" s="75"/>
      <c r="J14" s="75"/>
      <c r="K14" s="75"/>
      <c r="L14" s="75"/>
      <c r="M14" s="75"/>
      <c r="N14" s="75"/>
    </row>
    <row r="15" s="57" customFormat="1" ht="16.5" spans="1:14">
      <c r="A15" s="67"/>
      <c r="B15" s="67"/>
      <c r="C15" s="68" t="s">
        <v>397</v>
      </c>
      <c r="D15" s="64" t="s">
        <v>155</v>
      </c>
      <c r="E15" s="64">
        <f>176.94-3.14-2.54-3.8-2.54-1.13-3.14-3.14-22.9-2.54-1.13-2.84-2.84</f>
        <v>125.26</v>
      </c>
      <c r="F15" s="64">
        <v>65</v>
      </c>
      <c r="G15" s="64">
        <f t="shared" ref="G15:G28" si="2">E15*F15</f>
        <v>8141.9</v>
      </c>
      <c r="H15" s="66"/>
      <c r="I15" s="75"/>
      <c r="J15" s="75"/>
      <c r="K15" s="75"/>
      <c r="L15" s="75"/>
      <c r="M15" s="75"/>
      <c r="N15" s="75"/>
    </row>
    <row r="16" s="57" customFormat="1" ht="16.5" spans="1:14">
      <c r="A16" s="67"/>
      <c r="B16" s="67"/>
      <c r="C16" s="68" t="s">
        <v>398</v>
      </c>
      <c r="D16" s="64" t="s">
        <v>155</v>
      </c>
      <c r="E16" s="64">
        <f>E15+22.8*0.2</f>
        <v>129.82</v>
      </c>
      <c r="F16" s="64">
        <v>195</v>
      </c>
      <c r="G16" s="64">
        <f t="shared" si="2"/>
        <v>25314.9</v>
      </c>
      <c r="H16" s="66"/>
      <c r="I16" s="75"/>
      <c r="J16" s="75"/>
      <c r="K16" s="75"/>
      <c r="L16" s="75"/>
      <c r="M16" s="75"/>
      <c r="N16" s="75"/>
    </row>
    <row r="17" s="57" customFormat="1" ht="16.5" spans="1:14">
      <c r="A17" s="67"/>
      <c r="B17" s="67"/>
      <c r="C17" s="68" t="s">
        <v>399</v>
      </c>
      <c r="D17" s="64" t="s">
        <v>155</v>
      </c>
      <c r="E17" s="64">
        <v>27.36</v>
      </c>
      <c r="F17" s="64">
        <v>65</v>
      </c>
      <c r="G17" s="64">
        <f t="shared" si="2"/>
        <v>1778.4</v>
      </c>
      <c r="H17" s="66"/>
      <c r="I17" s="75"/>
      <c r="J17" s="75"/>
      <c r="K17" s="75"/>
      <c r="L17" s="75"/>
      <c r="M17" s="75"/>
      <c r="N17" s="75"/>
    </row>
    <row r="18" s="57" customFormat="1" ht="16.5" spans="1:14">
      <c r="A18" s="67"/>
      <c r="B18" s="67"/>
      <c r="C18" s="68" t="s">
        <v>400</v>
      </c>
      <c r="D18" s="64" t="s">
        <v>155</v>
      </c>
      <c r="E18" s="64">
        <v>27.36</v>
      </c>
      <c r="F18" s="64">
        <v>320</v>
      </c>
      <c r="G18" s="64">
        <f t="shared" si="2"/>
        <v>8755.2</v>
      </c>
      <c r="H18" s="66"/>
      <c r="I18" s="75"/>
      <c r="J18" s="75"/>
      <c r="K18" s="75"/>
      <c r="L18" s="75"/>
      <c r="M18" s="75"/>
      <c r="N18" s="75"/>
    </row>
    <row r="19" s="57" customFormat="1" ht="16.5" spans="1:14">
      <c r="A19" s="67"/>
      <c r="B19" s="67"/>
      <c r="C19" s="68" t="s">
        <v>401</v>
      </c>
      <c r="D19" s="64" t="s">
        <v>155</v>
      </c>
      <c r="E19" s="64">
        <f>E15</f>
        <v>125.26</v>
      </c>
      <c r="F19" s="64">
        <f>150/0.2*0.05</f>
        <v>37.5</v>
      </c>
      <c r="G19" s="64">
        <f t="shared" si="2"/>
        <v>4697.25</v>
      </c>
      <c r="H19" s="66"/>
      <c r="I19" s="75"/>
      <c r="J19" s="75"/>
      <c r="K19" s="75"/>
      <c r="L19" s="75"/>
      <c r="M19" s="75"/>
      <c r="N19" s="75"/>
    </row>
    <row r="20" s="57" customFormat="1" ht="16.5" spans="1:14">
      <c r="A20" s="67"/>
      <c r="B20" s="67"/>
      <c r="C20" s="68" t="s">
        <v>402</v>
      </c>
      <c r="D20" s="64" t="s">
        <v>155</v>
      </c>
      <c r="E20" s="64">
        <f>E15+E17+91.6*0.1+23*0.3</f>
        <v>168.68</v>
      </c>
      <c r="F20" s="64">
        <v>72</v>
      </c>
      <c r="G20" s="64">
        <f t="shared" si="2"/>
        <v>12144.96</v>
      </c>
      <c r="H20" s="66"/>
      <c r="I20" s="75"/>
      <c r="J20" s="75"/>
      <c r="K20" s="75"/>
      <c r="L20" s="75"/>
      <c r="M20" s="75"/>
      <c r="N20" s="75"/>
    </row>
    <row r="21" s="57" customFormat="1" ht="16.5" spans="1:14">
      <c r="A21" s="67"/>
      <c r="B21" s="67"/>
      <c r="C21" s="68" t="s">
        <v>403</v>
      </c>
      <c r="D21" s="64" t="s">
        <v>141</v>
      </c>
      <c r="E21" s="64">
        <v>91.6</v>
      </c>
      <c r="F21" s="64">
        <v>115</v>
      </c>
      <c r="G21" s="64">
        <f t="shared" si="2"/>
        <v>10534</v>
      </c>
      <c r="H21" s="66"/>
      <c r="I21" s="75"/>
      <c r="J21" s="75"/>
      <c r="K21" s="75"/>
      <c r="L21" s="75"/>
      <c r="M21" s="75"/>
      <c r="N21" s="75"/>
    </row>
    <row r="22" s="57" customFormat="1" ht="16.5" spans="1:14">
      <c r="A22" s="67"/>
      <c r="B22" s="67"/>
      <c r="C22" s="68" t="s">
        <v>404</v>
      </c>
      <c r="D22" s="64" t="s">
        <v>114</v>
      </c>
      <c r="E22" s="64">
        <v>20</v>
      </c>
      <c r="F22" s="64">
        <v>80</v>
      </c>
      <c r="G22" s="64">
        <f t="shared" si="2"/>
        <v>1600</v>
      </c>
      <c r="H22" s="66"/>
      <c r="I22" s="75"/>
      <c r="J22" s="75"/>
      <c r="K22" s="75"/>
      <c r="L22" s="75"/>
      <c r="M22" s="75"/>
      <c r="N22" s="75"/>
    </row>
    <row r="23" s="57" customFormat="1" ht="16.5" spans="1:14">
      <c r="A23" s="67"/>
      <c r="B23" s="67"/>
      <c r="C23" s="68" t="s">
        <v>405</v>
      </c>
      <c r="D23" s="64" t="s">
        <v>141</v>
      </c>
      <c r="E23" s="64">
        <v>15.7</v>
      </c>
      <c r="F23" s="64">
        <v>240</v>
      </c>
      <c r="G23" s="64">
        <f t="shared" si="2"/>
        <v>3768</v>
      </c>
      <c r="H23" s="66"/>
      <c r="I23" s="75"/>
      <c r="J23" s="75"/>
      <c r="K23" s="75"/>
      <c r="L23" s="75"/>
      <c r="M23" s="75"/>
      <c r="N23" s="75"/>
    </row>
    <row r="24" s="57" customFormat="1" ht="16.5" spans="1:14">
      <c r="A24" s="67"/>
      <c r="B24" s="67"/>
      <c r="C24" s="68" t="s">
        <v>406</v>
      </c>
      <c r="D24" s="64" t="s">
        <v>141</v>
      </c>
      <c r="E24" s="64">
        <v>10.4</v>
      </c>
      <c r="F24" s="64">
        <v>180</v>
      </c>
      <c r="G24" s="64">
        <f t="shared" si="2"/>
        <v>1872</v>
      </c>
      <c r="H24" s="66"/>
      <c r="I24" s="75"/>
      <c r="J24" s="75"/>
      <c r="K24" s="75"/>
      <c r="L24" s="75"/>
      <c r="M24" s="75"/>
      <c r="N24" s="75"/>
    </row>
    <row r="25" s="57" customFormat="1" ht="16.5" spans="1:14">
      <c r="A25" s="70"/>
      <c r="B25" s="70"/>
      <c r="C25" s="68" t="s">
        <v>407</v>
      </c>
      <c r="D25" s="64" t="s">
        <v>408</v>
      </c>
      <c r="E25" s="64">
        <v>2</v>
      </c>
      <c r="F25" s="64">
        <v>1100</v>
      </c>
      <c r="G25" s="64">
        <f t="shared" si="2"/>
        <v>2200</v>
      </c>
      <c r="H25" s="66"/>
      <c r="I25" s="75"/>
      <c r="J25" s="75"/>
      <c r="K25" s="75"/>
      <c r="L25" s="75"/>
      <c r="M25" s="75"/>
      <c r="N25" s="75"/>
    </row>
    <row r="26" s="57" customFormat="1" ht="24" spans="1:14">
      <c r="A26" s="62">
        <v>5</v>
      </c>
      <c r="B26" s="62" t="s">
        <v>409</v>
      </c>
      <c r="C26" s="68" t="s">
        <v>410</v>
      </c>
      <c r="D26" s="64" t="s">
        <v>155</v>
      </c>
      <c r="E26" s="64">
        <f>297.6+532.25</f>
        <v>829.85</v>
      </c>
      <c r="F26" s="64">
        <v>52</v>
      </c>
      <c r="G26" s="64">
        <f t="shared" si="2"/>
        <v>43152.2</v>
      </c>
      <c r="H26" s="66" t="s">
        <v>411</v>
      </c>
      <c r="I26" s="75"/>
      <c r="J26" s="75"/>
      <c r="K26" s="75"/>
      <c r="L26" s="75"/>
      <c r="M26" s="75"/>
      <c r="N26" s="75"/>
    </row>
    <row r="27" s="57" customFormat="1" ht="16.5" spans="1:14">
      <c r="A27" s="67"/>
      <c r="B27" s="67"/>
      <c r="C27" s="68" t="s">
        <v>412</v>
      </c>
      <c r="D27" s="64" t="s">
        <v>155</v>
      </c>
      <c r="E27" s="64">
        <v>13.44</v>
      </c>
      <c r="F27" s="64">
        <v>125</v>
      </c>
      <c r="G27" s="64">
        <f t="shared" si="2"/>
        <v>1680</v>
      </c>
      <c r="H27" s="66" t="s">
        <v>413</v>
      </c>
      <c r="I27" s="75"/>
      <c r="J27" s="75"/>
      <c r="K27" s="75"/>
      <c r="L27" s="75"/>
      <c r="M27" s="75"/>
      <c r="N27" s="75"/>
    </row>
    <row r="28" s="57" customFormat="1" ht="16.5" spans="1:14">
      <c r="A28" s="70"/>
      <c r="B28" s="70"/>
      <c r="C28" s="68" t="s">
        <v>414</v>
      </c>
      <c r="D28" s="64" t="s">
        <v>155</v>
      </c>
      <c r="E28" s="64">
        <f>E27</f>
        <v>13.44</v>
      </c>
      <c r="F28" s="64">
        <f>150/0.2*0.05</f>
        <v>37.5</v>
      </c>
      <c r="G28" s="64">
        <f t="shared" si="2"/>
        <v>504</v>
      </c>
      <c r="H28" s="66"/>
      <c r="I28" s="75"/>
      <c r="J28" s="75"/>
      <c r="K28" s="75"/>
      <c r="L28" s="75"/>
      <c r="M28" s="75"/>
      <c r="N28" s="75"/>
    </row>
    <row r="29" s="57" customFormat="1" ht="19" customHeight="1" spans="1:8">
      <c r="A29" s="64">
        <v>6</v>
      </c>
      <c r="B29" s="71"/>
      <c r="C29" s="71" t="s">
        <v>193</v>
      </c>
      <c r="D29" s="72"/>
      <c r="E29" s="71"/>
      <c r="F29" s="71"/>
      <c r="G29" s="73">
        <f>SUM(G3:G28)</f>
        <v>201471.01</v>
      </c>
      <c r="H29" s="74"/>
    </row>
    <row r="30" s="57" customFormat="1" ht="19" customHeight="1" spans="1:8">
      <c r="A30" s="64">
        <v>7</v>
      </c>
      <c r="B30" s="71"/>
      <c r="C30" s="71" t="s">
        <v>194</v>
      </c>
      <c r="D30" s="72"/>
      <c r="E30" s="71"/>
      <c r="F30" s="71"/>
      <c r="G30" s="72">
        <v>201000</v>
      </c>
      <c r="H30" s="74"/>
    </row>
    <row r="32" s="57" customFormat="1" spans="1:4">
      <c r="A32" s="58"/>
      <c r="B32" s="57" t="s">
        <v>136</v>
      </c>
      <c r="D32" s="58" t="s">
        <v>195</v>
      </c>
    </row>
    <row r="35" s="57" customFormat="1" spans="1:4">
      <c r="A35" s="58"/>
      <c r="B35" s="57" t="s">
        <v>137</v>
      </c>
      <c r="D35" s="58" t="s">
        <v>195</v>
      </c>
    </row>
  </sheetData>
  <mergeCells count="10">
    <mergeCell ref="A1:H1"/>
    <mergeCell ref="A4:A6"/>
    <mergeCell ref="A7:A13"/>
    <mergeCell ref="A14:A25"/>
    <mergeCell ref="A26:A28"/>
    <mergeCell ref="B4:B6"/>
    <mergeCell ref="B7:B13"/>
    <mergeCell ref="B14:B25"/>
    <mergeCell ref="B26:B28"/>
    <mergeCell ref="H7:H1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N9" sqref="N9"/>
    </sheetView>
  </sheetViews>
  <sheetFormatPr defaultColWidth="9" defaultRowHeight="14.25"/>
  <cols>
    <col min="1" max="1" width="3.875" style="2" customWidth="1"/>
    <col min="2" max="2" width="8.875" style="2" customWidth="1"/>
    <col min="3" max="3" width="24.375" style="2" customWidth="1"/>
    <col min="4" max="4" width="3.875" style="2" customWidth="1"/>
    <col min="5" max="5" width="7.5" style="2" customWidth="1"/>
    <col min="6" max="6" width="7.375" style="3" customWidth="1"/>
    <col min="7" max="8" width="7.625" style="3" customWidth="1"/>
    <col min="9" max="9" width="9.5" style="3" customWidth="1"/>
    <col min="10" max="10" width="8.75" style="3" customWidth="1"/>
    <col min="11" max="11" width="9.75" style="3"/>
    <col min="12" max="12" width="11.375" style="2"/>
    <col min="13" max="13" width="11.375" style="2" customWidth="1"/>
    <col min="14" max="14" width="12.75" style="2"/>
    <col min="15" max="15" width="12.5416666666667" style="2"/>
    <col min="16" max="16" width="9" style="2"/>
    <col min="17" max="17" width="12.9333333333333" style="2" customWidth="1"/>
    <col min="18" max="18" width="12.5416666666667" style="2"/>
    <col min="19" max="19" width="9" style="2"/>
    <col min="20" max="20" width="12.5416666666667" style="2"/>
    <col min="21" max="16384" width="9" style="2"/>
  </cols>
  <sheetData>
    <row r="1" s="2" customFormat="1" ht="24" customHeight="1" spans="1:13">
      <c r="A1" s="4" t="s">
        <v>415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2.95" customHeight="1" spans="1:13">
      <c r="A2" s="5" t="s">
        <v>1</v>
      </c>
      <c r="B2" s="6" t="s">
        <v>416</v>
      </c>
      <c r="C2" s="6" t="s">
        <v>417</v>
      </c>
      <c r="D2" s="6" t="s">
        <v>88</v>
      </c>
      <c r="E2" s="7" t="s">
        <v>418</v>
      </c>
      <c r="F2" s="8" t="s">
        <v>419</v>
      </c>
      <c r="G2" s="9"/>
      <c r="H2" s="9"/>
      <c r="I2" s="9"/>
      <c r="J2" s="25"/>
      <c r="K2" s="13" t="s">
        <v>420</v>
      </c>
      <c r="L2" s="13" t="s">
        <v>421</v>
      </c>
      <c r="M2" s="13" t="s">
        <v>6</v>
      </c>
    </row>
    <row r="3" s="2" customFormat="1" ht="53" customHeight="1" spans="1:13">
      <c r="A3" s="10"/>
      <c r="B3" s="11"/>
      <c r="C3" s="11"/>
      <c r="D3" s="11"/>
      <c r="E3" s="12"/>
      <c r="F3" s="13" t="s">
        <v>422</v>
      </c>
      <c r="G3" s="13" t="s">
        <v>423</v>
      </c>
      <c r="H3" s="13" t="s">
        <v>424</v>
      </c>
      <c r="I3" s="26" t="s">
        <v>425</v>
      </c>
      <c r="J3" s="26" t="s">
        <v>426</v>
      </c>
      <c r="K3" s="27"/>
      <c r="L3" s="27"/>
      <c r="M3" s="27"/>
    </row>
    <row r="4" s="2" customFormat="1" ht="23" customHeight="1" spans="1:13">
      <c r="A4" s="14" t="s">
        <v>57</v>
      </c>
      <c r="B4" s="37" t="s">
        <v>427</v>
      </c>
      <c r="C4" s="37"/>
      <c r="D4" s="14"/>
      <c r="E4" s="14"/>
      <c r="F4" s="17"/>
      <c r="G4" s="20"/>
      <c r="H4" s="17"/>
      <c r="I4" s="23"/>
      <c r="J4" s="49"/>
      <c r="K4" s="35"/>
      <c r="L4" s="36"/>
      <c r="M4" s="36"/>
    </row>
    <row r="5" s="2" customFormat="1" ht="63" spans="1:13">
      <c r="A5" s="14">
        <v>1</v>
      </c>
      <c r="B5" s="38" t="s">
        <v>428</v>
      </c>
      <c r="C5" s="38" t="s">
        <v>429</v>
      </c>
      <c r="D5" s="39" t="s">
        <v>150</v>
      </c>
      <c r="E5" s="40">
        <f>(30+8)*1.2*0.1+(30+22+30)*2.1*0.1+((30+8)*1.2+(30+22+30)*2.1)*0.375-3.14*0.32*0.32*202/2</f>
        <v>70.98</v>
      </c>
      <c r="F5" s="17">
        <v>60</v>
      </c>
      <c r="G5" s="20">
        <v>400</v>
      </c>
      <c r="H5" s="41">
        <v>50</v>
      </c>
      <c r="I5" s="50">
        <f>(F5+G5+H5)*0.12</f>
        <v>61.2</v>
      </c>
      <c r="J5" s="50">
        <f>SUM(F5:I5)*0.03</f>
        <v>17.14</v>
      </c>
      <c r="K5" s="32">
        <f>F5+G5+H5+I5+J5</f>
        <v>588.34</v>
      </c>
      <c r="L5" s="51">
        <f t="shared" ref="L5:L14" si="0">K5*E5</f>
        <v>41760.37</v>
      </c>
      <c r="M5" s="36" t="s">
        <v>430</v>
      </c>
    </row>
    <row r="6" s="2" customFormat="1" ht="48" customHeight="1" spans="1:15">
      <c r="A6" s="14">
        <v>2</v>
      </c>
      <c r="B6" s="14" t="s">
        <v>431</v>
      </c>
      <c r="C6" s="15" t="s">
        <v>432</v>
      </c>
      <c r="D6" s="16" t="s">
        <v>141</v>
      </c>
      <c r="E6" s="42">
        <v>202</v>
      </c>
      <c r="F6" s="43">
        <v>55</v>
      </c>
      <c r="G6" s="43">
        <v>155</v>
      </c>
      <c r="H6" s="43">
        <v>35</v>
      </c>
      <c r="I6" s="52">
        <f>((F6+G6+H6)*0.06)*0.7103839320882</f>
        <v>10.44</v>
      </c>
      <c r="J6" s="32">
        <f>(F6+G6+H6+I6)*0.03</f>
        <v>7.66</v>
      </c>
      <c r="K6" s="32">
        <f>SUM(F6:J6)</f>
        <v>263.1</v>
      </c>
      <c r="L6" s="51">
        <f t="shared" si="0"/>
        <v>53146.2</v>
      </c>
      <c r="M6" s="31" t="s">
        <v>433</v>
      </c>
      <c r="N6" s="3"/>
      <c r="O6" s="53"/>
    </row>
    <row r="7" s="2" customFormat="1" ht="39" customHeight="1" spans="1:18">
      <c r="A7" s="14">
        <v>3</v>
      </c>
      <c r="B7" s="44" t="s">
        <v>434</v>
      </c>
      <c r="C7" s="37" t="s">
        <v>435</v>
      </c>
      <c r="D7" s="23" t="s">
        <v>436</v>
      </c>
      <c r="E7" s="23">
        <v>3</v>
      </c>
      <c r="F7" s="23"/>
      <c r="G7" s="23"/>
      <c r="H7" s="17"/>
      <c r="I7" s="23"/>
      <c r="J7" s="49"/>
      <c r="K7" s="32">
        <v>2050</v>
      </c>
      <c r="L7" s="32">
        <f t="shared" si="0"/>
        <v>6150</v>
      </c>
      <c r="M7" s="31" t="s">
        <v>433</v>
      </c>
      <c r="R7" s="56"/>
    </row>
    <row r="8" s="2" customFormat="1" spans="1:18">
      <c r="A8" s="14">
        <v>4</v>
      </c>
      <c r="B8" s="44" t="s">
        <v>437</v>
      </c>
      <c r="C8" s="44" t="s">
        <v>438</v>
      </c>
      <c r="D8" s="23" t="s">
        <v>114</v>
      </c>
      <c r="E8" s="23">
        <v>2</v>
      </c>
      <c r="F8" s="23">
        <v>100</v>
      </c>
      <c r="G8" s="23">
        <v>370</v>
      </c>
      <c r="H8" s="17">
        <v>50</v>
      </c>
      <c r="I8" s="23">
        <v>53</v>
      </c>
      <c r="J8" s="49">
        <v>17.49</v>
      </c>
      <c r="K8" s="32">
        <f>SUM(F8:J8)</f>
        <v>590.49</v>
      </c>
      <c r="L8" s="32">
        <f t="shared" si="0"/>
        <v>1180.98</v>
      </c>
      <c r="M8" s="31" t="s">
        <v>433</v>
      </c>
      <c r="R8" s="56"/>
    </row>
    <row r="9" s="2" customFormat="1" ht="61" customHeight="1" spans="1:18">
      <c r="A9" s="14">
        <v>5</v>
      </c>
      <c r="B9" s="37" t="s">
        <v>439</v>
      </c>
      <c r="C9" s="15" t="s">
        <v>440</v>
      </c>
      <c r="D9" s="16" t="s">
        <v>436</v>
      </c>
      <c r="E9" s="17">
        <v>1</v>
      </c>
      <c r="F9" s="21">
        <v>1000</v>
      </c>
      <c r="G9" s="22">
        <v>35000</v>
      </c>
      <c r="H9" s="17">
        <v>11500</v>
      </c>
      <c r="I9" s="28">
        <v>9000</v>
      </c>
      <c r="J9" s="32">
        <v>1695</v>
      </c>
      <c r="K9" s="54">
        <f>F9+G9+H9+I9+J9</f>
        <v>58195</v>
      </c>
      <c r="L9" s="32">
        <f t="shared" si="0"/>
        <v>58195</v>
      </c>
      <c r="M9" s="31" t="s">
        <v>433</v>
      </c>
      <c r="R9" s="56"/>
    </row>
    <row r="10" s="2" customFormat="1" ht="18" customHeight="1" spans="1:18">
      <c r="A10" s="45">
        <v>6</v>
      </c>
      <c r="B10" s="46" t="s">
        <v>441</v>
      </c>
      <c r="C10" s="37" t="s">
        <v>442</v>
      </c>
      <c r="D10" s="23" t="s">
        <v>155</v>
      </c>
      <c r="E10" s="23">
        <f>52*2.1+(15+8)*1.2</f>
        <v>136.8</v>
      </c>
      <c r="F10" s="23"/>
      <c r="G10" s="23"/>
      <c r="H10" s="17"/>
      <c r="I10" s="23"/>
      <c r="J10" s="49"/>
      <c r="K10" s="32">
        <v>150</v>
      </c>
      <c r="L10" s="32">
        <f t="shared" si="0"/>
        <v>20520</v>
      </c>
      <c r="M10" s="31"/>
      <c r="R10" s="56"/>
    </row>
    <row r="11" s="2" customFormat="1" ht="18" customHeight="1" spans="1:18">
      <c r="A11" s="47"/>
      <c r="B11" s="48"/>
      <c r="C11" s="37" t="s">
        <v>443</v>
      </c>
      <c r="D11" s="23" t="s">
        <v>141</v>
      </c>
      <c r="E11" s="23">
        <v>140</v>
      </c>
      <c r="F11" s="23"/>
      <c r="G11" s="23"/>
      <c r="H11" s="17"/>
      <c r="I11" s="23"/>
      <c r="J11" s="49"/>
      <c r="K11" s="32">
        <f>20*1.03</f>
        <v>20.6</v>
      </c>
      <c r="L11" s="32">
        <f t="shared" si="0"/>
        <v>2884</v>
      </c>
      <c r="M11" s="31"/>
      <c r="R11" s="56"/>
    </row>
    <row r="12" s="2" customFormat="1" ht="33.75" spans="1:18">
      <c r="A12" s="14">
        <v>7</v>
      </c>
      <c r="B12" s="16" t="s">
        <v>444</v>
      </c>
      <c r="C12" s="16" t="s">
        <v>445</v>
      </c>
      <c r="D12" s="16" t="s">
        <v>150</v>
      </c>
      <c r="E12" s="40">
        <f>(30+52)*2.1*3.05+(8+30)*1.2*3.05</f>
        <v>664.29</v>
      </c>
      <c r="F12" s="21"/>
      <c r="G12" s="22"/>
      <c r="H12" s="17"/>
      <c r="I12" s="28"/>
      <c r="J12" s="32"/>
      <c r="K12" s="54">
        <v>26.9</v>
      </c>
      <c r="L12" s="54">
        <f t="shared" si="0"/>
        <v>17869.4</v>
      </c>
      <c r="M12" s="55" t="s">
        <v>446</v>
      </c>
      <c r="R12" s="56"/>
    </row>
    <row r="13" s="2" customFormat="1" ht="29" customHeight="1" spans="1:18">
      <c r="A13" s="14">
        <v>8</v>
      </c>
      <c r="B13" s="44" t="s">
        <v>447</v>
      </c>
      <c r="C13" s="37"/>
      <c r="D13" s="39" t="s">
        <v>150</v>
      </c>
      <c r="E13" s="40">
        <f>(30+52)*2.1*2.625+(8+30)*1.2*2.625+15*1.2*0.2+30*2.1*0.2</f>
        <v>587.93</v>
      </c>
      <c r="G13" s="22"/>
      <c r="H13" s="17"/>
      <c r="I13" s="28"/>
      <c r="J13" s="32"/>
      <c r="K13" s="32">
        <v>8.5</v>
      </c>
      <c r="L13" s="32">
        <f t="shared" si="0"/>
        <v>4997.41</v>
      </c>
      <c r="M13" s="55" t="s">
        <v>448</v>
      </c>
      <c r="R13" s="56"/>
    </row>
    <row r="14" s="2" customFormat="1" ht="27" customHeight="1" spans="1:18">
      <c r="A14" s="14">
        <v>9</v>
      </c>
      <c r="B14" s="44" t="s">
        <v>449</v>
      </c>
      <c r="C14" s="37" t="s">
        <v>450</v>
      </c>
      <c r="D14" s="23" t="s">
        <v>150</v>
      </c>
      <c r="E14" s="40">
        <f>((15+8)*1.2+(30+22)*2.1)*0.25</f>
        <v>34.2</v>
      </c>
      <c r="F14" s="17">
        <v>60</v>
      </c>
      <c r="G14" s="20">
        <v>420</v>
      </c>
      <c r="H14" s="41">
        <v>50</v>
      </c>
      <c r="I14" s="50">
        <f>(F14+G14+H14)*0.12</f>
        <v>63.6</v>
      </c>
      <c r="J14" s="50">
        <f>SUM(F14:I14)*0.03</f>
        <v>17.81</v>
      </c>
      <c r="K14" s="32">
        <f>F14+G14+H14+I14+J14</f>
        <v>611.41</v>
      </c>
      <c r="L14" s="32">
        <f t="shared" si="0"/>
        <v>20910.22</v>
      </c>
      <c r="M14" s="36" t="s">
        <v>430</v>
      </c>
      <c r="R14" s="56"/>
    </row>
    <row r="15" s="2" customFormat="1" ht="24" customHeight="1" spans="1:18">
      <c r="A15" s="23" t="s">
        <v>55</v>
      </c>
      <c r="B15" s="23"/>
      <c r="C15" s="23"/>
      <c r="D15" s="23"/>
      <c r="E15" s="23"/>
      <c r="F15" s="23"/>
      <c r="G15" s="23"/>
      <c r="H15" s="17"/>
      <c r="I15" s="23"/>
      <c r="J15" s="49"/>
      <c r="K15" s="35"/>
      <c r="L15" s="54">
        <f>SUM(L5:L14)</f>
        <v>227613.58</v>
      </c>
      <c r="M15" s="36"/>
      <c r="R15" s="56"/>
    </row>
    <row r="16" s="2" customFormat="1" spans="6:18">
      <c r="F16" s="3"/>
      <c r="G16" s="3"/>
      <c r="H16" s="3"/>
      <c r="I16" s="3"/>
      <c r="J16" s="3"/>
      <c r="K16" s="3"/>
      <c r="R16" s="56"/>
    </row>
    <row r="17" s="2" customFormat="1" spans="6:18">
      <c r="F17" s="3"/>
      <c r="G17" s="3"/>
      <c r="H17" s="3"/>
      <c r="I17" s="3"/>
      <c r="J17" s="3"/>
      <c r="K17" s="3"/>
      <c r="R17" s="56"/>
    </row>
    <row r="18" s="2" customFormat="1" spans="6:18">
      <c r="F18" s="3"/>
      <c r="G18" s="3"/>
      <c r="H18" s="3"/>
      <c r="I18" s="3"/>
      <c r="J18" s="3"/>
      <c r="K18" s="3"/>
      <c r="R18" s="56"/>
    </row>
    <row r="19" s="2" customFormat="1" spans="6:11">
      <c r="F19" s="3"/>
      <c r="G19" s="3"/>
      <c r="H19" s="3"/>
      <c r="I19" s="3"/>
      <c r="J19" s="3"/>
      <c r="K19" s="3"/>
    </row>
    <row r="20" s="2" customFormat="1" spans="6:11">
      <c r="F20" s="3"/>
      <c r="G20" s="3"/>
      <c r="H20" s="3"/>
      <c r="I20" s="3"/>
      <c r="J20" s="3"/>
      <c r="K20" s="3"/>
    </row>
    <row r="21" s="2" customFormat="1" spans="6:11">
      <c r="F21" s="3"/>
      <c r="G21" s="3"/>
      <c r="H21" s="3"/>
      <c r="I21" s="3"/>
      <c r="J21" s="3"/>
      <c r="K21" s="3"/>
    </row>
    <row r="22" s="2" customFormat="1" spans="5:11">
      <c r="E22" s="24"/>
      <c r="F22" s="3"/>
      <c r="G22" s="3"/>
      <c r="H22" s="3"/>
      <c r="I22" s="3"/>
      <c r="J22" s="3"/>
      <c r="K22" s="3"/>
    </row>
    <row r="23" s="2" customFormat="1" spans="5:11">
      <c r="E23" s="24"/>
      <c r="F23" s="3"/>
      <c r="G23" s="3"/>
      <c r="H23" s="3"/>
      <c r="I23" s="3"/>
      <c r="J23" s="3"/>
      <c r="K23" s="3"/>
    </row>
    <row r="24" s="2" customFormat="1" spans="5:11">
      <c r="E24" s="24"/>
      <c r="F24" s="3"/>
      <c r="G24" s="3"/>
      <c r="H24" s="3"/>
      <c r="I24" s="3"/>
      <c r="J24" s="3"/>
      <c r="K24" s="3"/>
    </row>
  </sheetData>
  <mergeCells count="14">
    <mergeCell ref="A1:M1"/>
    <mergeCell ref="F2:J2"/>
    <mergeCell ref="B4:C4"/>
    <mergeCell ref="A15:G15"/>
    <mergeCell ref="A2:A3"/>
    <mergeCell ref="A10:A11"/>
    <mergeCell ref="B2:B3"/>
    <mergeCell ref="B10:B11"/>
    <mergeCell ref="C2:C3"/>
    <mergeCell ref="D2:D3"/>
    <mergeCell ref="E2:E3"/>
    <mergeCell ref="K2:K3"/>
    <mergeCell ref="L2:L3"/>
    <mergeCell ref="M2:M3"/>
  </mergeCells>
  <pageMargins left="0.751388888888889" right="0.751388888888889" top="0.60625" bottom="0.409027777777778" header="0.5" footer="0.5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L11" sqref="L11"/>
    </sheetView>
  </sheetViews>
  <sheetFormatPr defaultColWidth="9" defaultRowHeight="14.25"/>
  <cols>
    <col min="1" max="1" width="3.875" style="2" customWidth="1"/>
    <col min="2" max="2" width="8.875" style="2" customWidth="1"/>
    <col min="3" max="3" width="20.625" style="2" customWidth="1"/>
    <col min="4" max="4" width="3.875" style="2" customWidth="1"/>
    <col min="5" max="6" width="7.5" style="2" customWidth="1"/>
    <col min="7" max="7" width="7.625" style="2" customWidth="1"/>
    <col min="8" max="8" width="10.125" style="2" customWidth="1"/>
    <col min="9" max="9" width="11.125" style="2" customWidth="1"/>
    <col min="10" max="10" width="10.375" style="2" customWidth="1"/>
    <col min="11" max="11" width="9" style="3"/>
    <col min="12" max="16384" width="9" style="2"/>
  </cols>
  <sheetData>
    <row r="1" s="2" customFormat="1" ht="33.95" customHeight="1" spans="1:13">
      <c r="A1" s="4" t="s">
        <v>451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21" customHeight="1" spans="1:13">
      <c r="A2" s="5" t="s">
        <v>1</v>
      </c>
      <c r="B2" s="6" t="s">
        <v>416</v>
      </c>
      <c r="C2" s="6" t="s">
        <v>417</v>
      </c>
      <c r="D2" s="6" t="s">
        <v>88</v>
      </c>
      <c r="E2" s="7" t="s">
        <v>418</v>
      </c>
      <c r="F2" s="8" t="s">
        <v>419</v>
      </c>
      <c r="G2" s="9"/>
      <c r="H2" s="9"/>
      <c r="I2" s="9"/>
      <c r="J2" s="25"/>
      <c r="K2" s="13" t="s">
        <v>420</v>
      </c>
      <c r="L2" s="13" t="s">
        <v>421</v>
      </c>
      <c r="M2" s="13" t="s">
        <v>6</v>
      </c>
    </row>
    <row r="3" s="2" customFormat="1" ht="48" customHeight="1" spans="1:13">
      <c r="A3" s="10"/>
      <c r="B3" s="11"/>
      <c r="C3" s="11"/>
      <c r="D3" s="11"/>
      <c r="E3" s="12"/>
      <c r="F3" s="13" t="s">
        <v>422</v>
      </c>
      <c r="G3" s="13" t="s">
        <v>423</v>
      </c>
      <c r="H3" s="13" t="s">
        <v>424</v>
      </c>
      <c r="I3" s="26" t="s">
        <v>425</v>
      </c>
      <c r="J3" s="26" t="s">
        <v>426</v>
      </c>
      <c r="K3" s="27"/>
      <c r="L3" s="27"/>
      <c r="M3" s="27"/>
    </row>
    <row r="4" s="2" customFormat="1" ht="33" customHeight="1" spans="1:13">
      <c r="A4" s="14">
        <v>1</v>
      </c>
      <c r="B4" s="14" t="s">
        <v>452</v>
      </c>
      <c r="C4" s="15" t="s">
        <v>453</v>
      </c>
      <c r="D4" s="16" t="s">
        <v>141</v>
      </c>
      <c r="E4" s="17">
        <f>1.4+3+4.1+5</f>
        <v>13.5</v>
      </c>
      <c r="F4" s="18"/>
      <c r="G4" s="18"/>
      <c r="H4" s="17"/>
      <c r="I4" s="28"/>
      <c r="J4" s="29"/>
      <c r="K4" s="30">
        <v>25</v>
      </c>
      <c r="L4" s="30">
        <f t="shared" ref="L4:L9" si="0">K4*E4</f>
        <v>337.5</v>
      </c>
      <c r="M4" s="31" t="s">
        <v>454</v>
      </c>
    </row>
    <row r="5" s="2" customFormat="1" ht="33.75" spans="1:13">
      <c r="A5" s="14">
        <v>2</v>
      </c>
      <c r="B5" s="14" t="s">
        <v>452</v>
      </c>
      <c r="C5" s="15" t="s">
        <v>455</v>
      </c>
      <c r="D5" s="16" t="s">
        <v>141</v>
      </c>
      <c r="E5" s="17">
        <f>4.4+5.8+5+9</f>
        <v>24.2</v>
      </c>
      <c r="F5" s="18"/>
      <c r="G5" s="18"/>
      <c r="H5" s="17"/>
      <c r="I5" s="28"/>
      <c r="J5" s="29"/>
      <c r="K5" s="30">
        <v>30</v>
      </c>
      <c r="L5" s="30">
        <f t="shared" si="0"/>
        <v>726</v>
      </c>
      <c r="M5" s="31" t="s">
        <v>454</v>
      </c>
    </row>
    <row r="6" s="2" customFormat="1" ht="33.75" spans="1:13">
      <c r="A6" s="14">
        <v>3</v>
      </c>
      <c r="B6" s="14" t="s">
        <v>452</v>
      </c>
      <c r="C6" s="15" t="s">
        <v>456</v>
      </c>
      <c r="D6" s="16" t="s">
        <v>141</v>
      </c>
      <c r="E6" s="17">
        <v>4</v>
      </c>
      <c r="F6" s="19"/>
      <c r="G6" s="19"/>
      <c r="H6" s="17"/>
      <c r="I6" s="28"/>
      <c r="J6" s="29"/>
      <c r="K6" s="30">
        <v>14.54</v>
      </c>
      <c r="L6" s="30">
        <f t="shared" si="0"/>
        <v>58.16</v>
      </c>
      <c r="M6" s="31" t="s">
        <v>433</v>
      </c>
    </row>
    <row r="7" s="2" customFormat="1" ht="33.75" spans="1:13">
      <c r="A7" s="14">
        <v>4</v>
      </c>
      <c r="B7" s="14" t="s">
        <v>452</v>
      </c>
      <c r="C7" s="15" t="s">
        <v>457</v>
      </c>
      <c r="D7" s="16" t="s">
        <v>141</v>
      </c>
      <c r="E7" s="17">
        <f>6.5+6.5</f>
        <v>13</v>
      </c>
      <c r="F7" s="19"/>
      <c r="G7" s="19"/>
      <c r="H7" s="17"/>
      <c r="I7" s="28"/>
      <c r="J7" s="29"/>
      <c r="K7" s="30">
        <f>36.65+20</f>
        <v>56.65</v>
      </c>
      <c r="L7" s="30">
        <f t="shared" si="0"/>
        <v>736.45</v>
      </c>
      <c r="M7" s="31" t="s">
        <v>433</v>
      </c>
    </row>
    <row r="8" s="2" customFormat="1" ht="33.75" spans="1:13">
      <c r="A8" s="14">
        <v>5</v>
      </c>
      <c r="B8" s="20" t="s">
        <v>444</v>
      </c>
      <c r="C8" s="16" t="s">
        <v>445</v>
      </c>
      <c r="D8" s="16" t="s">
        <v>150</v>
      </c>
      <c r="E8" s="17">
        <f>(13.5+24.2+4+13)*0.7*0.6</f>
        <v>22.97</v>
      </c>
      <c r="F8" s="21">
        <v>3</v>
      </c>
      <c r="G8" s="22"/>
      <c r="H8" s="17">
        <v>20</v>
      </c>
      <c r="I8" s="28">
        <v>2.76</v>
      </c>
      <c r="J8" s="32">
        <v>0.77</v>
      </c>
      <c r="K8" s="30">
        <f>F8+G8+H8+I8+J8</f>
        <v>26.53</v>
      </c>
      <c r="L8" s="30">
        <f t="shared" si="0"/>
        <v>609.39</v>
      </c>
      <c r="M8" s="31"/>
    </row>
    <row r="9" s="2" customFormat="1" ht="40" customHeight="1" spans="1:13">
      <c r="A9" s="14">
        <v>6</v>
      </c>
      <c r="B9" s="20" t="s">
        <v>458</v>
      </c>
      <c r="C9" s="16" t="s">
        <v>459</v>
      </c>
      <c r="D9" s="16" t="s">
        <v>150</v>
      </c>
      <c r="E9" s="17">
        <f>(13.5+24.2+4+13)*0.7*0.6</f>
        <v>22.97</v>
      </c>
      <c r="F9" s="21">
        <v>3</v>
      </c>
      <c r="G9" s="22"/>
      <c r="H9" s="17">
        <v>20</v>
      </c>
      <c r="I9" s="28">
        <v>2.76</v>
      </c>
      <c r="J9" s="32">
        <v>0.77</v>
      </c>
      <c r="K9" s="30">
        <f>F9+G9+H9+I9+J9</f>
        <v>26.53</v>
      </c>
      <c r="L9" s="30">
        <f t="shared" si="0"/>
        <v>609.39</v>
      </c>
      <c r="M9" s="31"/>
    </row>
    <row r="10" s="2" customFormat="1" ht="19" customHeight="1" spans="1:13">
      <c r="A10" s="23" t="s">
        <v>55</v>
      </c>
      <c r="B10" s="23"/>
      <c r="C10" s="23"/>
      <c r="D10" s="23"/>
      <c r="E10" s="23"/>
      <c r="F10" s="23"/>
      <c r="G10" s="23"/>
      <c r="H10" s="17"/>
      <c r="I10" s="33"/>
      <c r="J10" s="34"/>
      <c r="K10" s="35"/>
      <c r="L10" s="30">
        <f>SUM(L4:L9)</f>
        <v>3076.89</v>
      </c>
      <c r="M10" s="36"/>
    </row>
    <row r="11" s="2" customFormat="1" spans="11:11">
      <c r="K11" s="3"/>
    </row>
    <row r="12" s="2" customFormat="1" spans="11:11">
      <c r="K12" s="3"/>
    </row>
    <row r="13" s="2" customFormat="1" spans="11:11">
      <c r="K13" s="3"/>
    </row>
    <row r="14" s="2" customFormat="1" spans="11:11">
      <c r="K14" s="3"/>
    </row>
    <row r="15" s="2" customFormat="1" spans="11:11">
      <c r="K15" s="3"/>
    </row>
    <row r="16" s="2" customFormat="1" spans="11:11">
      <c r="K16" s="3"/>
    </row>
    <row r="17" s="2" customFormat="1" spans="5:11">
      <c r="E17" s="24"/>
      <c r="K17" s="3"/>
    </row>
    <row r="18" s="2" customFormat="1" spans="5:11">
      <c r="E18" s="24"/>
      <c r="K18" s="3"/>
    </row>
    <row r="19" s="2" customFormat="1" spans="5:11">
      <c r="E19" s="24"/>
      <c r="K19" s="3"/>
    </row>
  </sheetData>
  <mergeCells count="11">
    <mergeCell ref="A1:M1"/>
    <mergeCell ref="F2:J2"/>
    <mergeCell ref="A10:G10"/>
    <mergeCell ref="A2:A3"/>
    <mergeCell ref="B2:B3"/>
    <mergeCell ref="C2:C3"/>
    <mergeCell ref="D2:D3"/>
    <mergeCell ref="E2:E3"/>
    <mergeCell ref="K2:K3"/>
    <mergeCell ref="L2:L3"/>
    <mergeCell ref="M2:M3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K22" sqref="K22:K23"/>
    </sheetView>
  </sheetViews>
  <sheetFormatPr defaultColWidth="9" defaultRowHeight="14.25" outlineLevelCol="5"/>
  <cols>
    <col min="1" max="1" width="6.25" customWidth="1"/>
    <col min="2" max="2" width="16.375" customWidth="1"/>
    <col min="3" max="3" width="14.75" customWidth="1"/>
    <col min="7" max="7" width="7.5" customWidth="1"/>
    <col min="9" max="10" width="9.375"/>
    <col min="11" max="11" width="21.25" customWidth="1"/>
  </cols>
  <sheetData>
    <row r="1" ht="39" customHeight="1" spans="1:6">
      <c r="A1" s="1" t="s">
        <v>460</v>
      </c>
      <c r="B1" s="1"/>
      <c r="C1" s="1"/>
      <c r="D1" s="1"/>
      <c r="E1" s="1"/>
      <c r="F1" s="1"/>
    </row>
    <row r="2" spans="1:6">
      <c r="A2" t="s">
        <v>1</v>
      </c>
      <c r="B2" t="s">
        <v>52</v>
      </c>
      <c r="C2" t="s">
        <v>461</v>
      </c>
      <c r="D2" t="s">
        <v>462</v>
      </c>
      <c r="E2" t="s">
        <v>193</v>
      </c>
      <c r="F2" t="s">
        <v>6</v>
      </c>
    </row>
    <row r="3" spans="1:5">
      <c r="A3">
        <v>1</v>
      </c>
      <c r="B3" t="s">
        <v>463</v>
      </c>
      <c r="C3">
        <v>48</v>
      </c>
      <c r="D3">
        <f>(8.3+8.3+8.5+8.1)/4</f>
        <v>8.3</v>
      </c>
      <c r="E3">
        <f t="shared" ref="E3:E8" si="0">C3*D3</f>
        <v>398.4</v>
      </c>
    </row>
    <row r="4" spans="1:5">
      <c r="A4">
        <v>2</v>
      </c>
      <c r="B4" t="s">
        <v>464</v>
      </c>
      <c r="C4">
        <f>(64+64.5+63.1+64.4)/4</f>
        <v>64</v>
      </c>
      <c r="D4">
        <f>(47.2+48+47+46.6)/4</f>
        <v>47.2</v>
      </c>
      <c r="E4">
        <f t="shared" si="0"/>
        <v>3020.8</v>
      </c>
    </row>
    <row r="5" spans="1:5">
      <c r="A5">
        <v>3</v>
      </c>
      <c r="B5" t="s">
        <v>465</v>
      </c>
      <c r="C5">
        <v>25.6</v>
      </c>
      <c r="D5">
        <v>3.8</v>
      </c>
      <c r="E5">
        <f t="shared" si="0"/>
        <v>97.28</v>
      </c>
    </row>
    <row r="6" spans="1:5">
      <c r="A6">
        <v>4</v>
      </c>
      <c r="B6" t="s">
        <v>466</v>
      </c>
      <c r="C6">
        <f>(13.1+13+13.2+13.1)/4</f>
        <v>13.1</v>
      </c>
      <c r="D6">
        <v>22.1</v>
      </c>
      <c r="E6">
        <f t="shared" si="0"/>
        <v>289.51</v>
      </c>
    </row>
    <row r="7" spans="1:5">
      <c r="A7">
        <v>5</v>
      </c>
      <c r="B7" t="s">
        <v>467</v>
      </c>
      <c r="C7">
        <f>(10+17.5)/2</f>
        <v>13.75</v>
      </c>
      <c r="D7">
        <v>11</v>
      </c>
      <c r="E7">
        <f t="shared" si="0"/>
        <v>151.25</v>
      </c>
    </row>
    <row r="8" spans="1:5">
      <c r="A8">
        <v>6</v>
      </c>
      <c r="B8" t="s">
        <v>468</v>
      </c>
      <c r="C8">
        <f>(8+4.5)/2</f>
        <v>6.25</v>
      </c>
      <c r="D8">
        <v>13.4</v>
      </c>
      <c r="E8">
        <f t="shared" si="0"/>
        <v>83.75</v>
      </c>
    </row>
    <row r="9" spans="2:5">
      <c r="B9" t="s">
        <v>193</v>
      </c>
      <c r="E9">
        <f>SUM(E3:E8)</f>
        <v>4040.99</v>
      </c>
    </row>
    <row r="10" spans="2:2">
      <c r="B10" t="s">
        <v>469</v>
      </c>
    </row>
    <row r="11" spans="2:5">
      <c r="B11" t="s">
        <v>470</v>
      </c>
      <c r="C11">
        <v>11.3</v>
      </c>
      <c r="D11">
        <v>21</v>
      </c>
      <c r="E11">
        <f>C11*D11/2</f>
        <v>118.65</v>
      </c>
    </row>
    <row r="12" spans="2:5">
      <c r="B12" t="s">
        <v>471</v>
      </c>
      <c r="C12">
        <f>(7.8+19)/2</f>
        <v>13.4</v>
      </c>
      <c r="D12">
        <v>17</v>
      </c>
      <c r="E12">
        <f>C12*D12</f>
        <v>227.8</v>
      </c>
    </row>
    <row r="13" spans="5:5">
      <c r="E13">
        <f>SUM(E11:E12)</f>
        <v>346.45</v>
      </c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8" sqref="K28"/>
    </sheetView>
  </sheetViews>
  <sheetFormatPr defaultColWidth="9" defaultRowHeight="14.25"/>
  <sheetData/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4" workbookViewId="0">
      <selection activeCell="E25" sqref="E25:H25"/>
    </sheetView>
  </sheetViews>
  <sheetFormatPr defaultColWidth="9" defaultRowHeight="14.25" outlineLevelCol="7"/>
  <cols>
    <col min="3" max="3" width="3.25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136" t="s">
        <v>47</v>
      </c>
      <c r="B1" s="136"/>
      <c r="C1" s="136"/>
      <c r="D1" s="136"/>
      <c r="E1" s="136"/>
      <c r="F1" s="136"/>
      <c r="G1" s="136"/>
      <c r="H1" s="136"/>
    </row>
    <row r="2" ht="31.9" customHeight="1" spans="1:8">
      <c r="A2" s="137" t="s">
        <v>48</v>
      </c>
      <c r="B2" s="137"/>
      <c r="C2" s="137"/>
      <c r="D2" s="137"/>
      <c r="E2" s="137"/>
      <c r="F2" s="137"/>
      <c r="G2" s="137"/>
      <c r="H2" s="137"/>
    </row>
    <row r="3" ht="23.25" customHeight="1" spans="1:8">
      <c r="A3" s="137" t="s">
        <v>49</v>
      </c>
      <c r="B3" s="137"/>
      <c r="C3" s="137"/>
      <c r="D3" s="137"/>
      <c r="E3" s="137"/>
      <c r="F3" s="137"/>
      <c r="G3" s="137"/>
      <c r="H3" s="137"/>
    </row>
    <row r="4" ht="25.5" customHeight="1" spans="1:8">
      <c r="A4" s="137" t="s">
        <v>50</v>
      </c>
      <c r="B4" s="137"/>
      <c r="C4" s="137"/>
      <c r="D4" s="137"/>
      <c r="E4" s="137"/>
      <c r="F4" s="137"/>
      <c r="G4" s="137"/>
      <c r="H4" s="137"/>
    </row>
    <row r="5" ht="30" customHeight="1" spans="1:8">
      <c r="A5" s="138" t="s">
        <v>51</v>
      </c>
      <c r="B5" s="138"/>
      <c r="C5" s="138"/>
      <c r="D5" s="138"/>
      <c r="E5" s="138"/>
      <c r="F5" s="138"/>
      <c r="G5" s="138"/>
      <c r="H5" s="138"/>
    </row>
    <row r="6" ht="20.25" customHeight="1" spans="1:8">
      <c r="A6" s="139" t="s">
        <v>1</v>
      </c>
      <c r="B6" s="140" t="s">
        <v>52</v>
      </c>
      <c r="C6" s="141"/>
      <c r="D6" s="142"/>
      <c r="E6" s="142" t="s">
        <v>53</v>
      </c>
      <c r="F6" s="142" t="s">
        <v>54</v>
      </c>
      <c r="G6" s="142" t="s">
        <v>55</v>
      </c>
      <c r="H6" s="142" t="s">
        <v>56</v>
      </c>
    </row>
    <row r="7" ht="20.25" customHeight="1" spans="1:8">
      <c r="A7" s="143" t="s">
        <v>57</v>
      </c>
      <c r="B7" s="144" t="s">
        <v>58</v>
      </c>
      <c r="C7" s="145"/>
      <c r="D7" s="146"/>
      <c r="E7" s="147"/>
      <c r="F7" s="147"/>
      <c r="G7" s="147"/>
      <c r="H7" s="148">
        <f>H8+H10+H11+H12</f>
        <v>1206000</v>
      </c>
    </row>
    <row r="8" ht="20.25" customHeight="1" spans="1:8">
      <c r="A8" s="149">
        <v>1.1</v>
      </c>
      <c r="B8" s="150" t="s">
        <v>59</v>
      </c>
      <c r="C8" s="151"/>
      <c r="D8" s="152"/>
      <c r="E8" s="147"/>
      <c r="F8" s="147"/>
      <c r="G8" s="147"/>
      <c r="H8" s="148">
        <f>'4、各月结算汇总'!G31</f>
        <v>1206167.1</v>
      </c>
    </row>
    <row r="9" ht="20.25" customHeight="1" spans="1:8">
      <c r="A9" s="149">
        <v>1.2</v>
      </c>
      <c r="B9" s="150" t="s">
        <v>60</v>
      </c>
      <c r="C9" s="151"/>
      <c r="D9" s="152"/>
      <c r="E9" s="147"/>
      <c r="F9" s="147"/>
      <c r="G9" s="147"/>
      <c r="H9" s="147"/>
    </row>
    <row r="10" ht="20.25" customHeight="1" spans="1:8">
      <c r="A10" s="149">
        <v>1.3</v>
      </c>
      <c r="B10" s="150" t="s">
        <v>61</v>
      </c>
      <c r="C10" s="151"/>
      <c r="D10" s="152"/>
      <c r="E10" s="147"/>
      <c r="F10" s="147"/>
      <c r="G10" s="147"/>
      <c r="H10" s="147"/>
    </row>
    <row r="11" ht="20.25" customHeight="1" spans="1:8">
      <c r="A11" s="149">
        <v>1.4</v>
      </c>
      <c r="B11" s="150" t="s">
        <v>62</v>
      </c>
      <c r="C11" s="151"/>
      <c r="D11" s="152"/>
      <c r="E11" s="147"/>
      <c r="F11" s="147"/>
      <c r="G11" s="147"/>
      <c r="H11" s="148"/>
    </row>
    <row r="12" ht="20.25" customHeight="1" spans="1:8">
      <c r="A12" s="149">
        <v>1.5</v>
      </c>
      <c r="B12" s="150" t="s">
        <v>63</v>
      </c>
      <c r="C12" s="151"/>
      <c r="D12" s="152"/>
      <c r="E12" s="153"/>
      <c r="F12" s="154"/>
      <c r="G12" s="147"/>
      <c r="H12" s="148">
        <f>'4、各月结算汇总'!G32-'4、各月结算汇总'!G31</f>
        <v>-167.1</v>
      </c>
    </row>
    <row r="13" ht="20.25" customHeight="1" spans="1:8">
      <c r="A13" s="143" t="s">
        <v>64</v>
      </c>
      <c r="B13" s="144" t="s">
        <v>65</v>
      </c>
      <c r="C13" s="145"/>
      <c r="D13" s="146"/>
      <c r="E13" s="150"/>
      <c r="F13" s="152"/>
      <c r="G13" s="147"/>
      <c r="H13" s="147"/>
    </row>
    <row r="14" ht="20.25" customHeight="1" spans="1:8">
      <c r="A14" s="149">
        <v>2.1</v>
      </c>
      <c r="B14" s="150" t="s">
        <v>66</v>
      </c>
      <c r="C14" s="151"/>
      <c r="D14" s="152"/>
      <c r="E14" s="150"/>
      <c r="F14" s="152"/>
      <c r="G14" s="147"/>
      <c r="H14" s="147"/>
    </row>
    <row r="15" ht="20.25" customHeight="1" spans="1:8">
      <c r="A15" s="149">
        <v>2.2</v>
      </c>
      <c r="B15" s="150" t="s">
        <v>66</v>
      </c>
      <c r="C15" s="151"/>
      <c r="D15" s="152"/>
      <c r="E15" s="150"/>
      <c r="F15" s="152"/>
      <c r="G15" s="147"/>
      <c r="H15" s="147"/>
    </row>
    <row r="16" ht="20.25" customHeight="1" spans="1:8">
      <c r="A16" s="155" t="s">
        <v>67</v>
      </c>
      <c r="B16" s="156" t="s">
        <v>68</v>
      </c>
      <c r="C16" s="157"/>
      <c r="D16" s="147" t="s">
        <v>69</v>
      </c>
      <c r="E16" s="158">
        <f>H7</f>
        <v>1206000</v>
      </c>
      <c r="F16" s="159"/>
      <c r="G16" s="159"/>
      <c r="H16" s="160"/>
    </row>
    <row r="17" ht="20.25" customHeight="1" spans="1:8">
      <c r="A17" s="143"/>
      <c r="B17" s="161"/>
      <c r="C17" s="162"/>
      <c r="D17" s="163" t="s">
        <v>70</v>
      </c>
      <c r="E17" s="164">
        <f>E16</f>
        <v>1206000</v>
      </c>
      <c r="F17" s="165"/>
      <c r="G17" s="165"/>
      <c r="H17" s="166"/>
    </row>
    <row r="18" ht="20.25" customHeight="1" spans="1:8">
      <c r="A18" s="143" t="s">
        <v>71</v>
      </c>
      <c r="B18" s="144" t="s">
        <v>72</v>
      </c>
      <c r="C18" s="145"/>
      <c r="D18" s="146"/>
      <c r="E18" s="150">
        <v>0</v>
      </c>
      <c r="F18" s="151"/>
      <c r="G18" s="151"/>
      <c r="H18" s="152"/>
    </row>
    <row r="19" ht="20.25" customHeight="1" spans="1:8">
      <c r="A19" s="149">
        <v>4.1</v>
      </c>
      <c r="B19" s="150" t="s">
        <v>73</v>
      </c>
      <c r="C19" s="151"/>
      <c r="D19" s="152"/>
      <c r="E19" s="150">
        <v>0</v>
      </c>
      <c r="F19" s="151"/>
      <c r="G19" s="151"/>
      <c r="H19" s="152"/>
    </row>
    <row r="20" ht="20.25" customHeight="1" spans="1:8">
      <c r="A20" s="149">
        <v>4.2</v>
      </c>
      <c r="B20" s="150" t="s">
        <v>74</v>
      </c>
      <c r="C20" s="151"/>
      <c r="D20" s="152"/>
      <c r="E20" s="150">
        <v>0</v>
      </c>
      <c r="F20" s="151"/>
      <c r="G20" s="151"/>
      <c r="H20" s="152"/>
    </row>
    <row r="21" ht="20.25" customHeight="1" spans="1:8">
      <c r="A21" s="143" t="s">
        <v>75</v>
      </c>
      <c r="B21" s="144" t="s">
        <v>76</v>
      </c>
      <c r="C21" s="145"/>
      <c r="D21" s="146"/>
      <c r="E21" s="150">
        <v>0</v>
      </c>
      <c r="F21" s="151"/>
      <c r="G21" s="151"/>
      <c r="H21" s="152"/>
    </row>
    <row r="22" ht="20.25" customHeight="1" spans="1:8">
      <c r="A22" s="149">
        <v>5.1</v>
      </c>
      <c r="B22" s="150" t="s">
        <v>77</v>
      </c>
      <c r="C22" s="151"/>
      <c r="D22" s="152"/>
      <c r="E22" s="150" t="s">
        <v>78</v>
      </c>
      <c r="F22" s="151"/>
      <c r="G22" s="151"/>
      <c r="H22" s="152"/>
    </row>
    <row r="23" ht="20.25" customHeight="1" spans="1:8">
      <c r="A23" s="149">
        <v>5.2</v>
      </c>
      <c r="B23" s="150" t="s">
        <v>79</v>
      </c>
      <c r="C23" s="151"/>
      <c r="D23" s="152"/>
      <c r="E23" s="150" t="s">
        <v>78</v>
      </c>
      <c r="F23" s="151"/>
      <c r="G23" s="151"/>
      <c r="H23" s="152"/>
    </row>
    <row r="24" ht="20.25" customHeight="1" spans="1:8">
      <c r="A24" s="155" t="s">
        <v>80</v>
      </c>
      <c r="B24" s="167" t="s">
        <v>81</v>
      </c>
      <c r="C24" s="150" t="s">
        <v>69</v>
      </c>
      <c r="D24" s="152"/>
      <c r="E24" s="158">
        <f>E16</f>
        <v>1206000</v>
      </c>
      <c r="F24" s="151"/>
      <c r="G24" s="151"/>
      <c r="H24" s="152"/>
    </row>
    <row r="25" ht="20.25" customHeight="1" spans="1:8">
      <c r="A25" s="143"/>
      <c r="B25" s="168"/>
      <c r="C25" s="150" t="s">
        <v>70</v>
      </c>
      <c r="D25" s="152"/>
      <c r="E25" s="164">
        <f>E17</f>
        <v>1206000</v>
      </c>
      <c r="F25" s="165"/>
      <c r="G25" s="165"/>
      <c r="H25" s="166"/>
    </row>
    <row r="26" ht="20.25" customHeight="1" spans="1:8">
      <c r="A26" s="155" t="s">
        <v>82</v>
      </c>
      <c r="B26" s="167" t="s">
        <v>83</v>
      </c>
      <c r="C26" s="150" t="s">
        <v>69</v>
      </c>
      <c r="D26" s="152"/>
      <c r="E26" s="158">
        <f>E24</f>
        <v>1206000</v>
      </c>
      <c r="F26" s="151"/>
      <c r="G26" s="151"/>
      <c r="H26" s="152"/>
    </row>
    <row r="27" ht="20.25" customHeight="1" spans="1:8">
      <c r="A27" s="143"/>
      <c r="B27" s="168"/>
      <c r="C27" s="150" t="s">
        <v>70</v>
      </c>
      <c r="D27" s="152"/>
      <c r="E27" s="164">
        <f>E17</f>
        <v>1206000</v>
      </c>
      <c r="F27" s="165"/>
      <c r="G27" s="165"/>
      <c r="H27" s="166"/>
    </row>
    <row r="28" spans="1:8">
      <c r="A28" s="169"/>
      <c r="B28" s="169"/>
      <c r="C28" s="169"/>
      <c r="D28" s="169"/>
      <c r="E28" s="169"/>
      <c r="F28" s="169"/>
      <c r="G28" s="169"/>
      <c r="H28" s="169"/>
    </row>
    <row r="29" spans="1:8">
      <c r="A29" s="170" t="s">
        <v>84</v>
      </c>
      <c r="B29" s="170"/>
      <c r="C29" s="170"/>
      <c r="D29" s="170"/>
      <c r="E29" s="170"/>
      <c r="F29" s="170"/>
      <c r="G29" s="170"/>
      <c r="H29" s="170"/>
    </row>
    <row r="30" spans="1:1">
      <c r="A30" s="171"/>
    </row>
    <row r="31" spans="1:1">
      <c r="A31" s="171"/>
    </row>
    <row r="32" spans="1:8">
      <c r="A32" s="170" t="s">
        <v>85</v>
      </c>
      <c r="B32" s="170"/>
      <c r="C32" s="170"/>
      <c r="D32" s="170"/>
      <c r="E32" s="170"/>
      <c r="F32" s="170"/>
      <c r="G32" s="170"/>
      <c r="H32" s="170"/>
    </row>
    <row r="33" spans="1:1">
      <c r="A33" s="171"/>
    </row>
    <row r="34" ht="27" customHeight="1" spans="1:8">
      <c r="A34" s="172"/>
      <c r="B34" s="172"/>
      <c r="C34" s="172"/>
      <c r="D34" s="172"/>
      <c r="E34" s="172"/>
      <c r="F34" s="172"/>
      <c r="G34" s="172"/>
      <c r="H34" s="172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B3" sqref="B3:C10"/>
    </sheetView>
  </sheetViews>
  <sheetFormatPr defaultColWidth="9" defaultRowHeight="14.25" outlineLevelCol="7"/>
  <cols>
    <col min="1" max="1" width="3.625" style="1" customWidth="1"/>
    <col min="2" max="2" width="10.75" customWidth="1"/>
    <col min="3" max="3" width="14.375" customWidth="1"/>
    <col min="4" max="4" width="5.375" style="57" customWidth="1"/>
    <col min="5" max="5" width="5.125" customWidth="1"/>
    <col min="6" max="6" width="9.125" customWidth="1"/>
    <col min="7" max="7" width="12.375" customWidth="1"/>
    <col min="8" max="8" width="19.875" customWidth="1"/>
  </cols>
  <sheetData>
    <row r="1" ht="30" customHeight="1" spans="1:8">
      <c r="A1" s="59" t="s">
        <v>86</v>
      </c>
      <c r="B1" s="59"/>
      <c r="C1" s="59"/>
      <c r="D1" s="59"/>
      <c r="E1" s="59"/>
      <c r="F1" s="59"/>
      <c r="G1" s="59"/>
      <c r="H1" s="59"/>
    </row>
    <row r="2" ht="28" customHeight="1" spans="1:8">
      <c r="A2" s="60" t="s">
        <v>1</v>
      </c>
      <c r="B2" s="60" t="s">
        <v>52</v>
      </c>
      <c r="C2" s="60" t="s">
        <v>87</v>
      </c>
      <c r="D2" s="60" t="s">
        <v>88</v>
      </c>
      <c r="E2" s="60" t="s">
        <v>89</v>
      </c>
      <c r="F2" s="60" t="s">
        <v>90</v>
      </c>
      <c r="G2" s="60" t="s">
        <v>91</v>
      </c>
      <c r="H2" s="61" t="s">
        <v>6</v>
      </c>
    </row>
    <row r="3" s="1" customFormat="1" spans="1:8">
      <c r="A3" s="118" t="s">
        <v>57</v>
      </c>
      <c r="B3" s="119" t="s">
        <v>92</v>
      </c>
      <c r="C3" s="120"/>
      <c r="D3" s="94" t="s">
        <v>93</v>
      </c>
      <c r="E3" s="118">
        <v>1</v>
      </c>
      <c r="F3" s="118">
        <f>'5 、2024年10月结算明细表'!G59</f>
        <v>195000</v>
      </c>
      <c r="G3" s="118">
        <f>E3*F3</f>
        <v>195000</v>
      </c>
      <c r="H3" s="118"/>
    </row>
    <row r="4" spans="1:8">
      <c r="A4" s="118" t="s">
        <v>64</v>
      </c>
      <c r="B4" s="119" t="s">
        <v>94</v>
      </c>
      <c r="C4" s="120"/>
      <c r="D4" s="94" t="s">
        <v>93</v>
      </c>
      <c r="E4" s="118">
        <v>1</v>
      </c>
      <c r="F4" s="118">
        <f>'6、2024年11月结算明细表'!G18</f>
        <v>46800</v>
      </c>
      <c r="G4" s="118">
        <f>E4*F4</f>
        <v>46800</v>
      </c>
      <c r="H4" s="118"/>
    </row>
    <row r="5" spans="1:8">
      <c r="A5" s="118" t="s">
        <v>67</v>
      </c>
      <c r="B5" s="119" t="s">
        <v>95</v>
      </c>
      <c r="C5" s="120"/>
      <c r="D5" s="94" t="s">
        <v>93</v>
      </c>
      <c r="E5" s="118">
        <v>1</v>
      </c>
      <c r="F5" s="118">
        <f>'2024年12月'!G30</f>
        <v>62500</v>
      </c>
      <c r="G5" s="118">
        <f>E5*F5</f>
        <v>62500</v>
      </c>
      <c r="H5" s="121"/>
    </row>
    <row r="6" spans="1:8">
      <c r="A6" s="118" t="s">
        <v>71</v>
      </c>
      <c r="B6" s="119" t="s">
        <v>96</v>
      </c>
      <c r="C6" s="120"/>
      <c r="D6" s="94" t="s">
        <v>93</v>
      </c>
      <c r="E6" s="118">
        <v>1</v>
      </c>
      <c r="F6" s="118">
        <f>'2025年2月'!G18</f>
        <v>184300</v>
      </c>
      <c r="G6" s="118">
        <f>E6*F6</f>
        <v>184300</v>
      </c>
      <c r="H6" s="121"/>
    </row>
    <row r="7" spans="1:8">
      <c r="A7" s="118" t="s">
        <v>75</v>
      </c>
      <c r="B7" s="119" t="s">
        <v>97</v>
      </c>
      <c r="C7" s="120"/>
      <c r="D7" s="94" t="s">
        <v>93</v>
      </c>
      <c r="E7" s="118">
        <v>1</v>
      </c>
      <c r="F7" s="118">
        <f>'2025年3月'!G22</f>
        <v>203500</v>
      </c>
      <c r="G7" s="118">
        <f>E7*F7</f>
        <v>203500</v>
      </c>
      <c r="H7" s="121"/>
    </row>
    <row r="8" spans="1:8">
      <c r="A8" s="118" t="s">
        <v>80</v>
      </c>
      <c r="B8" s="119" t="s">
        <v>98</v>
      </c>
      <c r="C8" s="120"/>
      <c r="D8" s="94" t="s">
        <v>93</v>
      </c>
      <c r="E8" s="118">
        <v>1</v>
      </c>
      <c r="F8" s="118">
        <f>'2025年4月'!G61</f>
        <v>247700</v>
      </c>
      <c r="G8" s="118">
        <f>'2025年4月'!G61</f>
        <v>247700</v>
      </c>
      <c r="H8" s="121"/>
    </row>
    <row r="9" spans="1:8">
      <c r="A9" s="118" t="s">
        <v>82</v>
      </c>
      <c r="B9" s="119" t="s">
        <v>99</v>
      </c>
      <c r="C9" s="120"/>
      <c r="D9" s="94" t="s">
        <v>93</v>
      </c>
      <c r="E9" s="118">
        <v>1</v>
      </c>
      <c r="F9" s="118">
        <f>'2025年6月'!G30</f>
        <v>201000</v>
      </c>
      <c r="G9" s="118">
        <f>E9*F9</f>
        <v>201000</v>
      </c>
      <c r="H9" s="121"/>
    </row>
    <row r="10" spans="1:8">
      <c r="A10" s="118" t="s">
        <v>100</v>
      </c>
      <c r="B10" s="119" t="s">
        <v>101</v>
      </c>
      <c r="C10" s="120"/>
      <c r="D10" s="116"/>
      <c r="E10" s="121"/>
      <c r="F10" s="118"/>
      <c r="G10" s="121"/>
      <c r="H10" s="121"/>
    </row>
    <row r="11" spans="1:8">
      <c r="A11" s="118">
        <v>1</v>
      </c>
      <c r="B11" s="94" t="s">
        <v>102</v>
      </c>
      <c r="C11" s="71" t="s">
        <v>103</v>
      </c>
      <c r="D11" s="94" t="s">
        <v>93</v>
      </c>
      <c r="E11" s="118">
        <v>1</v>
      </c>
      <c r="F11" s="118">
        <v>20000</v>
      </c>
      <c r="G11" s="118">
        <f t="shared" ref="G11:G20" si="0">F11*E11</f>
        <v>20000</v>
      </c>
      <c r="H11" s="121"/>
    </row>
    <row r="12" spans="1:8">
      <c r="A12" s="118"/>
      <c r="B12" s="94"/>
      <c r="C12" s="71" t="s">
        <v>104</v>
      </c>
      <c r="D12" s="94" t="s">
        <v>93</v>
      </c>
      <c r="E12" s="118">
        <v>1</v>
      </c>
      <c r="F12" s="118">
        <v>2000</v>
      </c>
      <c r="G12" s="118">
        <f t="shared" si="0"/>
        <v>2000</v>
      </c>
      <c r="H12" s="121"/>
    </row>
    <row r="13" ht="24" spans="1:8">
      <c r="A13" s="118"/>
      <c r="B13" s="94"/>
      <c r="C13" s="71" t="s">
        <v>105</v>
      </c>
      <c r="D13" s="94" t="s">
        <v>93</v>
      </c>
      <c r="E13" s="118">
        <v>1</v>
      </c>
      <c r="F13" s="118">
        <v>1900</v>
      </c>
      <c r="G13" s="118">
        <f t="shared" si="0"/>
        <v>1900</v>
      </c>
      <c r="H13" s="121"/>
    </row>
    <row r="14" spans="1:8">
      <c r="A14" s="118"/>
      <c r="B14" s="94"/>
      <c r="C14" s="122" t="s">
        <v>106</v>
      </c>
      <c r="D14" s="94" t="s">
        <v>93</v>
      </c>
      <c r="E14" s="118">
        <v>1</v>
      </c>
      <c r="F14" s="118">
        <v>1400</v>
      </c>
      <c r="G14" s="118">
        <f t="shared" si="0"/>
        <v>1400</v>
      </c>
      <c r="H14" s="121"/>
    </row>
    <row r="15" spans="1:8">
      <c r="A15" s="118"/>
      <c r="B15" s="94"/>
      <c r="C15" s="122" t="s">
        <v>107</v>
      </c>
      <c r="D15" s="94" t="s">
        <v>108</v>
      </c>
      <c r="E15" s="118">
        <v>4</v>
      </c>
      <c r="F15" s="118">
        <v>120</v>
      </c>
      <c r="G15" s="118">
        <f t="shared" si="0"/>
        <v>480</v>
      </c>
      <c r="H15" s="121"/>
    </row>
    <row r="16" ht="24" spans="1:8">
      <c r="A16" s="118"/>
      <c r="B16" s="94"/>
      <c r="C16" s="71" t="s">
        <v>109</v>
      </c>
      <c r="D16" s="94" t="s">
        <v>93</v>
      </c>
      <c r="E16" s="118">
        <v>1</v>
      </c>
      <c r="F16" s="118">
        <v>600</v>
      </c>
      <c r="G16" s="118">
        <f t="shared" si="0"/>
        <v>600</v>
      </c>
      <c r="H16" s="121"/>
    </row>
    <row r="17" spans="1:8">
      <c r="A17" s="118"/>
      <c r="B17" s="94"/>
      <c r="C17" s="122" t="s">
        <v>110</v>
      </c>
      <c r="D17" s="94" t="s">
        <v>108</v>
      </c>
      <c r="E17" s="118">
        <v>3</v>
      </c>
      <c r="F17" s="118">
        <v>200</v>
      </c>
      <c r="G17" s="118">
        <f t="shared" si="0"/>
        <v>600</v>
      </c>
      <c r="H17" s="121"/>
    </row>
    <row r="18" ht="36" spans="1:8">
      <c r="A18" s="123">
        <v>2</v>
      </c>
      <c r="B18" s="124" t="s">
        <v>111</v>
      </c>
      <c r="C18" s="125" t="s">
        <v>112</v>
      </c>
      <c r="D18" s="124" t="s">
        <v>93</v>
      </c>
      <c r="E18" s="121">
        <v>1</v>
      </c>
      <c r="F18" s="118">
        <v>13500</v>
      </c>
      <c r="G18" s="118">
        <f t="shared" si="0"/>
        <v>13500</v>
      </c>
      <c r="H18" s="71" t="s">
        <v>113</v>
      </c>
    </row>
    <row r="19" spans="1:8">
      <c r="A19" s="126"/>
      <c r="B19" s="127"/>
      <c r="C19" s="125" t="s">
        <v>110</v>
      </c>
      <c r="D19" s="124" t="s">
        <v>114</v>
      </c>
      <c r="E19" s="121">
        <v>3</v>
      </c>
      <c r="F19" s="118">
        <v>200</v>
      </c>
      <c r="G19" s="118">
        <f t="shared" si="0"/>
        <v>600</v>
      </c>
      <c r="H19" s="71"/>
    </row>
    <row r="20" spans="1:8">
      <c r="A20" s="126"/>
      <c r="B20" s="127"/>
      <c r="C20" s="125" t="s">
        <v>115</v>
      </c>
      <c r="D20" s="124" t="s">
        <v>114</v>
      </c>
      <c r="E20" s="121">
        <v>1</v>
      </c>
      <c r="F20" s="118">
        <v>220</v>
      </c>
      <c r="G20" s="118">
        <f t="shared" si="0"/>
        <v>220</v>
      </c>
      <c r="H20" s="71"/>
    </row>
    <row r="21" spans="1:8">
      <c r="A21" s="126"/>
      <c r="B21" s="127"/>
      <c r="C21" s="125" t="s">
        <v>116</v>
      </c>
      <c r="D21" s="124" t="s">
        <v>114</v>
      </c>
      <c r="E21" s="121">
        <v>6</v>
      </c>
      <c r="F21" s="118">
        <f>G21/E21</f>
        <v>30</v>
      </c>
      <c r="G21" s="118">
        <v>180</v>
      </c>
      <c r="H21" s="71"/>
    </row>
    <row r="22" ht="33" spans="1:8">
      <c r="A22" s="118">
        <v>3</v>
      </c>
      <c r="B22" s="94" t="s">
        <v>117</v>
      </c>
      <c r="C22" s="64" t="s">
        <v>118</v>
      </c>
      <c r="D22" s="60" t="s">
        <v>114</v>
      </c>
      <c r="E22" s="60">
        <v>1</v>
      </c>
      <c r="F22" s="60">
        <v>1000</v>
      </c>
      <c r="G22" s="60">
        <f>F22*E22</f>
        <v>1000</v>
      </c>
      <c r="H22" s="71"/>
    </row>
    <row r="23" ht="36" spans="1:8">
      <c r="A23" s="118">
        <v>4</v>
      </c>
      <c r="B23" s="94" t="s">
        <v>119</v>
      </c>
      <c r="C23" s="71" t="s">
        <v>120</v>
      </c>
      <c r="D23" s="124" t="s">
        <v>93</v>
      </c>
      <c r="E23" s="121">
        <v>1</v>
      </c>
      <c r="F23" s="118">
        <v>29000</v>
      </c>
      <c r="G23" s="60">
        <f>F23*E23</f>
        <v>29000</v>
      </c>
      <c r="H23" s="71" t="s">
        <v>121</v>
      </c>
    </row>
    <row r="24" ht="36" spans="1:8">
      <c r="A24" s="118">
        <v>5</v>
      </c>
      <c r="B24" s="94" t="s">
        <v>122</v>
      </c>
      <c r="C24" s="122" t="s">
        <v>123</v>
      </c>
      <c r="D24" s="116" t="s">
        <v>93</v>
      </c>
      <c r="E24" s="121">
        <v>1</v>
      </c>
      <c r="F24" s="118">
        <v>7000</v>
      </c>
      <c r="G24" s="60">
        <f>F24*E24</f>
        <v>7000</v>
      </c>
      <c r="H24" s="71" t="s">
        <v>121</v>
      </c>
    </row>
    <row r="25" ht="33" customHeight="1" spans="1:8">
      <c r="A25" s="118">
        <v>6</v>
      </c>
      <c r="B25" s="94" t="s">
        <v>124</v>
      </c>
      <c r="C25" s="128" t="s">
        <v>125</v>
      </c>
      <c r="D25" s="128" t="s">
        <v>93</v>
      </c>
      <c r="E25" s="121">
        <v>1</v>
      </c>
      <c r="F25" s="129">
        <v>3500</v>
      </c>
      <c r="G25" s="130">
        <f>F25*E25</f>
        <v>3500</v>
      </c>
      <c r="H25" s="131" t="s">
        <v>121</v>
      </c>
    </row>
    <row r="26" ht="22" customHeight="1" spans="1:8">
      <c r="A26" s="132">
        <v>7</v>
      </c>
      <c r="B26" s="127" t="s">
        <v>126</v>
      </c>
      <c r="C26" s="128" t="s">
        <v>127</v>
      </c>
      <c r="D26" s="128" t="s">
        <v>108</v>
      </c>
      <c r="E26" s="121">
        <v>19</v>
      </c>
      <c r="F26" s="129">
        <f>330*1.08</f>
        <v>356.4</v>
      </c>
      <c r="G26" s="130">
        <f>F26*E26</f>
        <v>6771.6</v>
      </c>
      <c r="H26" s="131"/>
    </row>
    <row r="27" ht="22" customHeight="1" spans="1:8">
      <c r="A27" s="132">
        <v>8</v>
      </c>
      <c r="B27" s="127"/>
      <c r="C27" s="128" t="s">
        <v>128</v>
      </c>
      <c r="D27" s="128" t="s">
        <v>114</v>
      </c>
      <c r="E27" s="121">
        <v>20</v>
      </c>
      <c r="F27" s="129">
        <f>G27/E27</f>
        <v>18</v>
      </c>
      <c r="G27" s="130">
        <v>360</v>
      </c>
      <c r="H27" s="131"/>
    </row>
    <row r="28" ht="36" customHeight="1" spans="1:8">
      <c r="A28" s="132">
        <v>9</v>
      </c>
      <c r="B28" s="133"/>
      <c r="C28" s="128" t="s">
        <v>129</v>
      </c>
      <c r="D28" s="128" t="s">
        <v>130</v>
      </c>
      <c r="E28" s="121">
        <v>1</v>
      </c>
      <c r="F28" s="129">
        <v>140</v>
      </c>
      <c r="G28" s="130">
        <f>F28*E28</f>
        <v>140</v>
      </c>
      <c r="H28" s="131" t="s">
        <v>131</v>
      </c>
    </row>
    <row r="29" spans="1:8">
      <c r="A29" s="118" t="s">
        <v>75</v>
      </c>
      <c r="B29" s="121" t="s">
        <v>132</v>
      </c>
      <c r="C29" s="121"/>
      <c r="D29" s="116"/>
      <c r="E29" s="121"/>
      <c r="F29" s="121"/>
      <c r="G29" s="134">
        <f>SUM(G3:G28)</f>
        <v>1230051.6</v>
      </c>
      <c r="H29" s="121"/>
    </row>
    <row r="30" spans="1:8">
      <c r="A30" s="118" t="s">
        <v>80</v>
      </c>
      <c r="B30" s="121" t="s">
        <v>133</v>
      </c>
      <c r="C30" s="121"/>
      <c r="D30" s="116"/>
      <c r="E30" s="121"/>
      <c r="F30" s="121"/>
      <c r="G30" s="134">
        <f>G29/1.03</f>
        <v>1194224.85</v>
      </c>
      <c r="H30" s="121"/>
    </row>
    <row r="31" spans="1:8">
      <c r="A31" s="118" t="s">
        <v>82</v>
      </c>
      <c r="B31" s="121" t="s">
        <v>134</v>
      </c>
      <c r="C31" s="135">
        <v>0.01</v>
      </c>
      <c r="D31" s="116"/>
      <c r="E31" s="121"/>
      <c r="F31" s="121"/>
      <c r="G31" s="134">
        <f>G30*1.01</f>
        <v>1206167.1</v>
      </c>
      <c r="H31" s="121"/>
    </row>
    <row r="32" spans="1:8">
      <c r="A32" s="118" t="s">
        <v>100</v>
      </c>
      <c r="B32" s="121" t="s">
        <v>135</v>
      </c>
      <c r="C32" s="121"/>
      <c r="D32" s="116"/>
      <c r="E32" s="121"/>
      <c r="F32" s="121"/>
      <c r="G32" s="118">
        <v>1206000</v>
      </c>
      <c r="H32" s="121"/>
    </row>
    <row r="33" spans="2:6">
      <c r="B33" t="s">
        <v>136</v>
      </c>
      <c r="F33" t="s">
        <v>137</v>
      </c>
    </row>
  </sheetData>
  <mergeCells count="14">
    <mergeCell ref="A1:H1"/>
    <mergeCell ref="B3:C3"/>
    <mergeCell ref="B4:C4"/>
    <mergeCell ref="B5:C5"/>
    <mergeCell ref="B6:C6"/>
    <mergeCell ref="B7:C7"/>
    <mergeCell ref="B8:C8"/>
    <mergeCell ref="B9:C9"/>
    <mergeCell ref="B10:C10"/>
    <mergeCell ref="A11:A17"/>
    <mergeCell ref="A18:A21"/>
    <mergeCell ref="B11:B17"/>
    <mergeCell ref="B18:B21"/>
    <mergeCell ref="B26:B28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5"/>
  <sheetViews>
    <sheetView topLeftCell="A40" workbookViewId="0">
      <selection activeCell="A1" sqref="$A1:$XFD1048576"/>
    </sheetView>
  </sheetViews>
  <sheetFormatPr defaultColWidth="9" defaultRowHeight="14.25"/>
  <cols>
    <col min="1" max="1" width="4.125" style="57" customWidth="1"/>
    <col min="2" max="2" width="9.125" style="57" customWidth="1"/>
    <col min="3" max="3" width="21.375" style="57" customWidth="1"/>
    <col min="4" max="4" width="5.875" style="57" customWidth="1"/>
    <col min="5" max="5" width="8.875" style="57" customWidth="1"/>
    <col min="6" max="6" width="9.125" style="57" customWidth="1"/>
    <col min="7" max="7" width="10.875" style="57" customWidth="1"/>
    <col min="8" max="8" width="19.375" style="57" customWidth="1"/>
    <col min="9" max="15" width="9" style="57"/>
    <col min="16" max="16" width="16.125" style="57" customWidth="1"/>
    <col min="17" max="16384" width="9" style="57"/>
  </cols>
  <sheetData>
    <row r="1" s="57" customFormat="1" ht="40" customHeight="1" spans="1:8">
      <c r="A1" s="59" t="s">
        <v>138</v>
      </c>
      <c r="B1" s="59"/>
      <c r="C1" s="59"/>
      <c r="D1" s="59"/>
      <c r="E1" s="59"/>
      <c r="F1" s="59"/>
      <c r="G1" s="59"/>
      <c r="H1" s="59"/>
    </row>
    <row r="2" s="57" customFormat="1" ht="31" customHeight="1" spans="1:8">
      <c r="A2" s="60" t="s">
        <v>1</v>
      </c>
      <c r="B2" s="60" t="s">
        <v>52</v>
      </c>
      <c r="C2" s="60" t="s">
        <v>87</v>
      </c>
      <c r="D2" s="60" t="s">
        <v>88</v>
      </c>
      <c r="E2" s="60" t="s">
        <v>89</v>
      </c>
      <c r="F2" s="60" t="s">
        <v>90</v>
      </c>
      <c r="G2" s="60" t="s">
        <v>91</v>
      </c>
      <c r="H2" s="61" t="s">
        <v>6</v>
      </c>
    </row>
    <row r="3" s="57" customFormat="1" ht="28.5" spans="1:8">
      <c r="A3" s="80">
        <v>1</v>
      </c>
      <c r="B3" s="80" t="s">
        <v>139</v>
      </c>
      <c r="C3" s="81" t="s">
        <v>140</v>
      </c>
      <c r="D3" s="60" t="s">
        <v>141</v>
      </c>
      <c r="E3" s="60">
        <v>83.4</v>
      </c>
      <c r="F3" s="60">
        <v>40</v>
      </c>
      <c r="G3" s="60">
        <f t="shared" ref="G3:G11" si="0">F3*E3</f>
        <v>3336</v>
      </c>
      <c r="H3" s="90" t="s">
        <v>142</v>
      </c>
    </row>
    <row r="4" s="57" customFormat="1" ht="27" customHeight="1" spans="1:17">
      <c r="A4" s="80">
        <v>2</v>
      </c>
      <c r="B4" s="80" t="s">
        <v>143</v>
      </c>
      <c r="C4" s="81" t="s">
        <v>144</v>
      </c>
      <c r="D4" s="60" t="s">
        <v>93</v>
      </c>
      <c r="E4" s="60">
        <v>1</v>
      </c>
      <c r="F4" s="60">
        <v>7125</v>
      </c>
      <c r="G4" s="60">
        <f t="shared" si="0"/>
        <v>7125</v>
      </c>
      <c r="H4" s="90" t="s">
        <v>142</v>
      </c>
      <c r="J4" s="75"/>
      <c r="K4" s="75"/>
      <c r="L4" s="75"/>
      <c r="M4" s="75"/>
      <c r="N4" s="75"/>
      <c r="O4" s="75"/>
      <c r="P4" s="75"/>
      <c r="Q4" s="75"/>
    </row>
    <row r="5" s="57" customFormat="1" spans="1:17">
      <c r="A5" s="84"/>
      <c r="B5" s="84"/>
      <c r="C5" s="81" t="s">
        <v>145</v>
      </c>
      <c r="D5" s="60" t="s">
        <v>146</v>
      </c>
      <c r="E5" s="60">
        <v>1</v>
      </c>
      <c r="F5" s="60">
        <f>150*1.08</f>
        <v>162</v>
      </c>
      <c r="G5" s="60">
        <f t="shared" si="0"/>
        <v>162</v>
      </c>
      <c r="H5" s="61" t="s">
        <v>147</v>
      </c>
      <c r="J5" s="75"/>
      <c r="K5" s="75"/>
      <c r="L5" s="75"/>
      <c r="M5" s="75"/>
      <c r="N5" s="75"/>
      <c r="O5" s="75"/>
      <c r="P5" s="75"/>
      <c r="Q5" s="75"/>
    </row>
    <row r="6" s="57" customFormat="1" spans="1:8">
      <c r="A6" s="80">
        <v>3</v>
      </c>
      <c r="B6" s="80" t="s">
        <v>148</v>
      </c>
      <c r="C6" s="60" t="s">
        <v>149</v>
      </c>
      <c r="D6" s="60" t="s">
        <v>150</v>
      </c>
      <c r="E6" s="60">
        <f>246*0.2</f>
        <v>49.2</v>
      </c>
      <c r="F6" s="60">
        <v>60</v>
      </c>
      <c r="G6" s="60">
        <f t="shared" si="0"/>
        <v>2952</v>
      </c>
      <c r="H6" s="61"/>
    </row>
    <row r="7" s="57" customFormat="1" ht="28.5" spans="1:8">
      <c r="A7" s="84"/>
      <c r="B7" s="84"/>
      <c r="C7" s="60" t="s">
        <v>151</v>
      </c>
      <c r="D7" s="60" t="s">
        <v>150</v>
      </c>
      <c r="E7" s="60">
        <f>246*0.12</f>
        <v>29.52</v>
      </c>
      <c r="F7" s="60">
        <f>622.608+20</f>
        <v>642.608</v>
      </c>
      <c r="G7" s="108">
        <f t="shared" si="0"/>
        <v>18969.79</v>
      </c>
      <c r="H7" s="61" t="s">
        <v>152</v>
      </c>
    </row>
    <row r="8" s="57" customFormat="1" spans="1:8">
      <c r="A8" s="84"/>
      <c r="B8" s="84"/>
      <c r="C8" s="60" t="s">
        <v>153</v>
      </c>
      <c r="D8" s="60" t="s">
        <v>150</v>
      </c>
      <c r="E8" s="60">
        <f>30*2.5*0.3*0.6</f>
        <v>13.5</v>
      </c>
      <c r="F8" s="60">
        <f>F7</f>
        <v>642.608</v>
      </c>
      <c r="G8" s="60">
        <f t="shared" si="0"/>
        <v>8675.208</v>
      </c>
      <c r="H8" s="61"/>
    </row>
    <row r="9" s="57" customFormat="1" spans="1:8">
      <c r="A9" s="84"/>
      <c r="B9" s="84"/>
      <c r="C9" s="60" t="s">
        <v>154</v>
      </c>
      <c r="D9" s="60" t="s">
        <v>155</v>
      </c>
      <c r="E9" s="60">
        <f>30*(2.5+0.3)*2*0.6</f>
        <v>100.8</v>
      </c>
      <c r="F9" s="60">
        <v>80</v>
      </c>
      <c r="G9" s="60">
        <f t="shared" si="0"/>
        <v>8064</v>
      </c>
      <c r="H9" s="61" t="s">
        <v>147</v>
      </c>
    </row>
    <row r="10" s="57" customFormat="1" spans="1:8">
      <c r="A10" s="86"/>
      <c r="B10" s="86"/>
      <c r="C10" s="60" t="s">
        <v>156</v>
      </c>
      <c r="D10" s="60" t="s">
        <v>114</v>
      </c>
      <c r="E10" s="60">
        <v>4</v>
      </c>
      <c r="F10" s="60">
        <v>500</v>
      </c>
      <c r="G10" s="60">
        <f t="shared" si="0"/>
        <v>2000</v>
      </c>
      <c r="H10" s="61"/>
    </row>
    <row r="11" s="57" customFormat="1" ht="16" customHeight="1" spans="1:8">
      <c r="A11" s="80">
        <v>4</v>
      </c>
      <c r="B11" s="80" t="s">
        <v>157</v>
      </c>
      <c r="C11" s="80" t="s">
        <v>158</v>
      </c>
      <c r="D11" s="80" t="s">
        <v>155</v>
      </c>
      <c r="E11" s="80">
        <f>37.5*0.8</f>
        <v>30</v>
      </c>
      <c r="F11" s="109">
        <v>180.68</v>
      </c>
      <c r="G11" s="80">
        <f t="shared" si="0"/>
        <v>5420.4</v>
      </c>
      <c r="H11" s="104" t="s">
        <v>159</v>
      </c>
    </row>
    <row r="12" s="57" customFormat="1" spans="1:8">
      <c r="A12" s="84"/>
      <c r="B12" s="84"/>
      <c r="C12" s="60"/>
      <c r="D12" s="60" t="s">
        <v>160</v>
      </c>
      <c r="E12" s="110">
        <v>0.25</v>
      </c>
      <c r="F12" s="111">
        <f t="shared" ref="F12:F25" si="1">E12*$G$11</f>
        <v>1355.1</v>
      </c>
      <c r="G12" s="80"/>
      <c r="H12" s="112" t="s">
        <v>161</v>
      </c>
    </row>
    <row r="13" s="57" customFormat="1" ht="21" spans="1:8">
      <c r="A13" s="84"/>
      <c r="B13" s="84"/>
      <c r="C13" s="60"/>
      <c r="D13" s="60"/>
      <c r="E13" s="110">
        <v>0.25</v>
      </c>
      <c r="F13" s="111">
        <f t="shared" si="1"/>
        <v>1355.1</v>
      </c>
      <c r="G13" s="80"/>
      <c r="H13" s="112" t="s">
        <v>162</v>
      </c>
    </row>
    <row r="14" s="57" customFormat="1" spans="1:8">
      <c r="A14" s="84"/>
      <c r="B14" s="84"/>
      <c r="C14" s="60"/>
      <c r="D14" s="60"/>
      <c r="E14" s="110">
        <v>0.15</v>
      </c>
      <c r="F14" s="111">
        <f t="shared" si="1"/>
        <v>813.06</v>
      </c>
      <c r="G14" s="80"/>
      <c r="H14" s="112" t="s">
        <v>163</v>
      </c>
    </row>
    <row r="15" s="57" customFormat="1" ht="21" spans="1:8">
      <c r="A15" s="84"/>
      <c r="B15" s="84"/>
      <c r="C15" s="60"/>
      <c r="D15" s="60"/>
      <c r="E15" s="110">
        <v>0.04</v>
      </c>
      <c r="F15" s="111">
        <f t="shared" si="1"/>
        <v>216.816</v>
      </c>
      <c r="G15" s="80"/>
      <c r="H15" s="112" t="s">
        <v>164</v>
      </c>
    </row>
    <row r="16" s="57" customFormat="1" spans="1:8">
      <c r="A16" s="84"/>
      <c r="B16" s="84"/>
      <c r="C16" s="60"/>
      <c r="D16" s="60"/>
      <c r="E16" s="110">
        <v>0.04</v>
      </c>
      <c r="F16" s="111">
        <f t="shared" si="1"/>
        <v>216.816</v>
      </c>
      <c r="G16" s="80"/>
      <c r="H16" s="113" t="s">
        <v>165</v>
      </c>
    </row>
    <row r="17" s="57" customFormat="1" ht="21" spans="1:8">
      <c r="A17" s="84"/>
      <c r="B17" s="84"/>
      <c r="C17" s="60"/>
      <c r="D17" s="60"/>
      <c r="E17" s="110">
        <v>0.03</v>
      </c>
      <c r="F17" s="111">
        <f t="shared" si="1"/>
        <v>162.612</v>
      </c>
      <c r="G17" s="80"/>
      <c r="H17" s="112" t="s">
        <v>166</v>
      </c>
    </row>
    <row r="18" s="57" customFormat="1" spans="1:8">
      <c r="A18" s="84"/>
      <c r="B18" s="84"/>
      <c r="C18" s="60"/>
      <c r="D18" s="60"/>
      <c r="E18" s="110">
        <v>0.04</v>
      </c>
      <c r="F18" s="111">
        <f t="shared" si="1"/>
        <v>216.816</v>
      </c>
      <c r="G18" s="80"/>
      <c r="H18" s="114" t="s">
        <v>167</v>
      </c>
    </row>
    <row r="19" s="57" customFormat="1" spans="1:8">
      <c r="A19" s="84"/>
      <c r="B19" s="84"/>
      <c r="C19" s="60"/>
      <c r="D19" s="60"/>
      <c r="E19" s="110">
        <v>0.04</v>
      </c>
      <c r="F19" s="111">
        <f t="shared" si="1"/>
        <v>216.816</v>
      </c>
      <c r="G19" s="80"/>
      <c r="H19" s="114" t="s">
        <v>168</v>
      </c>
    </row>
    <row r="20" s="57" customFormat="1" spans="1:8">
      <c r="A20" s="84"/>
      <c r="B20" s="84"/>
      <c r="C20" s="60"/>
      <c r="D20" s="60"/>
      <c r="E20" s="110">
        <v>0.03</v>
      </c>
      <c r="F20" s="111">
        <f t="shared" si="1"/>
        <v>162.612</v>
      </c>
      <c r="G20" s="80"/>
      <c r="H20" s="115" t="s">
        <v>169</v>
      </c>
    </row>
    <row r="21" s="57" customFormat="1" spans="1:8">
      <c r="A21" s="84"/>
      <c r="B21" s="84"/>
      <c r="C21" s="60"/>
      <c r="D21" s="60"/>
      <c r="E21" s="110">
        <v>0.04</v>
      </c>
      <c r="F21" s="111">
        <f t="shared" si="1"/>
        <v>216.816</v>
      </c>
      <c r="G21" s="80"/>
      <c r="H21" s="114" t="s">
        <v>170</v>
      </c>
    </row>
    <row r="22" s="57" customFormat="1" spans="1:8">
      <c r="A22" s="84"/>
      <c r="B22" s="84"/>
      <c r="C22" s="60"/>
      <c r="D22" s="60"/>
      <c r="E22" s="110">
        <v>0.03</v>
      </c>
      <c r="F22" s="111">
        <f t="shared" si="1"/>
        <v>162.612</v>
      </c>
      <c r="G22" s="80"/>
      <c r="H22" s="114" t="s">
        <v>171</v>
      </c>
    </row>
    <row r="23" s="57" customFormat="1" spans="1:8">
      <c r="A23" s="84"/>
      <c r="B23" s="84"/>
      <c r="C23" s="60"/>
      <c r="D23" s="60"/>
      <c r="E23" s="110">
        <v>0.02</v>
      </c>
      <c r="F23" s="111">
        <f t="shared" si="1"/>
        <v>108.408</v>
      </c>
      <c r="G23" s="80"/>
      <c r="H23" s="115" t="s">
        <v>172</v>
      </c>
    </row>
    <row r="24" s="57" customFormat="1" spans="1:8">
      <c r="A24" s="84"/>
      <c r="B24" s="84"/>
      <c r="C24" s="60"/>
      <c r="D24" s="60"/>
      <c r="E24" s="110">
        <v>0.02</v>
      </c>
      <c r="F24" s="111">
        <f t="shared" si="1"/>
        <v>108.408</v>
      </c>
      <c r="G24" s="80"/>
      <c r="H24" s="114" t="s">
        <v>173</v>
      </c>
    </row>
    <row r="25" s="57" customFormat="1" ht="21" spans="1:8">
      <c r="A25" s="86"/>
      <c r="B25" s="86"/>
      <c r="C25" s="60"/>
      <c r="D25" s="60"/>
      <c r="E25" s="110">
        <v>0.02</v>
      </c>
      <c r="F25" s="111">
        <f t="shared" si="1"/>
        <v>108.408</v>
      </c>
      <c r="G25" s="60"/>
      <c r="H25" s="74" t="s">
        <v>174</v>
      </c>
    </row>
    <row r="26" s="57" customFormat="1" spans="1:8">
      <c r="A26" s="60">
        <v>5</v>
      </c>
      <c r="B26" s="60" t="s">
        <v>175</v>
      </c>
      <c r="C26" s="60" t="s">
        <v>176</v>
      </c>
      <c r="D26" s="60" t="s">
        <v>177</v>
      </c>
      <c r="E26" s="60">
        <v>386</v>
      </c>
      <c r="F26" s="108">
        <v>120</v>
      </c>
      <c r="G26" s="60">
        <f>F26*E26</f>
        <v>46320</v>
      </c>
      <c r="H26" s="74"/>
    </row>
    <row r="27" s="57" customFormat="1" spans="1:8">
      <c r="A27" s="60"/>
      <c r="B27" s="60"/>
      <c r="C27" s="60" t="s">
        <v>178</v>
      </c>
      <c r="D27" s="60" t="s">
        <v>179</v>
      </c>
      <c r="E27" s="60">
        <v>95</v>
      </c>
      <c r="F27" s="108">
        <v>330</v>
      </c>
      <c r="G27" s="60">
        <f>F27*E27</f>
        <v>31350</v>
      </c>
      <c r="H27" s="74"/>
    </row>
    <row r="28" s="57" customFormat="1" spans="1:8">
      <c r="A28" s="60"/>
      <c r="B28" s="60"/>
      <c r="C28" s="60"/>
      <c r="D28" s="60"/>
      <c r="E28" s="110">
        <v>0.33</v>
      </c>
      <c r="F28" s="60">
        <f t="shared" ref="F28:F40" si="2">($G$26+$G$27)*E28</f>
        <v>25631.1</v>
      </c>
      <c r="G28" s="108"/>
      <c r="H28" s="112" t="s">
        <v>161</v>
      </c>
    </row>
    <row r="29" s="57" customFormat="1" spans="1:8">
      <c r="A29" s="60"/>
      <c r="B29" s="60"/>
      <c r="C29" s="60"/>
      <c r="D29" s="60"/>
      <c r="E29" s="110">
        <v>0.18</v>
      </c>
      <c r="F29" s="60">
        <f t="shared" si="2"/>
        <v>13980.6</v>
      </c>
      <c r="G29" s="108"/>
      <c r="H29" s="112" t="s">
        <v>163</v>
      </c>
    </row>
    <row r="30" s="57" customFormat="1" ht="21" spans="1:8">
      <c r="A30" s="60"/>
      <c r="B30" s="60"/>
      <c r="C30" s="60"/>
      <c r="D30" s="60"/>
      <c r="E30" s="110">
        <v>0.08</v>
      </c>
      <c r="F30" s="60">
        <f t="shared" si="2"/>
        <v>6213.6</v>
      </c>
      <c r="G30" s="108"/>
      <c r="H30" s="112" t="s">
        <v>164</v>
      </c>
    </row>
    <row r="31" s="57" customFormat="1" spans="1:8">
      <c r="A31" s="60"/>
      <c r="B31" s="60"/>
      <c r="C31" s="60"/>
      <c r="D31" s="60"/>
      <c r="E31" s="110">
        <v>0.09</v>
      </c>
      <c r="F31" s="60">
        <f t="shared" si="2"/>
        <v>6990.3</v>
      </c>
      <c r="G31" s="108"/>
      <c r="H31" s="112" t="s">
        <v>165</v>
      </c>
    </row>
    <row r="32" s="57" customFormat="1" ht="21" spans="1:8">
      <c r="A32" s="60"/>
      <c r="B32" s="60"/>
      <c r="C32" s="60"/>
      <c r="D32" s="60"/>
      <c r="E32" s="110">
        <v>0.04</v>
      </c>
      <c r="F32" s="60">
        <f t="shared" si="2"/>
        <v>3106.8</v>
      </c>
      <c r="G32" s="60"/>
      <c r="H32" s="113" t="s">
        <v>166</v>
      </c>
    </row>
    <row r="33" s="57" customFormat="1" spans="1:8">
      <c r="A33" s="60"/>
      <c r="B33" s="60"/>
      <c r="C33" s="60"/>
      <c r="D33" s="60"/>
      <c r="E33" s="110">
        <v>0.04</v>
      </c>
      <c r="F33" s="60">
        <f t="shared" si="2"/>
        <v>3106.8</v>
      </c>
      <c r="G33" s="60"/>
      <c r="H33" s="112" t="s">
        <v>167</v>
      </c>
    </row>
    <row r="34" s="57" customFormat="1" spans="1:8">
      <c r="A34" s="60"/>
      <c r="B34" s="60"/>
      <c r="C34" s="61"/>
      <c r="D34" s="61"/>
      <c r="E34" s="110">
        <v>0.06</v>
      </c>
      <c r="F34" s="60">
        <f t="shared" si="2"/>
        <v>4660.2</v>
      </c>
      <c r="G34" s="61"/>
      <c r="H34" s="114" t="s">
        <v>168</v>
      </c>
    </row>
    <row r="35" s="57" customFormat="1" spans="1:8">
      <c r="A35" s="60"/>
      <c r="B35" s="60"/>
      <c r="C35" s="116"/>
      <c r="D35" s="116"/>
      <c r="E35" s="110">
        <v>0.03</v>
      </c>
      <c r="F35" s="60">
        <f t="shared" si="2"/>
        <v>2330.1</v>
      </c>
      <c r="G35" s="116"/>
      <c r="H35" s="114" t="s">
        <v>169</v>
      </c>
    </row>
    <row r="36" s="57" customFormat="1" spans="1:8">
      <c r="A36" s="60"/>
      <c r="B36" s="60"/>
      <c r="C36" s="116"/>
      <c r="D36" s="116"/>
      <c r="E36" s="110">
        <v>0.05</v>
      </c>
      <c r="F36" s="60">
        <f t="shared" si="2"/>
        <v>3883.5</v>
      </c>
      <c r="G36" s="116"/>
      <c r="H36" s="115" t="s">
        <v>170</v>
      </c>
    </row>
    <row r="37" s="57" customFormat="1" spans="1:8">
      <c r="A37" s="60"/>
      <c r="B37" s="60"/>
      <c r="C37" s="116"/>
      <c r="D37" s="116"/>
      <c r="E37" s="110">
        <v>0.03</v>
      </c>
      <c r="F37" s="60">
        <f t="shared" si="2"/>
        <v>2330.1</v>
      </c>
      <c r="G37" s="116"/>
      <c r="H37" s="115" t="s">
        <v>171</v>
      </c>
    </row>
    <row r="38" s="57" customFormat="1" spans="1:8">
      <c r="A38" s="60"/>
      <c r="B38" s="60"/>
      <c r="C38" s="116"/>
      <c r="D38" s="116"/>
      <c r="E38" s="110">
        <v>0.02</v>
      </c>
      <c r="F38" s="60">
        <f t="shared" si="2"/>
        <v>1553.4</v>
      </c>
      <c r="G38" s="116"/>
      <c r="H38" s="114" t="s">
        <v>172</v>
      </c>
    </row>
    <row r="39" s="57" customFormat="1" spans="1:8">
      <c r="A39" s="60"/>
      <c r="B39" s="60"/>
      <c r="C39" s="116"/>
      <c r="D39" s="116"/>
      <c r="E39" s="110">
        <v>0.02</v>
      </c>
      <c r="F39" s="60">
        <f t="shared" si="2"/>
        <v>1553.4</v>
      </c>
      <c r="G39" s="116"/>
      <c r="H39" s="114" t="s">
        <v>173</v>
      </c>
    </row>
    <row r="40" s="57" customFormat="1" ht="21" spans="1:8">
      <c r="A40" s="60"/>
      <c r="B40" s="60"/>
      <c r="C40" s="116"/>
      <c r="D40" s="116"/>
      <c r="E40" s="110">
        <v>0.03</v>
      </c>
      <c r="F40" s="60">
        <f t="shared" si="2"/>
        <v>2330.1</v>
      </c>
      <c r="G40" s="116"/>
      <c r="H40" s="115" t="s">
        <v>174</v>
      </c>
    </row>
    <row r="41" s="57" customFormat="1" ht="28.5" spans="1:8">
      <c r="A41" s="60">
        <v>6</v>
      </c>
      <c r="B41" s="60" t="s">
        <v>180</v>
      </c>
      <c r="C41" s="71" t="s">
        <v>181</v>
      </c>
      <c r="D41" s="116" t="s">
        <v>182</v>
      </c>
      <c r="E41" s="94">
        <v>8</v>
      </c>
      <c r="F41" s="116">
        <v>550</v>
      </c>
      <c r="G41" s="116">
        <f>F41*E41</f>
        <v>4400</v>
      </c>
      <c r="H41" s="74"/>
    </row>
    <row r="42" s="57" customFormat="1" ht="31.5" spans="1:8">
      <c r="A42" s="116">
        <v>7</v>
      </c>
      <c r="B42" s="60" t="s">
        <v>183</v>
      </c>
      <c r="C42" s="71" t="s">
        <v>184</v>
      </c>
      <c r="D42" s="116" t="s">
        <v>93</v>
      </c>
      <c r="E42" s="94">
        <v>1</v>
      </c>
      <c r="F42" s="116">
        <v>5000</v>
      </c>
      <c r="G42" s="116">
        <f>F42*E42</f>
        <v>5000</v>
      </c>
      <c r="H42" s="74" t="s">
        <v>185</v>
      </c>
    </row>
    <row r="43" s="57" customFormat="1" ht="28.5" spans="1:8">
      <c r="A43" s="60">
        <v>8</v>
      </c>
      <c r="B43" s="60" t="s">
        <v>186</v>
      </c>
      <c r="C43" s="116" t="s">
        <v>187</v>
      </c>
      <c r="D43" s="116" t="s">
        <v>188</v>
      </c>
      <c r="E43" s="94">
        <v>14</v>
      </c>
      <c r="F43" s="116">
        <v>800</v>
      </c>
      <c r="G43" s="116">
        <f>E43*F43</f>
        <v>11200</v>
      </c>
      <c r="H43" s="74" t="s">
        <v>189</v>
      </c>
    </row>
    <row r="44" s="57" customFormat="1" spans="1:8">
      <c r="A44" s="80">
        <v>9</v>
      </c>
      <c r="B44" s="80" t="s">
        <v>190</v>
      </c>
      <c r="C44" s="116" t="s">
        <v>191</v>
      </c>
      <c r="D44" s="116" t="s">
        <v>93</v>
      </c>
      <c r="E44" s="116">
        <v>1</v>
      </c>
      <c r="F44" s="116">
        <f>37200*1.08</f>
        <v>40176</v>
      </c>
      <c r="G44" s="116">
        <f>E44*F44</f>
        <v>40176</v>
      </c>
      <c r="H44" s="74" t="s">
        <v>192</v>
      </c>
    </row>
    <row r="45" s="57" customFormat="1" spans="1:8">
      <c r="A45" s="84"/>
      <c r="B45" s="84"/>
      <c r="C45" s="116"/>
      <c r="D45" s="116"/>
      <c r="E45" s="110">
        <v>0.33</v>
      </c>
      <c r="F45" s="60">
        <f t="shared" ref="F45:F57" si="3">$F$44*E45</f>
        <v>13258.08</v>
      </c>
      <c r="G45" s="108"/>
      <c r="H45" s="112" t="s">
        <v>161</v>
      </c>
    </row>
    <row r="46" s="57" customFormat="1" spans="1:8">
      <c r="A46" s="84"/>
      <c r="B46" s="84"/>
      <c r="C46" s="116"/>
      <c r="D46" s="116"/>
      <c r="E46" s="110">
        <v>0.18</v>
      </c>
      <c r="F46" s="60">
        <f t="shared" si="3"/>
        <v>7231.68</v>
      </c>
      <c r="G46" s="108"/>
      <c r="H46" s="112" t="s">
        <v>163</v>
      </c>
    </row>
    <row r="47" s="57" customFormat="1" ht="21" spans="1:8">
      <c r="A47" s="84"/>
      <c r="B47" s="84"/>
      <c r="C47" s="116"/>
      <c r="D47" s="116"/>
      <c r="E47" s="110">
        <v>0.08</v>
      </c>
      <c r="F47" s="60">
        <f t="shared" si="3"/>
        <v>3214.08</v>
      </c>
      <c r="G47" s="108"/>
      <c r="H47" s="112" t="s">
        <v>164</v>
      </c>
    </row>
    <row r="48" s="57" customFormat="1" spans="1:8">
      <c r="A48" s="84"/>
      <c r="B48" s="84"/>
      <c r="C48" s="116"/>
      <c r="D48" s="116"/>
      <c r="E48" s="110">
        <v>0.09</v>
      </c>
      <c r="F48" s="60">
        <f t="shared" si="3"/>
        <v>3615.84</v>
      </c>
      <c r="G48" s="108"/>
      <c r="H48" s="112" t="s">
        <v>165</v>
      </c>
    </row>
    <row r="49" s="57" customFormat="1" ht="21" spans="1:8">
      <c r="A49" s="84"/>
      <c r="B49" s="84"/>
      <c r="C49" s="116"/>
      <c r="D49" s="116"/>
      <c r="E49" s="110">
        <v>0.04</v>
      </c>
      <c r="F49" s="60">
        <f t="shared" si="3"/>
        <v>1607.04</v>
      </c>
      <c r="G49" s="60"/>
      <c r="H49" s="113" t="s">
        <v>166</v>
      </c>
    </row>
    <row r="50" s="57" customFormat="1" spans="1:8">
      <c r="A50" s="84"/>
      <c r="B50" s="84"/>
      <c r="C50" s="116"/>
      <c r="D50" s="116"/>
      <c r="E50" s="110">
        <v>0.04</v>
      </c>
      <c r="F50" s="60">
        <f t="shared" si="3"/>
        <v>1607.04</v>
      </c>
      <c r="G50" s="60"/>
      <c r="H50" s="112" t="s">
        <v>167</v>
      </c>
    </row>
    <row r="51" s="57" customFormat="1" spans="1:8">
      <c r="A51" s="84"/>
      <c r="B51" s="84"/>
      <c r="C51" s="116"/>
      <c r="D51" s="116"/>
      <c r="E51" s="110">
        <v>0.06</v>
      </c>
      <c r="F51" s="60">
        <f t="shared" si="3"/>
        <v>2410.56</v>
      </c>
      <c r="G51" s="61"/>
      <c r="H51" s="114" t="s">
        <v>168</v>
      </c>
    </row>
    <row r="52" s="57" customFormat="1" spans="1:8">
      <c r="A52" s="84"/>
      <c r="B52" s="84"/>
      <c r="C52" s="116"/>
      <c r="D52" s="116"/>
      <c r="E52" s="110">
        <v>0.03</v>
      </c>
      <c r="F52" s="60">
        <f t="shared" si="3"/>
        <v>1205.28</v>
      </c>
      <c r="G52" s="116"/>
      <c r="H52" s="114" t="s">
        <v>169</v>
      </c>
    </row>
    <row r="53" s="57" customFormat="1" spans="1:8">
      <c r="A53" s="84"/>
      <c r="B53" s="84"/>
      <c r="C53" s="116"/>
      <c r="D53" s="116"/>
      <c r="E53" s="110">
        <v>0.05</v>
      </c>
      <c r="F53" s="60">
        <f t="shared" si="3"/>
        <v>2008.8</v>
      </c>
      <c r="G53" s="116"/>
      <c r="H53" s="115" t="s">
        <v>170</v>
      </c>
    </row>
    <row r="54" s="57" customFormat="1" spans="1:8">
      <c r="A54" s="84"/>
      <c r="B54" s="84"/>
      <c r="C54" s="116"/>
      <c r="D54" s="116"/>
      <c r="E54" s="110">
        <v>0.03</v>
      </c>
      <c r="F54" s="60">
        <f t="shared" si="3"/>
        <v>1205.28</v>
      </c>
      <c r="G54" s="116"/>
      <c r="H54" s="115" t="s">
        <v>171</v>
      </c>
    </row>
    <row r="55" s="57" customFormat="1" spans="1:8">
      <c r="A55" s="84"/>
      <c r="B55" s="84"/>
      <c r="C55" s="116"/>
      <c r="D55" s="116"/>
      <c r="E55" s="110">
        <v>0.02</v>
      </c>
      <c r="F55" s="60">
        <f t="shared" si="3"/>
        <v>803.52</v>
      </c>
      <c r="G55" s="116"/>
      <c r="H55" s="114" t="s">
        <v>172</v>
      </c>
    </row>
    <row r="56" s="57" customFormat="1" spans="1:8">
      <c r="A56" s="84"/>
      <c r="B56" s="84"/>
      <c r="C56" s="116"/>
      <c r="D56" s="116"/>
      <c r="E56" s="110">
        <v>0.02</v>
      </c>
      <c r="F56" s="60">
        <f t="shared" si="3"/>
        <v>803.52</v>
      </c>
      <c r="G56" s="116"/>
      <c r="H56" s="114" t="s">
        <v>173</v>
      </c>
    </row>
    <row r="57" s="57" customFormat="1" ht="21" spans="1:8">
      <c r="A57" s="86"/>
      <c r="B57" s="86"/>
      <c r="C57" s="116"/>
      <c r="D57" s="116"/>
      <c r="E57" s="110">
        <v>0.03</v>
      </c>
      <c r="F57" s="60">
        <f t="shared" si="3"/>
        <v>1205.28</v>
      </c>
      <c r="G57" s="116"/>
      <c r="H57" s="115" t="s">
        <v>174</v>
      </c>
    </row>
    <row r="58" s="57" customFormat="1" spans="1:8">
      <c r="A58" s="116">
        <v>10</v>
      </c>
      <c r="B58" s="116"/>
      <c r="C58" s="116" t="s">
        <v>193</v>
      </c>
      <c r="D58" s="116"/>
      <c r="E58" s="116"/>
      <c r="F58" s="116"/>
      <c r="G58" s="117">
        <f>SUM(G3:G57)</f>
        <v>195150.4</v>
      </c>
      <c r="H58" s="74"/>
    </row>
    <row r="59" s="57" customFormat="1" spans="1:8">
      <c r="A59" s="116">
        <v>11</v>
      </c>
      <c r="B59" s="116"/>
      <c r="C59" s="116" t="s">
        <v>194</v>
      </c>
      <c r="D59" s="116"/>
      <c r="E59" s="116"/>
      <c r="F59" s="116"/>
      <c r="G59" s="94">
        <v>195000</v>
      </c>
      <c r="H59" s="74"/>
    </row>
    <row r="62" s="57" customFormat="1" spans="2:4">
      <c r="B62" s="57" t="s">
        <v>136</v>
      </c>
      <c r="D62" s="57" t="s">
        <v>195</v>
      </c>
    </row>
    <row r="65" s="57" customFormat="1" spans="2:4">
      <c r="B65" s="57" t="s">
        <v>137</v>
      </c>
      <c r="D65" s="57" t="s">
        <v>195</v>
      </c>
    </row>
  </sheetData>
  <mergeCells count="12">
    <mergeCell ref="A1:H1"/>
    <mergeCell ref="A4:A5"/>
    <mergeCell ref="A6:A10"/>
    <mergeCell ref="A11:A25"/>
    <mergeCell ref="A26:A40"/>
    <mergeCell ref="A44:A57"/>
    <mergeCell ref="B4:B5"/>
    <mergeCell ref="B6:B10"/>
    <mergeCell ref="B11:B25"/>
    <mergeCell ref="B26:B40"/>
    <mergeCell ref="B44:B57"/>
    <mergeCell ref="D12:D24"/>
  </mergeCells>
  <pageMargins left="0.357638888888889" right="0.357638888888889" top="0.236111111111111" bottom="0.196527777777778" header="0.236111111111111" footer="0.2361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workbookViewId="0">
      <selection activeCell="L9" sqref="L9"/>
    </sheetView>
  </sheetViews>
  <sheetFormatPr defaultColWidth="9" defaultRowHeight="14.25"/>
  <cols>
    <col min="1" max="1" width="4.125" style="58" customWidth="1"/>
    <col min="2" max="2" width="10.45" style="57" customWidth="1"/>
    <col min="3" max="3" width="21.375" style="57" customWidth="1"/>
    <col min="4" max="4" width="5.875" style="58" customWidth="1"/>
    <col min="5" max="5" width="8.875" style="57" customWidth="1"/>
    <col min="6" max="6" width="9.125" style="57" customWidth="1"/>
    <col min="7" max="7" width="10.875" style="57" customWidth="1"/>
    <col min="8" max="8" width="19.375" style="57" customWidth="1"/>
    <col min="9" max="14" width="9" style="57"/>
    <col min="15" max="15" width="16.125" style="57" customWidth="1"/>
    <col min="16" max="16384" width="9" style="57"/>
  </cols>
  <sheetData>
    <row r="1" s="57" customFormat="1" ht="40" customHeight="1" spans="1:8">
      <c r="A1" s="59" t="s">
        <v>196</v>
      </c>
      <c r="B1" s="59"/>
      <c r="C1" s="59"/>
      <c r="D1" s="59"/>
      <c r="E1" s="59"/>
      <c r="F1" s="59"/>
      <c r="G1" s="59"/>
      <c r="H1" s="59"/>
    </row>
    <row r="2" s="57" customFormat="1" ht="31" customHeight="1" spans="1:8">
      <c r="A2" s="60" t="s">
        <v>1</v>
      </c>
      <c r="B2" s="60" t="s">
        <v>52</v>
      </c>
      <c r="C2" s="60" t="s">
        <v>87</v>
      </c>
      <c r="D2" s="60" t="s">
        <v>88</v>
      </c>
      <c r="E2" s="60" t="s">
        <v>89</v>
      </c>
      <c r="F2" s="60" t="s">
        <v>90</v>
      </c>
      <c r="G2" s="60" t="s">
        <v>91</v>
      </c>
      <c r="H2" s="61" t="s">
        <v>6</v>
      </c>
    </row>
    <row r="3" s="57" customFormat="1" ht="22.5" spans="1:8">
      <c r="A3" s="80">
        <v>1</v>
      </c>
      <c r="B3" s="62" t="s">
        <v>197</v>
      </c>
      <c r="C3" s="89" t="s">
        <v>198</v>
      </c>
      <c r="D3" s="64" t="s">
        <v>141</v>
      </c>
      <c r="E3" s="64">
        <v>187</v>
      </c>
      <c r="F3" s="64">
        <f>18+4</f>
        <v>22</v>
      </c>
      <c r="G3" s="64">
        <f t="shared" ref="G3:G11" si="0">F3*E3</f>
        <v>4114</v>
      </c>
      <c r="H3" s="90" t="s">
        <v>199</v>
      </c>
    </row>
    <row r="4" s="57" customFormat="1" ht="33" spans="1:8">
      <c r="A4" s="84"/>
      <c r="B4" s="67"/>
      <c r="C4" s="89" t="s">
        <v>200</v>
      </c>
      <c r="D4" s="64" t="s">
        <v>114</v>
      </c>
      <c r="E4" s="64">
        <v>78</v>
      </c>
      <c r="F4" s="64">
        <v>40</v>
      </c>
      <c r="G4" s="64">
        <f t="shared" si="0"/>
        <v>3120</v>
      </c>
      <c r="H4" s="101" t="s">
        <v>142</v>
      </c>
    </row>
    <row r="5" s="57" customFormat="1" ht="33" spans="1:8">
      <c r="A5" s="84"/>
      <c r="B5" s="67"/>
      <c r="C5" s="89" t="s">
        <v>201</v>
      </c>
      <c r="D5" s="64" t="s">
        <v>93</v>
      </c>
      <c r="E5" s="64">
        <v>1</v>
      </c>
      <c r="F5" s="64">
        <v>800</v>
      </c>
      <c r="G5" s="64">
        <f t="shared" si="0"/>
        <v>800</v>
      </c>
      <c r="H5" s="102"/>
    </row>
    <row r="6" s="57" customFormat="1" ht="16.5" spans="1:16">
      <c r="A6" s="80">
        <v>2</v>
      </c>
      <c r="B6" s="62" t="s">
        <v>202</v>
      </c>
      <c r="C6" s="89" t="s">
        <v>203</v>
      </c>
      <c r="D6" s="64" t="s">
        <v>155</v>
      </c>
      <c r="E6" s="64">
        <f>(4.7+2.5)*2*1.8</f>
        <v>25.92</v>
      </c>
      <c r="F6" s="64">
        <v>90</v>
      </c>
      <c r="G6" s="64">
        <f t="shared" si="0"/>
        <v>2332.8</v>
      </c>
      <c r="H6" s="90"/>
      <c r="J6" s="75"/>
      <c r="K6" s="75"/>
      <c r="L6" s="75"/>
      <c r="M6" s="75"/>
      <c r="N6" s="75"/>
      <c r="O6" s="75"/>
      <c r="P6" s="75"/>
    </row>
    <row r="7" s="57" customFormat="1" ht="16.5" spans="1:16">
      <c r="A7" s="84"/>
      <c r="B7" s="67"/>
      <c r="C7" s="89" t="s">
        <v>204</v>
      </c>
      <c r="D7" s="64" t="s">
        <v>155</v>
      </c>
      <c r="E7" s="64">
        <f>5.4*4.5</f>
        <v>24.3</v>
      </c>
      <c r="F7" s="64">
        <v>175</v>
      </c>
      <c r="G7" s="64">
        <f t="shared" si="0"/>
        <v>4252.5</v>
      </c>
      <c r="H7" s="90"/>
      <c r="J7" s="75"/>
      <c r="K7" s="75"/>
      <c r="L7" s="75"/>
      <c r="M7" s="75"/>
      <c r="N7" s="75"/>
      <c r="O7" s="75"/>
      <c r="P7" s="75"/>
    </row>
    <row r="8" s="57" customFormat="1" ht="16.5" spans="1:16">
      <c r="A8" s="84"/>
      <c r="B8" s="67"/>
      <c r="C8" s="89" t="s">
        <v>205</v>
      </c>
      <c r="D8" s="64" t="s">
        <v>155</v>
      </c>
      <c r="E8" s="64">
        <f>5.4*4.5</f>
        <v>24.3</v>
      </c>
      <c r="F8" s="103">
        <f>178.542/1.06*1.03</f>
        <v>173.49</v>
      </c>
      <c r="G8" s="103">
        <f t="shared" si="0"/>
        <v>4215.81</v>
      </c>
      <c r="H8" s="90" t="s">
        <v>206</v>
      </c>
      <c r="J8" s="75"/>
      <c r="K8" s="75"/>
      <c r="L8" s="75"/>
      <c r="M8" s="75"/>
      <c r="N8" s="75"/>
      <c r="O8" s="75"/>
      <c r="P8" s="75"/>
    </row>
    <row r="9" s="57" customFormat="1" ht="33" spans="1:8">
      <c r="A9" s="80">
        <v>3</v>
      </c>
      <c r="B9" s="62" t="s">
        <v>207</v>
      </c>
      <c r="C9" s="64" t="s">
        <v>208</v>
      </c>
      <c r="D9" s="64" t="s">
        <v>141</v>
      </c>
      <c r="E9" s="64">
        <v>182</v>
      </c>
      <c r="F9" s="64">
        <v>25</v>
      </c>
      <c r="G9" s="64">
        <f t="shared" si="0"/>
        <v>4550</v>
      </c>
      <c r="H9" s="61"/>
    </row>
    <row r="10" s="57" customFormat="1" ht="33" spans="1:8">
      <c r="A10" s="80">
        <v>4</v>
      </c>
      <c r="B10" s="62" t="s">
        <v>209</v>
      </c>
      <c r="C10" s="62" t="s">
        <v>210</v>
      </c>
      <c r="D10" s="62" t="s">
        <v>93</v>
      </c>
      <c r="E10" s="62">
        <v>1</v>
      </c>
      <c r="F10" s="62">
        <v>4500</v>
      </c>
      <c r="G10" s="64">
        <f t="shared" si="0"/>
        <v>4500</v>
      </c>
      <c r="H10" s="104"/>
    </row>
    <row r="11" s="57" customFormat="1" ht="49.5" spans="1:8">
      <c r="A11" s="80">
        <v>5</v>
      </c>
      <c r="B11" s="62" t="s">
        <v>211</v>
      </c>
      <c r="C11" s="62" t="s">
        <v>212</v>
      </c>
      <c r="D11" s="62" t="s">
        <v>93</v>
      </c>
      <c r="E11" s="62">
        <v>1</v>
      </c>
      <c r="F11" s="62">
        <v>1800</v>
      </c>
      <c r="G11" s="64">
        <f t="shared" si="0"/>
        <v>1800</v>
      </c>
      <c r="H11" s="104"/>
    </row>
    <row r="12" s="57" customFormat="1" ht="36" customHeight="1" spans="1:8">
      <c r="A12" s="80">
        <v>6</v>
      </c>
      <c r="B12" s="62" t="s">
        <v>213</v>
      </c>
      <c r="C12" s="71" t="s">
        <v>214</v>
      </c>
      <c r="D12" s="72" t="s">
        <v>93</v>
      </c>
      <c r="E12" s="72">
        <v>1</v>
      </c>
      <c r="F12" s="71">
        <v>2700</v>
      </c>
      <c r="G12" s="72">
        <f t="shared" ref="G12:G16" si="1">E12*F12</f>
        <v>2700</v>
      </c>
      <c r="H12" s="74"/>
    </row>
    <row r="13" s="57" customFormat="1" ht="36" customHeight="1" spans="1:8">
      <c r="A13" s="84"/>
      <c r="B13" s="67"/>
      <c r="C13" s="71" t="s">
        <v>215</v>
      </c>
      <c r="D13" s="72" t="s">
        <v>93</v>
      </c>
      <c r="E13" s="72">
        <v>1</v>
      </c>
      <c r="F13" s="71">
        <v>600</v>
      </c>
      <c r="G13" s="72">
        <f t="shared" si="1"/>
        <v>600</v>
      </c>
      <c r="H13" s="105"/>
    </row>
    <row r="14" s="57" customFormat="1" ht="36" customHeight="1" spans="1:8">
      <c r="A14" s="84"/>
      <c r="B14" s="67"/>
      <c r="C14" s="71" t="s">
        <v>216</v>
      </c>
      <c r="D14" s="72" t="s">
        <v>93</v>
      </c>
      <c r="E14" s="72">
        <v>1</v>
      </c>
      <c r="F14" s="71">
        <v>700</v>
      </c>
      <c r="G14" s="72">
        <f t="shared" si="1"/>
        <v>700</v>
      </c>
      <c r="H14" s="105"/>
    </row>
    <row r="15" s="57" customFormat="1" ht="24" spans="1:8">
      <c r="A15" s="80">
        <v>7</v>
      </c>
      <c r="B15" s="62" t="s">
        <v>217</v>
      </c>
      <c r="C15" s="71" t="s">
        <v>218</v>
      </c>
      <c r="D15" s="72" t="s">
        <v>155</v>
      </c>
      <c r="E15" s="72">
        <v>65</v>
      </c>
      <c r="F15" s="71">
        <v>100</v>
      </c>
      <c r="G15" s="72">
        <f t="shared" si="1"/>
        <v>6500</v>
      </c>
      <c r="H15" s="106" t="s">
        <v>163</v>
      </c>
    </row>
    <row r="16" s="57" customFormat="1" spans="1:8">
      <c r="A16" s="84"/>
      <c r="B16" s="70"/>
      <c r="C16" s="71" t="s">
        <v>219</v>
      </c>
      <c r="D16" s="72" t="s">
        <v>114</v>
      </c>
      <c r="E16" s="72">
        <v>67</v>
      </c>
      <c r="F16" s="71">
        <v>100</v>
      </c>
      <c r="G16" s="72">
        <f t="shared" si="1"/>
        <v>6700</v>
      </c>
      <c r="H16" s="107"/>
    </row>
    <row r="17" s="57" customFormat="1" ht="19" customHeight="1" spans="1:8">
      <c r="A17" s="94">
        <v>8</v>
      </c>
      <c r="B17" s="71"/>
      <c r="C17" s="71" t="s">
        <v>193</v>
      </c>
      <c r="D17" s="72"/>
      <c r="E17" s="71"/>
      <c r="F17" s="71"/>
      <c r="G17" s="73">
        <f>SUM(G3:G16)</f>
        <v>46885.11</v>
      </c>
      <c r="H17" s="74"/>
    </row>
    <row r="18" s="57" customFormat="1" ht="19" customHeight="1" spans="1:8">
      <c r="A18" s="94">
        <v>9</v>
      </c>
      <c r="B18" s="71"/>
      <c r="C18" s="71" t="s">
        <v>194</v>
      </c>
      <c r="D18" s="72"/>
      <c r="E18" s="71"/>
      <c r="F18" s="71"/>
      <c r="G18" s="72">
        <v>46800</v>
      </c>
      <c r="H18" s="74"/>
    </row>
    <row r="19" s="57" customFormat="1" spans="1:4">
      <c r="A19" s="58"/>
      <c r="B19" s="57"/>
      <c r="C19" s="57"/>
      <c r="D19" s="58"/>
    </row>
    <row r="20" s="57" customFormat="1" spans="1:4">
      <c r="A20" s="58"/>
      <c r="B20" s="57"/>
      <c r="C20" s="57"/>
      <c r="D20" s="58"/>
    </row>
    <row r="21" s="57" customFormat="1" spans="1:4">
      <c r="A21" s="58"/>
      <c r="B21" s="57" t="s">
        <v>136</v>
      </c>
      <c r="C21" s="57"/>
      <c r="D21" s="58" t="s">
        <v>195</v>
      </c>
    </row>
    <row r="22" s="57" customFormat="1" spans="1:4">
      <c r="A22" s="58"/>
      <c r="B22" s="57"/>
      <c r="C22" s="57"/>
      <c r="D22" s="58"/>
    </row>
    <row r="23" s="57" customFormat="1" spans="1:4">
      <c r="A23" s="58"/>
      <c r="B23" s="57"/>
      <c r="C23" s="57"/>
      <c r="D23" s="58"/>
    </row>
    <row r="24" s="57" customFormat="1" spans="1:4">
      <c r="A24" s="58"/>
      <c r="B24" s="57" t="s">
        <v>137</v>
      </c>
      <c r="C24" s="57"/>
      <c r="D24" s="58" t="s">
        <v>195</v>
      </c>
    </row>
    <row r="25" s="57" customFormat="1" spans="1:4">
      <c r="A25" s="58"/>
      <c r="B25" s="57"/>
      <c r="C25" s="57"/>
      <c r="D25" s="58"/>
    </row>
    <row r="26" s="57" customFormat="1" spans="1:4">
      <c r="A26" s="58"/>
      <c r="B26" s="57"/>
      <c r="C26" s="57"/>
      <c r="D26" s="58"/>
    </row>
    <row r="27" s="57" customFormat="1" spans="1:4">
      <c r="A27" s="58"/>
      <c r="B27" s="57"/>
      <c r="C27" s="57"/>
      <c r="D27" s="58"/>
    </row>
    <row r="28" s="57" customFormat="1" spans="1:4">
      <c r="A28" s="58"/>
      <c r="B28" s="57"/>
      <c r="C28" s="57"/>
      <c r="D28" s="58"/>
    </row>
    <row r="29" s="57" customFormat="1" spans="1:4">
      <c r="A29" s="58"/>
      <c r="B29" s="57"/>
      <c r="C29" s="57"/>
      <c r="D29" s="58"/>
    </row>
    <row r="30" s="57" customFormat="1" spans="1:4">
      <c r="A30" s="58"/>
      <c r="B30" s="57"/>
      <c r="C30" s="57"/>
      <c r="D30" s="58"/>
    </row>
    <row r="31" s="57" customFormat="1" spans="1:4">
      <c r="A31" s="58"/>
      <c r="B31" s="57"/>
      <c r="C31" s="57"/>
      <c r="D31" s="58"/>
    </row>
    <row r="32" s="57" customFormat="1" spans="1:4">
      <c r="A32" s="58"/>
      <c r="B32" s="57"/>
      <c r="C32" s="57"/>
      <c r="D32" s="58"/>
    </row>
    <row r="33" s="57" customFormat="1" spans="1:4">
      <c r="A33" s="58"/>
      <c r="B33" s="57"/>
      <c r="C33" s="57"/>
      <c r="D33" s="58"/>
    </row>
    <row r="34" s="57" customFormat="1" spans="1:4">
      <c r="A34" s="58"/>
      <c r="B34" s="57"/>
      <c r="C34" s="57"/>
      <c r="D34" s="58"/>
    </row>
    <row r="35" s="57" customFormat="1" spans="1:4">
      <c r="A35" s="58"/>
      <c r="B35" s="57"/>
      <c r="C35" s="57"/>
      <c r="D35" s="58"/>
    </row>
    <row r="36" s="57" customFormat="1" spans="1:4">
      <c r="A36" s="58"/>
      <c r="B36" s="57"/>
      <c r="C36" s="57"/>
      <c r="D36" s="58"/>
    </row>
    <row r="37" s="57" customFormat="1" spans="1:4">
      <c r="A37" s="58"/>
      <c r="B37" s="57"/>
      <c r="C37" s="57"/>
      <c r="D37" s="58"/>
    </row>
    <row r="38" s="57" customFormat="1" spans="1:4">
      <c r="A38" s="58"/>
      <c r="B38" s="57"/>
      <c r="C38" s="57"/>
      <c r="D38" s="58"/>
    </row>
    <row r="39" s="57" customFormat="1" spans="1:4">
      <c r="A39" s="58"/>
      <c r="B39" s="57"/>
      <c r="C39" s="57"/>
      <c r="D39" s="58"/>
    </row>
    <row r="40" s="57" customFormat="1" spans="1:4">
      <c r="A40" s="58"/>
      <c r="B40" s="57"/>
      <c r="C40" s="57"/>
      <c r="D40" s="58"/>
    </row>
    <row r="41" s="57" customFormat="1" spans="1:4">
      <c r="A41" s="58"/>
      <c r="B41" s="57"/>
      <c r="C41" s="57"/>
      <c r="D41" s="58"/>
    </row>
    <row r="42" s="57" customFormat="1" spans="1:4">
      <c r="A42" s="58"/>
      <c r="B42" s="57"/>
      <c r="C42" s="57"/>
      <c r="D42" s="58"/>
    </row>
    <row r="43" s="57" customFormat="1" spans="1:4">
      <c r="A43" s="58"/>
      <c r="B43" s="57"/>
      <c r="C43" s="57"/>
      <c r="D43" s="58"/>
    </row>
    <row r="44" s="57" customFormat="1" spans="1:4">
      <c r="A44" s="58"/>
      <c r="B44" s="57"/>
      <c r="C44" s="57"/>
      <c r="D44" s="58"/>
    </row>
    <row r="45" s="57" customFormat="1" spans="1:4">
      <c r="A45" s="58"/>
      <c r="B45" s="57"/>
      <c r="C45" s="57"/>
      <c r="D45" s="58"/>
    </row>
    <row r="46" s="57" customFormat="1" spans="1:4">
      <c r="A46" s="58"/>
      <c r="B46" s="57"/>
      <c r="C46" s="57"/>
      <c r="D46" s="58"/>
    </row>
    <row r="47" s="57" customFormat="1" spans="1:4">
      <c r="A47" s="58"/>
      <c r="B47" s="57"/>
      <c r="C47" s="57"/>
      <c r="D47" s="58"/>
    </row>
    <row r="48" s="57" customFormat="1" spans="1:4">
      <c r="A48" s="58"/>
      <c r="B48" s="57"/>
      <c r="D48" s="58"/>
    </row>
    <row r="49" s="57" customFormat="1" spans="1:4">
      <c r="A49" s="58"/>
      <c r="B49" s="57"/>
      <c r="D49" s="58"/>
    </row>
  </sheetData>
  <mergeCells count="11">
    <mergeCell ref="A1:H1"/>
    <mergeCell ref="A3:A5"/>
    <mergeCell ref="A6:A8"/>
    <mergeCell ref="A12:A14"/>
    <mergeCell ref="A15:A16"/>
    <mergeCell ref="B3:B5"/>
    <mergeCell ref="B6:B8"/>
    <mergeCell ref="B12:B14"/>
    <mergeCell ref="B15:B16"/>
    <mergeCell ref="H4:H5"/>
    <mergeCell ref="H15:H1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opLeftCell="A13" workbookViewId="0">
      <selection activeCell="K26" sqref="K26"/>
    </sheetView>
  </sheetViews>
  <sheetFormatPr defaultColWidth="9" defaultRowHeight="14.25"/>
  <cols>
    <col min="1" max="1" width="4.125" style="58" customWidth="1"/>
    <col min="2" max="2" width="10.45" style="57" customWidth="1"/>
    <col min="3" max="3" width="21.375" style="57" customWidth="1"/>
    <col min="4" max="4" width="5.875" style="58" customWidth="1"/>
    <col min="5" max="5" width="8.875" style="57" customWidth="1"/>
    <col min="6" max="6" width="9.125" style="57" customWidth="1"/>
    <col min="7" max="7" width="10.875" style="57" customWidth="1"/>
    <col min="8" max="8" width="21.5833333333333" style="57" customWidth="1"/>
    <col min="9" max="12" width="9" style="57"/>
    <col min="13" max="13" width="16.125" style="57" customWidth="1"/>
    <col min="14" max="16384" width="9" style="57"/>
  </cols>
  <sheetData>
    <row r="1" s="57" customFormat="1" ht="40" customHeight="1" spans="1:8">
      <c r="A1" s="59" t="s">
        <v>220</v>
      </c>
      <c r="B1" s="59"/>
      <c r="C1" s="59"/>
      <c r="D1" s="59"/>
      <c r="E1" s="59"/>
      <c r="F1" s="59"/>
      <c r="G1" s="59"/>
      <c r="H1" s="59"/>
    </row>
    <row r="2" s="57" customFormat="1" ht="31" customHeight="1" spans="1:8">
      <c r="A2" s="60" t="s">
        <v>1</v>
      </c>
      <c r="B2" s="60" t="s">
        <v>52</v>
      </c>
      <c r="C2" s="60" t="s">
        <v>87</v>
      </c>
      <c r="D2" s="60" t="s">
        <v>88</v>
      </c>
      <c r="E2" s="60" t="s">
        <v>89</v>
      </c>
      <c r="F2" s="60" t="s">
        <v>90</v>
      </c>
      <c r="G2" s="60" t="s">
        <v>91</v>
      </c>
      <c r="H2" s="61" t="s">
        <v>6</v>
      </c>
    </row>
    <row r="3" s="57" customFormat="1" ht="16.5" spans="1:8">
      <c r="A3" s="80">
        <v>1</v>
      </c>
      <c r="B3" s="62" t="s">
        <v>221</v>
      </c>
      <c r="C3" s="89" t="s">
        <v>222</v>
      </c>
      <c r="D3" s="64" t="s">
        <v>93</v>
      </c>
      <c r="E3" s="64">
        <v>1</v>
      </c>
      <c r="F3" s="64">
        <v>2500</v>
      </c>
      <c r="G3" s="64">
        <f t="shared" ref="G3:G28" si="0">F3*E3</f>
        <v>2500</v>
      </c>
      <c r="H3" s="95" t="s">
        <v>142</v>
      </c>
    </row>
    <row r="4" s="57" customFormat="1" ht="33" spans="1:8">
      <c r="A4" s="84"/>
      <c r="B4" s="67"/>
      <c r="C4" s="89" t="s">
        <v>223</v>
      </c>
      <c r="D4" s="64" t="s">
        <v>93</v>
      </c>
      <c r="E4" s="64">
        <v>1</v>
      </c>
      <c r="F4" s="64">
        <v>300</v>
      </c>
      <c r="G4" s="64">
        <f t="shared" si="0"/>
        <v>300</v>
      </c>
      <c r="H4" s="91"/>
    </row>
    <row r="5" s="57" customFormat="1" ht="16.5" spans="1:8">
      <c r="A5" s="84"/>
      <c r="B5" s="67"/>
      <c r="C5" s="89" t="s">
        <v>224</v>
      </c>
      <c r="D5" s="64" t="s">
        <v>114</v>
      </c>
      <c r="E5" s="64">
        <v>3</v>
      </c>
      <c r="F5" s="64">
        <v>50</v>
      </c>
      <c r="G5" s="64">
        <f t="shared" si="0"/>
        <v>150</v>
      </c>
      <c r="H5" s="91"/>
    </row>
    <row r="6" s="57" customFormat="1" ht="16.5" spans="1:14">
      <c r="A6" s="80">
        <v>2</v>
      </c>
      <c r="B6" s="62" t="s">
        <v>225</v>
      </c>
      <c r="C6" s="62" t="s">
        <v>226</v>
      </c>
      <c r="D6" s="64" t="s">
        <v>93</v>
      </c>
      <c r="E6" s="64">
        <f>363-E21-E22-E23-E24-E25-E19</f>
        <v>226</v>
      </c>
      <c r="F6" s="64">
        <v>50</v>
      </c>
      <c r="G6" s="64">
        <f t="shared" si="0"/>
        <v>11300</v>
      </c>
      <c r="H6" s="90" t="s">
        <v>170</v>
      </c>
      <c r="I6" s="75"/>
      <c r="J6" s="75"/>
      <c r="K6" s="75"/>
      <c r="L6" s="75"/>
      <c r="M6" s="75"/>
      <c r="N6" s="75"/>
    </row>
    <row r="7" s="57" customFormat="1" ht="22.5" spans="1:14">
      <c r="A7" s="84"/>
      <c r="B7" s="67"/>
      <c r="C7" s="67"/>
      <c r="D7" s="64" t="s">
        <v>93</v>
      </c>
      <c r="E7" s="64">
        <f>147-E18</f>
        <v>139</v>
      </c>
      <c r="F7" s="64">
        <v>50</v>
      </c>
      <c r="G7" s="64">
        <f t="shared" si="0"/>
        <v>6950</v>
      </c>
      <c r="H7" s="90" t="s">
        <v>227</v>
      </c>
      <c r="I7" s="75"/>
      <c r="J7" s="75"/>
      <c r="K7" s="75"/>
      <c r="L7" s="75"/>
      <c r="M7" s="75"/>
      <c r="N7" s="75"/>
    </row>
    <row r="8" s="57" customFormat="1" ht="16.5" spans="1:14">
      <c r="A8" s="84"/>
      <c r="B8" s="67"/>
      <c r="C8" s="67"/>
      <c r="D8" s="64" t="s">
        <v>93</v>
      </c>
      <c r="E8" s="64">
        <f>19-E20</f>
        <v>14</v>
      </c>
      <c r="F8" s="64">
        <v>50</v>
      </c>
      <c r="G8" s="64">
        <f t="shared" si="0"/>
        <v>700</v>
      </c>
      <c r="H8" s="90" t="s">
        <v>228</v>
      </c>
      <c r="I8" s="75"/>
      <c r="J8" s="75"/>
      <c r="K8" s="75"/>
      <c r="L8" s="75"/>
      <c r="M8" s="75"/>
      <c r="N8" s="75"/>
    </row>
    <row r="9" s="57" customFormat="1" ht="16.5" spans="1:14">
      <c r="A9" s="84"/>
      <c r="B9" s="67"/>
      <c r="C9" s="67"/>
      <c r="D9" s="64" t="s">
        <v>93</v>
      </c>
      <c r="E9" s="64">
        <v>25</v>
      </c>
      <c r="F9" s="64">
        <v>50</v>
      </c>
      <c r="G9" s="64">
        <f t="shared" si="0"/>
        <v>1250</v>
      </c>
      <c r="H9" s="90" t="s">
        <v>229</v>
      </c>
      <c r="I9" s="75"/>
      <c r="J9" s="75"/>
      <c r="K9" s="75"/>
      <c r="L9" s="75"/>
      <c r="M9" s="75"/>
      <c r="N9" s="75"/>
    </row>
    <row r="10" s="57" customFormat="1" ht="16.5" spans="1:14">
      <c r="A10" s="84"/>
      <c r="B10" s="67"/>
      <c r="C10" s="67"/>
      <c r="D10" s="64" t="s">
        <v>93</v>
      </c>
      <c r="E10" s="64">
        <f>15-E17</f>
        <v>13</v>
      </c>
      <c r="F10" s="64">
        <v>50</v>
      </c>
      <c r="G10" s="64">
        <f t="shared" si="0"/>
        <v>650</v>
      </c>
      <c r="H10" s="90" t="s">
        <v>230</v>
      </c>
      <c r="I10" s="75"/>
      <c r="J10" s="75"/>
      <c r="K10" s="75"/>
      <c r="L10" s="75"/>
      <c r="M10" s="75"/>
      <c r="N10" s="75"/>
    </row>
    <row r="11" s="57" customFormat="1" ht="16.5" spans="1:14">
      <c r="A11" s="84"/>
      <c r="B11" s="67"/>
      <c r="C11" s="67"/>
      <c r="D11" s="64" t="s">
        <v>93</v>
      </c>
      <c r="E11" s="64">
        <v>1</v>
      </c>
      <c r="F11" s="64">
        <v>50</v>
      </c>
      <c r="G11" s="64">
        <f t="shared" si="0"/>
        <v>50</v>
      </c>
      <c r="H11" s="90" t="s">
        <v>172</v>
      </c>
      <c r="I11" s="75"/>
      <c r="J11" s="75"/>
      <c r="K11" s="75"/>
      <c r="L11" s="75"/>
      <c r="M11" s="75"/>
      <c r="N11" s="75"/>
    </row>
    <row r="12" s="57" customFormat="1" ht="16.5" spans="1:14">
      <c r="A12" s="84"/>
      <c r="B12" s="67"/>
      <c r="C12" s="67"/>
      <c r="D12" s="64" t="s">
        <v>93</v>
      </c>
      <c r="E12" s="64">
        <v>5</v>
      </c>
      <c r="F12" s="64">
        <v>50</v>
      </c>
      <c r="G12" s="64">
        <f t="shared" si="0"/>
        <v>250</v>
      </c>
      <c r="H12" s="90" t="s">
        <v>231</v>
      </c>
      <c r="I12" s="75"/>
      <c r="J12" s="75"/>
      <c r="K12" s="75"/>
      <c r="L12" s="75"/>
      <c r="M12" s="75"/>
      <c r="N12" s="75"/>
    </row>
    <row r="13" s="57" customFormat="1" ht="16.5" spans="1:14">
      <c r="A13" s="84"/>
      <c r="B13" s="67"/>
      <c r="C13" s="67"/>
      <c r="D13" s="64" t="s">
        <v>93</v>
      </c>
      <c r="E13" s="64">
        <v>7</v>
      </c>
      <c r="F13" s="64">
        <v>50</v>
      </c>
      <c r="G13" s="64">
        <f t="shared" si="0"/>
        <v>350</v>
      </c>
      <c r="H13" s="90" t="s">
        <v>232</v>
      </c>
      <c r="I13" s="75"/>
      <c r="J13" s="75"/>
      <c r="K13" s="75"/>
      <c r="L13" s="75"/>
      <c r="M13" s="75"/>
      <c r="N13" s="75"/>
    </row>
    <row r="14" s="57" customFormat="1" ht="16.5" spans="1:14">
      <c r="A14" s="84"/>
      <c r="B14" s="67"/>
      <c r="C14" s="67"/>
      <c r="D14" s="64" t="s">
        <v>93</v>
      </c>
      <c r="E14" s="64">
        <v>1</v>
      </c>
      <c r="F14" s="64">
        <v>50</v>
      </c>
      <c r="G14" s="64">
        <f t="shared" si="0"/>
        <v>50</v>
      </c>
      <c r="H14" s="90" t="s">
        <v>233</v>
      </c>
      <c r="I14" s="75"/>
      <c r="J14" s="75"/>
      <c r="K14" s="75"/>
      <c r="L14" s="75"/>
      <c r="M14" s="75"/>
      <c r="N14" s="75"/>
    </row>
    <row r="15" s="57" customFormat="1" ht="16.5" spans="1:14">
      <c r="A15" s="84"/>
      <c r="B15" s="67"/>
      <c r="C15" s="67"/>
      <c r="D15" s="64" t="s">
        <v>93</v>
      </c>
      <c r="E15" s="64">
        <v>6</v>
      </c>
      <c r="F15" s="64">
        <v>50</v>
      </c>
      <c r="G15" s="64">
        <f t="shared" si="0"/>
        <v>300</v>
      </c>
      <c r="H15" s="90" t="s">
        <v>169</v>
      </c>
      <c r="I15" s="75"/>
      <c r="J15" s="75"/>
      <c r="K15" s="75"/>
      <c r="L15" s="75"/>
      <c r="M15" s="75"/>
      <c r="N15" s="75"/>
    </row>
    <row r="16" s="57" customFormat="1" ht="16.5" spans="1:14">
      <c r="A16" s="84"/>
      <c r="B16" s="67"/>
      <c r="C16" s="70"/>
      <c r="D16" s="64" t="s">
        <v>93</v>
      </c>
      <c r="E16" s="64">
        <v>3</v>
      </c>
      <c r="F16" s="64">
        <v>50</v>
      </c>
      <c r="G16" s="64">
        <f t="shared" si="0"/>
        <v>150</v>
      </c>
      <c r="H16" s="90" t="s">
        <v>161</v>
      </c>
      <c r="I16" s="75"/>
      <c r="J16" s="75"/>
      <c r="K16" s="75"/>
      <c r="L16" s="75"/>
      <c r="M16" s="75"/>
      <c r="N16" s="75"/>
    </row>
    <row r="17" s="57" customFormat="1" ht="16.5" spans="1:14">
      <c r="A17" s="84"/>
      <c r="B17" s="67"/>
      <c r="C17" s="68" t="s">
        <v>234</v>
      </c>
      <c r="D17" s="64" t="s">
        <v>93</v>
      </c>
      <c r="E17" s="64">
        <v>2</v>
      </c>
      <c r="F17" s="64">
        <v>400</v>
      </c>
      <c r="G17" s="64">
        <f t="shared" si="0"/>
        <v>800</v>
      </c>
      <c r="H17" s="63" t="s">
        <v>230</v>
      </c>
      <c r="I17" s="75"/>
      <c r="J17" s="75"/>
      <c r="K17" s="75"/>
      <c r="L17" s="75"/>
      <c r="M17" s="75"/>
      <c r="N17" s="75"/>
    </row>
    <row r="18" s="57" customFormat="1" ht="24" spans="1:14">
      <c r="A18" s="84"/>
      <c r="B18" s="67"/>
      <c r="C18" s="68" t="s">
        <v>235</v>
      </c>
      <c r="D18" s="64" t="s">
        <v>93</v>
      </c>
      <c r="E18" s="64">
        <v>8</v>
      </c>
      <c r="F18" s="64">
        <v>400</v>
      </c>
      <c r="G18" s="64">
        <f t="shared" si="0"/>
        <v>3200</v>
      </c>
      <c r="H18" s="63" t="s">
        <v>227</v>
      </c>
      <c r="I18" s="75"/>
      <c r="J18" s="75"/>
      <c r="K18" s="75"/>
      <c r="L18" s="75"/>
      <c r="M18" s="75"/>
      <c r="N18" s="75"/>
    </row>
    <row r="19" s="57" customFormat="1" ht="16.5" spans="1:14">
      <c r="A19" s="84"/>
      <c r="B19" s="67"/>
      <c r="C19" s="68" t="s">
        <v>236</v>
      </c>
      <c r="D19" s="64" t="s">
        <v>93</v>
      </c>
      <c r="E19" s="64">
        <v>41</v>
      </c>
      <c r="F19" s="64">
        <v>400</v>
      </c>
      <c r="G19" s="64">
        <f t="shared" si="0"/>
        <v>16400</v>
      </c>
      <c r="H19" s="68" t="s">
        <v>170</v>
      </c>
      <c r="I19" s="75"/>
      <c r="J19" s="75"/>
      <c r="K19" s="75"/>
      <c r="L19" s="75"/>
      <c r="M19" s="75"/>
      <c r="N19" s="75"/>
    </row>
    <row r="20" s="57" customFormat="1" ht="16.5" spans="1:14">
      <c r="A20" s="84"/>
      <c r="B20" s="67"/>
      <c r="C20" s="68" t="s">
        <v>237</v>
      </c>
      <c r="D20" s="64" t="s">
        <v>93</v>
      </c>
      <c r="E20" s="64">
        <v>5</v>
      </c>
      <c r="F20" s="64">
        <v>400</v>
      </c>
      <c r="G20" s="64">
        <f t="shared" si="0"/>
        <v>2000</v>
      </c>
      <c r="H20" s="68" t="s">
        <v>228</v>
      </c>
      <c r="I20" s="75"/>
      <c r="J20" s="75"/>
      <c r="K20" s="75"/>
      <c r="L20" s="75"/>
      <c r="M20" s="75"/>
      <c r="N20" s="75"/>
    </row>
    <row r="21" s="57" customFormat="1" ht="24" spans="1:14">
      <c r="A21" s="84"/>
      <c r="B21" s="67"/>
      <c r="C21" s="63" t="s">
        <v>238</v>
      </c>
      <c r="D21" s="64" t="s">
        <v>93</v>
      </c>
      <c r="E21" s="96">
        <v>73</v>
      </c>
      <c r="F21" s="97">
        <v>20</v>
      </c>
      <c r="G21" s="64">
        <f t="shared" si="0"/>
        <v>1460</v>
      </c>
      <c r="H21" s="98" t="s">
        <v>170</v>
      </c>
      <c r="I21" s="75"/>
      <c r="J21" s="75"/>
      <c r="K21" s="75"/>
      <c r="L21" s="75"/>
      <c r="M21" s="75"/>
      <c r="N21" s="75"/>
    </row>
    <row r="22" s="57" customFormat="1" ht="24" spans="1:14">
      <c r="A22" s="84"/>
      <c r="B22" s="67"/>
      <c r="C22" s="63" t="s">
        <v>239</v>
      </c>
      <c r="D22" s="64" t="s">
        <v>93</v>
      </c>
      <c r="E22" s="96">
        <v>8</v>
      </c>
      <c r="F22" s="97">
        <v>100</v>
      </c>
      <c r="G22" s="64">
        <f t="shared" si="0"/>
        <v>800</v>
      </c>
      <c r="H22" s="98" t="s">
        <v>170</v>
      </c>
      <c r="I22" s="75"/>
      <c r="J22" s="75"/>
      <c r="K22" s="75"/>
      <c r="L22" s="75"/>
      <c r="M22" s="75"/>
      <c r="N22" s="75"/>
    </row>
    <row r="23" s="57" customFormat="1" ht="24" spans="1:14">
      <c r="A23" s="84"/>
      <c r="B23" s="67"/>
      <c r="C23" s="63" t="s">
        <v>240</v>
      </c>
      <c r="D23" s="64" t="s">
        <v>93</v>
      </c>
      <c r="E23" s="99">
        <v>13</v>
      </c>
      <c r="F23" s="100">
        <v>500</v>
      </c>
      <c r="G23" s="64">
        <f t="shared" si="0"/>
        <v>6500</v>
      </c>
      <c r="H23" s="98" t="s">
        <v>170</v>
      </c>
      <c r="I23" s="75"/>
      <c r="J23" s="75"/>
      <c r="K23" s="75"/>
      <c r="L23" s="75"/>
      <c r="M23" s="75"/>
      <c r="N23" s="75"/>
    </row>
    <row r="24" s="57" customFormat="1" ht="24" spans="1:14">
      <c r="A24" s="84"/>
      <c r="B24" s="67"/>
      <c r="C24" s="63" t="s">
        <v>241</v>
      </c>
      <c r="D24" s="64" t="s">
        <v>93</v>
      </c>
      <c r="E24" s="99">
        <v>1</v>
      </c>
      <c r="F24" s="100">
        <v>500</v>
      </c>
      <c r="G24" s="64">
        <f t="shared" si="0"/>
        <v>500</v>
      </c>
      <c r="H24" s="98" t="s">
        <v>170</v>
      </c>
      <c r="I24" s="75"/>
      <c r="J24" s="75"/>
      <c r="K24" s="75"/>
      <c r="L24" s="75"/>
      <c r="M24" s="75"/>
      <c r="N24" s="75"/>
    </row>
    <row r="25" s="57" customFormat="1" ht="24" spans="1:14">
      <c r="A25" s="84"/>
      <c r="B25" s="67"/>
      <c r="C25" s="63" t="s">
        <v>242</v>
      </c>
      <c r="D25" s="64" t="s">
        <v>93</v>
      </c>
      <c r="E25" s="99">
        <v>1</v>
      </c>
      <c r="F25" s="100">
        <v>500</v>
      </c>
      <c r="G25" s="64">
        <f t="shared" si="0"/>
        <v>500</v>
      </c>
      <c r="H25" s="98" t="s">
        <v>170</v>
      </c>
      <c r="I25" s="75"/>
      <c r="J25" s="75"/>
      <c r="K25" s="75"/>
      <c r="L25" s="75"/>
      <c r="M25" s="75"/>
      <c r="N25" s="75"/>
    </row>
    <row r="26" s="57" customFormat="1" ht="33" spans="1:8">
      <c r="A26" s="80">
        <v>3</v>
      </c>
      <c r="B26" s="62" t="s">
        <v>243</v>
      </c>
      <c r="C26" s="64" t="s">
        <v>244</v>
      </c>
      <c r="D26" s="64" t="s">
        <v>245</v>
      </c>
      <c r="E26" s="64">
        <v>6</v>
      </c>
      <c r="F26" s="64">
        <v>400</v>
      </c>
      <c r="G26" s="64">
        <f t="shared" si="0"/>
        <v>2400</v>
      </c>
      <c r="H26" s="61" t="s">
        <v>163</v>
      </c>
    </row>
    <row r="27" s="57" customFormat="1" ht="26" customHeight="1" spans="1:8">
      <c r="A27" s="80">
        <v>4</v>
      </c>
      <c r="B27" s="62" t="s">
        <v>246</v>
      </c>
      <c r="C27" s="62" t="s">
        <v>247</v>
      </c>
      <c r="D27" s="62" t="s">
        <v>93</v>
      </c>
      <c r="E27" s="62">
        <v>1</v>
      </c>
      <c r="F27" s="62">
        <v>600</v>
      </c>
      <c r="G27" s="64">
        <f t="shared" si="0"/>
        <v>600</v>
      </c>
      <c r="H27" s="61" t="s">
        <v>163</v>
      </c>
    </row>
    <row r="28" s="57" customFormat="1" ht="28" customHeight="1" spans="1:8">
      <c r="A28" s="84"/>
      <c r="B28" s="67"/>
      <c r="C28" s="62" t="s">
        <v>248</v>
      </c>
      <c r="D28" s="62" t="s">
        <v>108</v>
      </c>
      <c r="E28" s="62">
        <v>22</v>
      </c>
      <c r="F28" s="62">
        <v>120</v>
      </c>
      <c r="G28" s="64">
        <f t="shared" si="0"/>
        <v>2640</v>
      </c>
      <c r="H28" s="61" t="s">
        <v>229</v>
      </c>
    </row>
    <row r="29" s="57" customFormat="1" ht="19" customHeight="1" spans="1:8">
      <c r="A29" s="94">
        <v>5</v>
      </c>
      <c r="B29" s="71"/>
      <c r="C29" s="71" t="s">
        <v>193</v>
      </c>
      <c r="D29" s="72"/>
      <c r="E29" s="71"/>
      <c r="F29" s="71"/>
      <c r="G29" s="73">
        <f>SUM(G3:G28)</f>
        <v>62750</v>
      </c>
      <c r="H29" s="74"/>
    </row>
    <row r="30" s="57" customFormat="1" ht="19" customHeight="1" spans="1:8">
      <c r="A30" s="94">
        <v>6</v>
      </c>
      <c r="B30" s="71"/>
      <c r="C30" s="71" t="s">
        <v>194</v>
      </c>
      <c r="D30" s="72"/>
      <c r="E30" s="71"/>
      <c r="F30" s="71"/>
      <c r="G30" s="72">
        <v>62500</v>
      </c>
      <c r="H30" s="74"/>
    </row>
    <row r="33" s="57" customFormat="1" spans="1:4">
      <c r="A33" s="58"/>
      <c r="B33" s="57" t="s">
        <v>136</v>
      </c>
      <c r="D33" s="58" t="s">
        <v>195</v>
      </c>
    </row>
    <row r="36" s="57" customFormat="1" spans="1:4">
      <c r="A36" s="58"/>
      <c r="B36" s="57" t="s">
        <v>137</v>
      </c>
      <c r="D36" s="58" t="s">
        <v>195</v>
      </c>
    </row>
  </sheetData>
  <mergeCells count="9">
    <mergeCell ref="A1:H1"/>
    <mergeCell ref="A3:A5"/>
    <mergeCell ref="A6:A25"/>
    <mergeCell ref="A27:A28"/>
    <mergeCell ref="B3:B5"/>
    <mergeCell ref="B6:B25"/>
    <mergeCell ref="B27:B28"/>
    <mergeCell ref="C6:C16"/>
    <mergeCell ref="H3:H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I10" sqref="I10"/>
    </sheetView>
  </sheetViews>
  <sheetFormatPr defaultColWidth="9" defaultRowHeight="14.25"/>
  <cols>
    <col min="1" max="1" width="4.125" style="58" customWidth="1"/>
    <col min="2" max="2" width="10.45" style="57" customWidth="1"/>
    <col min="3" max="3" width="22.9416666666667" style="57" customWidth="1"/>
    <col min="4" max="4" width="5.875" style="58" customWidth="1"/>
    <col min="5" max="5" width="8.875" style="57" customWidth="1"/>
    <col min="6" max="6" width="9.125" style="57" customWidth="1"/>
    <col min="7" max="7" width="10.875" style="57" customWidth="1"/>
    <col min="8" max="8" width="21.5833333333333" style="57" customWidth="1"/>
    <col min="9" max="12" width="9" style="57"/>
    <col min="13" max="13" width="16.125" style="57" customWidth="1"/>
    <col min="14" max="16384" width="9" style="57"/>
  </cols>
  <sheetData>
    <row r="1" s="57" customFormat="1" ht="40" customHeight="1" spans="1:8">
      <c r="A1" s="59" t="s">
        <v>249</v>
      </c>
      <c r="B1" s="59"/>
      <c r="C1" s="59"/>
      <c r="D1" s="59"/>
      <c r="E1" s="59"/>
      <c r="F1" s="59"/>
      <c r="G1" s="59"/>
      <c r="H1" s="59"/>
    </row>
    <row r="2" s="57" customFormat="1" ht="31" customHeight="1" spans="1:8">
      <c r="A2" s="60" t="s">
        <v>1</v>
      </c>
      <c r="B2" s="60" t="s">
        <v>52</v>
      </c>
      <c r="C2" s="60" t="s">
        <v>87</v>
      </c>
      <c r="D2" s="60" t="s">
        <v>88</v>
      </c>
      <c r="E2" s="60" t="s">
        <v>89</v>
      </c>
      <c r="F2" s="60" t="s">
        <v>90</v>
      </c>
      <c r="G2" s="60" t="s">
        <v>91</v>
      </c>
      <c r="H2" s="61" t="s">
        <v>6</v>
      </c>
    </row>
    <row r="3" s="57" customFormat="1" ht="16.5" spans="1:8">
      <c r="A3" s="80">
        <v>1</v>
      </c>
      <c r="B3" s="62" t="s">
        <v>250</v>
      </c>
      <c r="C3" s="89" t="s">
        <v>251</v>
      </c>
      <c r="D3" s="64" t="s">
        <v>150</v>
      </c>
      <c r="E3" s="64">
        <v>151.4</v>
      </c>
      <c r="F3" s="64">
        <v>30</v>
      </c>
      <c r="G3" s="64">
        <f t="shared" ref="G3:G16" si="0">F3*E3</f>
        <v>4542</v>
      </c>
      <c r="H3" s="90" t="s">
        <v>142</v>
      </c>
    </row>
    <row r="4" s="57" customFormat="1" ht="16.5" spans="1:8">
      <c r="A4" s="84"/>
      <c r="B4" s="67"/>
      <c r="C4" s="89" t="s">
        <v>252</v>
      </c>
      <c r="D4" s="64" t="s">
        <v>150</v>
      </c>
      <c r="E4" s="64">
        <f>201.96*0.2</f>
        <v>40.392</v>
      </c>
      <c r="F4" s="64">
        <v>60</v>
      </c>
      <c r="G4" s="64">
        <f t="shared" si="0"/>
        <v>2423.52</v>
      </c>
      <c r="H4" s="90" t="s">
        <v>253</v>
      </c>
    </row>
    <row r="5" s="57" customFormat="1" ht="16.5" spans="1:8">
      <c r="A5" s="84"/>
      <c r="B5" s="67"/>
      <c r="C5" s="89" t="s">
        <v>204</v>
      </c>
      <c r="D5" s="64" t="s">
        <v>155</v>
      </c>
      <c r="E5" s="64">
        <f>201.96</f>
        <v>201.96</v>
      </c>
      <c r="F5" s="64">
        <v>175</v>
      </c>
      <c r="G5" s="64">
        <f t="shared" si="0"/>
        <v>35343</v>
      </c>
      <c r="H5" s="91"/>
    </row>
    <row r="6" s="57" customFormat="1" ht="16.5" spans="1:14">
      <c r="A6" s="62">
        <v>2</v>
      </c>
      <c r="B6" s="62" t="s">
        <v>254</v>
      </c>
      <c r="C6" s="92" t="s">
        <v>255</v>
      </c>
      <c r="D6" s="64" t="s">
        <v>93</v>
      </c>
      <c r="E6" s="64">
        <v>1</v>
      </c>
      <c r="F6" s="64">
        <v>35000</v>
      </c>
      <c r="G6" s="64">
        <f t="shared" si="0"/>
        <v>35000</v>
      </c>
      <c r="H6" s="90" t="s">
        <v>142</v>
      </c>
      <c r="I6" s="75"/>
      <c r="J6" s="75"/>
      <c r="K6" s="75"/>
      <c r="L6" s="75"/>
      <c r="M6" s="75"/>
      <c r="N6" s="75"/>
    </row>
    <row r="7" s="57" customFormat="1" ht="33" spans="1:14">
      <c r="A7" s="67"/>
      <c r="B7" s="67"/>
      <c r="C7" s="92" t="s">
        <v>256</v>
      </c>
      <c r="D7" s="64" t="s">
        <v>93</v>
      </c>
      <c r="E7" s="64">
        <v>1</v>
      </c>
      <c r="F7" s="64">
        <v>8000</v>
      </c>
      <c r="G7" s="64">
        <f t="shared" si="0"/>
        <v>8000</v>
      </c>
      <c r="H7" s="90" t="s">
        <v>142</v>
      </c>
      <c r="I7" s="75"/>
      <c r="J7" s="75"/>
      <c r="K7" s="75"/>
      <c r="L7" s="75"/>
      <c r="M7" s="75"/>
      <c r="N7" s="75"/>
    </row>
    <row r="8" s="57" customFormat="1" ht="25" customHeight="1" spans="1:14">
      <c r="A8" s="67"/>
      <c r="B8" s="67"/>
      <c r="C8" s="92" t="s">
        <v>257</v>
      </c>
      <c r="D8" s="64" t="s">
        <v>155</v>
      </c>
      <c r="E8" s="64">
        <v>95.36</v>
      </c>
      <c r="F8" s="64">
        <v>25</v>
      </c>
      <c r="G8" s="64">
        <f t="shared" si="0"/>
        <v>2384</v>
      </c>
      <c r="H8" s="90" t="s">
        <v>142</v>
      </c>
      <c r="I8" s="75"/>
      <c r="J8" s="75"/>
      <c r="K8" s="75"/>
      <c r="L8" s="75"/>
      <c r="M8" s="75"/>
      <c r="N8" s="75"/>
    </row>
    <row r="9" s="57" customFormat="1" ht="33" spans="1:14">
      <c r="A9" s="67"/>
      <c r="B9" s="67"/>
      <c r="C9" s="92" t="s">
        <v>258</v>
      </c>
      <c r="D9" s="64" t="s">
        <v>93</v>
      </c>
      <c r="E9" s="64">
        <v>1</v>
      </c>
      <c r="F9" s="64">
        <v>2880</v>
      </c>
      <c r="G9" s="64">
        <f t="shared" si="0"/>
        <v>2880</v>
      </c>
      <c r="H9" s="90" t="s">
        <v>142</v>
      </c>
      <c r="I9" s="75"/>
      <c r="J9" s="75"/>
      <c r="K9" s="75"/>
      <c r="L9" s="75"/>
      <c r="M9" s="75"/>
      <c r="N9" s="75"/>
    </row>
    <row r="10" s="57" customFormat="1" ht="33" customHeight="1" spans="1:14">
      <c r="A10" s="70"/>
      <c r="B10" s="70"/>
      <c r="C10" s="92" t="s">
        <v>259</v>
      </c>
      <c r="D10" s="64" t="s">
        <v>155</v>
      </c>
      <c r="E10" s="64">
        <v>208</v>
      </c>
      <c r="F10" s="64">
        <v>52</v>
      </c>
      <c r="G10" s="64">
        <f t="shared" si="0"/>
        <v>10816</v>
      </c>
      <c r="H10" s="90"/>
      <c r="I10" s="75"/>
      <c r="J10" s="75"/>
      <c r="K10" s="75"/>
      <c r="L10" s="75"/>
      <c r="M10" s="75"/>
      <c r="N10" s="75"/>
    </row>
    <row r="11" s="57" customFormat="1" ht="45" customHeight="1" spans="1:14">
      <c r="A11" s="62">
        <v>3</v>
      </c>
      <c r="B11" s="62" t="s">
        <v>260</v>
      </c>
      <c r="C11" s="92" t="s">
        <v>261</v>
      </c>
      <c r="D11" s="64" t="s">
        <v>93</v>
      </c>
      <c r="E11" s="64">
        <v>1</v>
      </c>
      <c r="F11" s="64">
        <v>4000</v>
      </c>
      <c r="G11" s="64">
        <f t="shared" si="0"/>
        <v>4000</v>
      </c>
      <c r="H11" s="90" t="s">
        <v>142</v>
      </c>
      <c r="I11" s="75"/>
      <c r="J11" s="75"/>
      <c r="K11" s="75"/>
      <c r="L11" s="75"/>
      <c r="M11" s="75"/>
      <c r="N11" s="75"/>
    </row>
    <row r="12" s="57" customFormat="1" ht="54" customHeight="1" spans="1:14">
      <c r="A12" s="62">
        <v>4</v>
      </c>
      <c r="B12" s="62" t="s">
        <v>262</v>
      </c>
      <c r="C12" s="92" t="s">
        <v>263</v>
      </c>
      <c r="D12" s="64" t="s">
        <v>93</v>
      </c>
      <c r="E12" s="64">
        <v>1</v>
      </c>
      <c r="F12" s="64">
        <v>2500</v>
      </c>
      <c r="G12" s="64">
        <f t="shared" si="0"/>
        <v>2500</v>
      </c>
      <c r="H12" s="90" t="s">
        <v>142</v>
      </c>
      <c r="I12" s="75"/>
      <c r="J12" s="75"/>
      <c r="K12" s="75"/>
      <c r="L12" s="75"/>
      <c r="M12" s="75"/>
      <c r="N12" s="75"/>
    </row>
    <row r="13" s="57" customFormat="1" ht="31" customHeight="1" spans="1:14">
      <c r="A13" s="70"/>
      <c r="B13" s="70"/>
      <c r="C13" s="68" t="s">
        <v>264</v>
      </c>
      <c r="D13" s="64" t="s">
        <v>93</v>
      </c>
      <c r="E13" s="64">
        <v>1</v>
      </c>
      <c r="F13" s="64">
        <v>900</v>
      </c>
      <c r="G13" s="64">
        <f t="shared" si="0"/>
        <v>900</v>
      </c>
      <c r="H13" s="90" t="s">
        <v>142</v>
      </c>
      <c r="I13" s="75"/>
      <c r="J13" s="75"/>
      <c r="K13" s="75"/>
      <c r="L13" s="75"/>
      <c r="M13" s="75"/>
      <c r="N13" s="75"/>
    </row>
    <row r="14" s="57" customFormat="1" ht="16.5" spans="1:14">
      <c r="A14" s="62">
        <v>5</v>
      </c>
      <c r="B14" s="62" t="s">
        <v>265</v>
      </c>
      <c r="C14" s="68" t="s">
        <v>266</v>
      </c>
      <c r="D14" s="64" t="s">
        <v>114</v>
      </c>
      <c r="E14" s="64">
        <v>199.5</v>
      </c>
      <c r="F14" s="64">
        <f>350*1.08</f>
        <v>378</v>
      </c>
      <c r="G14" s="64">
        <f t="shared" si="0"/>
        <v>75411</v>
      </c>
      <c r="H14" s="93" t="s">
        <v>267</v>
      </c>
      <c r="I14" s="75"/>
      <c r="J14" s="75"/>
      <c r="K14" s="75"/>
      <c r="L14" s="75"/>
      <c r="M14" s="75"/>
      <c r="N14" s="75"/>
    </row>
    <row r="15" s="57" customFormat="1" ht="16.5" spans="1:14">
      <c r="A15" s="67"/>
      <c r="B15" s="67"/>
      <c r="C15" s="68" t="s">
        <v>268</v>
      </c>
      <c r="D15" s="64" t="s">
        <v>269</v>
      </c>
      <c r="E15" s="64">
        <v>1</v>
      </c>
      <c r="F15" s="64">
        <f>148*1.08</f>
        <v>159.84</v>
      </c>
      <c r="G15" s="64">
        <f t="shared" si="0"/>
        <v>159.84</v>
      </c>
      <c r="H15" s="69"/>
      <c r="I15" s="75"/>
      <c r="J15" s="75"/>
      <c r="K15" s="75"/>
      <c r="L15" s="75"/>
      <c r="M15" s="75"/>
      <c r="N15" s="75"/>
    </row>
    <row r="16" s="57" customFormat="1" ht="16.5" spans="1:14">
      <c r="A16" s="70"/>
      <c r="B16" s="70"/>
      <c r="C16" s="68" t="s">
        <v>270</v>
      </c>
      <c r="D16" s="64" t="s">
        <v>271</v>
      </c>
      <c r="E16" s="64">
        <v>1</v>
      </c>
      <c r="F16" s="64">
        <f>25*1.08</f>
        <v>27</v>
      </c>
      <c r="G16" s="64">
        <f t="shared" si="0"/>
        <v>27</v>
      </c>
      <c r="H16" s="66"/>
      <c r="I16" s="75"/>
      <c r="J16" s="75"/>
      <c r="K16" s="75"/>
      <c r="L16" s="75"/>
      <c r="M16" s="75"/>
      <c r="N16" s="75"/>
    </row>
    <row r="17" s="57" customFormat="1" ht="19" customHeight="1" spans="1:8">
      <c r="A17" s="94">
        <v>5</v>
      </c>
      <c r="B17" s="71"/>
      <c r="C17" s="71" t="s">
        <v>193</v>
      </c>
      <c r="D17" s="72"/>
      <c r="E17" s="71"/>
      <c r="F17" s="71"/>
      <c r="G17" s="73">
        <f>SUM(G3:G16)</f>
        <v>184386.36</v>
      </c>
      <c r="H17" s="74"/>
    </row>
    <row r="18" s="57" customFormat="1" ht="19" customHeight="1" spans="1:8">
      <c r="A18" s="94">
        <v>6</v>
      </c>
      <c r="B18" s="71"/>
      <c r="C18" s="71" t="s">
        <v>194</v>
      </c>
      <c r="D18" s="72"/>
      <c r="E18" s="71"/>
      <c r="F18" s="71"/>
      <c r="G18" s="72">
        <v>184300</v>
      </c>
      <c r="H18" s="74"/>
    </row>
    <row r="21" s="57" customFormat="1" spans="1:4">
      <c r="A21" s="58"/>
      <c r="B21" s="57" t="s">
        <v>136</v>
      </c>
      <c r="D21" s="58" t="s">
        <v>195</v>
      </c>
    </row>
    <row r="24" s="57" customFormat="1" spans="1:4">
      <c r="A24" s="58"/>
      <c r="B24" s="57" t="s">
        <v>137</v>
      </c>
      <c r="D24" s="58" t="s">
        <v>195</v>
      </c>
    </row>
  </sheetData>
  <mergeCells count="10">
    <mergeCell ref="A1:H1"/>
    <mergeCell ref="A3:A5"/>
    <mergeCell ref="A6:A10"/>
    <mergeCell ref="A12:A13"/>
    <mergeCell ref="A14:A16"/>
    <mergeCell ref="B3:B5"/>
    <mergeCell ref="B6:B10"/>
    <mergeCell ref="B12:B13"/>
    <mergeCell ref="B14:B16"/>
    <mergeCell ref="H14:H1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opLeftCell="A4" workbookViewId="0">
      <selection activeCell="M13" sqref="M13"/>
    </sheetView>
  </sheetViews>
  <sheetFormatPr defaultColWidth="9" defaultRowHeight="14.25"/>
  <cols>
    <col min="1" max="1" width="4.125" style="58" customWidth="1"/>
    <col min="2" max="2" width="9.88333333333333" style="57" customWidth="1"/>
    <col min="3" max="3" width="32.0333333333333" style="57" customWidth="1"/>
    <col min="4" max="4" width="5.11666666666667" style="58" customWidth="1"/>
    <col min="5" max="5" width="6.475" style="58" customWidth="1"/>
    <col min="6" max="6" width="7.25833333333333" style="58" customWidth="1"/>
    <col min="7" max="7" width="10.3416666666667" style="58" customWidth="1"/>
    <col min="8" max="8" width="14.9916666666667" style="57" customWidth="1"/>
    <col min="9" max="10" width="9" style="57"/>
    <col min="11" max="11" width="12.625" style="57"/>
    <col min="12" max="12" width="9" style="57"/>
    <col min="13" max="13" width="16.125" style="57" customWidth="1"/>
    <col min="14" max="16384" width="9" style="57"/>
  </cols>
  <sheetData>
    <row r="1" s="57" customFormat="1" ht="40" customHeight="1" spans="1:8">
      <c r="A1" s="59" t="s">
        <v>272</v>
      </c>
      <c r="B1" s="59"/>
      <c r="C1" s="59"/>
      <c r="D1" s="59"/>
      <c r="E1" s="59"/>
      <c r="F1" s="59"/>
      <c r="G1" s="59"/>
      <c r="H1" s="59"/>
    </row>
    <row r="2" s="57" customFormat="1" ht="31" customHeight="1" spans="1:8">
      <c r="A2" s="60" t="s">
        <v>1</v>
      </c>
      <c r="B2" s="60" t="s">
        <v>52</v>
      </c>
      <c r="C2" s="60" t="s">
        <v>87</v>
      </c>
      <c r="D2" s="60" t="s">
        <v>88</v>
      </c>
      <c r="E2" s="60" t="s">
        <v>89</v>
      </c>
      <c r="F2" s="60" t="s">
        <v>90</v>
      </c>
      <c r="G2" s="60" t="s">
        <v>91</v>
      </c>
      <c r="H2" s="60" t="s">
        <v>6</v>
      </c>
    </row>
    <row r="3" s="57" customFormat="1" ht="28.5" spans="1:8">
      <c r="A3" s="80">
        <v>1</v>
      </c>
      <c r="B3" s="80" t="s">
        <v>273</v>
      </c>
      <c r="C3" s="81" t="s">
        <v>274</v>
      </c>
      <c r="D3" s="60" t="s">
        <v>93</v>
      </c>
      <c r="E3" s="60">
        <v>1</v>
      </c>
      <c r="F3" s="60">
        <f>3000*1.08</f>
        <v>3240</v>
      </c>
      <c r="G3" s="60">
        <f t="shared" ref="G3:G20" si="0">F3*E3</f>
        <v>3240</v>
      </c>
      <c r="H3" s="60" t="s">
        <v>275</v>
      </c>
    </row>
    <row r="4" s="57" customFormat="1" ht="28.5" spans="1:14">
      <c r="A4" s="80">
        <v>2</v>
      </c>
      <c r="B4" s="80" t="s">
        <v>276</v>
      </c>
      <c r="C4" s="82" t="s">
        <v>277</v>
      </c>
      <c r="D4" s="60" t="s">
        <v>93</v>
      </c>
      <c r="E4" s="60">
        <v>1</v>
      </c>
      <c r="F4" s="60">
        <f>115000*1.08</f>
        <v>124200</v>
      </c>
      <c r="G4" s="60">
        <f t="shared" si="0"/>
        <v>124200</v>
      </c>
      <c r="H4" s="60" t="s">
        <v>275</v>
      </c>
      <c r="I4" s="75"/>
      <c r="J4" s="75"/>
      <c r="K4" s="75"/>
      <c r="L4" s="75"/>
      <c r="M4" s="75"/>
      <c r="N4" s="75"/>
    </row>
    <row r="5" s="57" customFormat="1" ht="28.5" spans="1:14">
      <c r="A5" s="80">
        <v>3</v>
      </c>
      <c r="B5" s="80" t="s">
        <v>278</v>
      </c>
      <c r="C5" s="82" t="s">
        <v>279</v>
      </c>
      <c r="D5" s="60" t="s">
        <v>155</v>
      </c>
      <c r="E5" s="60">
        <f>6.1*21</f>
        <v>128.1</v>
      </c>
      <c r="F5" s="60">
        <f>175/2</f>
        <v>87.5</v>
      </c>
      <c r="G5" s="60">
        <f t="shared" si="0"/>
        <v>11208.75</v>
      </c>
      <c r="H5" s="60" t="s">
        <v>280</v>
      </c>
      <c r="I5" s="75"/>
      <c r="J5" s="75"/>
      <c r="K5" s="75"/>
      <c r="L5" s="75"/>
      <c r="M5" s="75"/>
      <c r="N5" s="75"/>
    </row>
    <row r="6" s="57" customFormat="1" spans="1:14">
      <c r="A6" s="80">
        <v>4</v>
      </c>
      <c r="B6" s="80" t="s">
        <v>281</v>
      </c>
      <c r="C6" s="81" t="s">
        <v>282</v>
      </c>
      <c r="D6" s="60" t="s">
        <v>155</v>
      </c>
      <c r="E6" s="60">
        <v>729.08</v>
      </c>
      <c r="F6" s="60">
        <v>26</v>
      </c>
      <c r="G6" s="60">
        <f t="shared" si="0"/>
        <v>18956.08</v>
      </c>
      <c r="H6" s="83" t="s">
        <v>283</v>
      </c>
      <c r="I6" s="75"/>
      <c r="J6" s="75"/>
      <c r="K6" s="75"/>
      <c r="L6" s="75"/>
      <c r="M6" s="75"/>
      <c r="N6" s="75"/>
    </row>
    <row r="7" s="57" customFormat="1" spans="1:14">
      <c r="A7" s="84"/>
      <c r="B7" s="84"/>
      <c r="C7" s="81" t="s">
        <v>284</v>
      </c>
      <c r="D7" s="60" t="s">
        <v>155</v>
      </c>
      <c r="E7" s="60">
        <f>E6</f>
        <v>729.08</v>
      </c>
      <c r="F7" s="60">
        <v>10</v>
      </c>
      <c r="G7" s="60">
        <f t="shared" si="0"/>
        <v>7290.8</v>
      </c>
      <c r="H7" s="85"/>
      <c r="I7" s="75"/>
      <c r="J7" s="75"/>
      <c r="K7" s="75"/>
      <c r="L7" s="75"/>
      <c r="M7" s="75"/>
      <c r="N7" s="75"/>
    </row>
    <row r="8" s="57" customFormat="1" spans="1:14">
      <c r="A8" s="84"/>
      <c r="B8" s="84"/>
      <c r="C8" s="81" t="s">
        <v>285</v>
      </c>
      <c r="D8" s="60" t="s">
        <v>188</v>
      </c>
      <c r="E8" s="60">
        <v>2300</v>
      </c>
      <c r="F8" s="60">
        <v>4.5</v>
      </c>
      <c r="G8" s="60">
        <f t="shared" si="0"/>
        <v>10350</v>
      </c>
      <c r="H8" s="85"/>
      <c r="I8" s="75"/>
      <c r="J8" s="75"/>
      <c r="K8" s="75"/>
      <c r="L8" s="75"/>
      <c r="M8" s="75"/>
      <c r="N8" s="75"/>
    </row>
    <row r="9" s="57" customFormat="1" spans="1:14">
      <c r="A9" s="84"/>
      <c r="B9" s="84"/>
      <c r="C9" s="81" t="s">
        <v>286</v>
      </c>
      <c r="D9" s="60" t="s">
        <v>114</v>
      </c>
      <c r="E9" s="60">
        <v>3</v>
      </c>
      <c r="F9" s="60">
        <v>950</v>
      </c>
      <c r="G9" s="60">
        <f t="shared" si="0"/>
        <v>2850</v>
      </c>
      <c r="H9" s="85"/>
      <c r="I9" s="75"/>
      <c r="J9" s="75"/>
      <c r="K9" s="75"/>
      <c r="L9" s="75"/>
      <c r="M9" s="75"/>
      <c r="N9" s="75"/>
    </row>
    <row r="10" s="57" customFormat="1" spans="1:14">
      <c r="A10" s="84"/>
      <c r="B10" s="84"/>
      <c r="C10" s="81" t="s">
        <v>287</v>
      </c>
      <c r="D10" s="60" t="s">
        <v>155</v>
      </c>
      <c r="E10" s="60">
        <v>32.24</v>
      </c>
      <c r="F10" s="60">
        <v>180</v>
      </c>
      <c r="G10" s="60">
        <f t="shared" si="0"/>
        <v>5803.2</v>
      </c>
      <c r="H10" s="85"/>
      <c r="I10" s="75"/>
      <c r="J10" s="75"/>
      <c r="L10" s="75"/>
      <c r="M10" s="75"/>
      <c r="N10" s="75"/>
    </row>
    <row r="11" s="57" customFormat="1" spans="1:14">
      <c r="A11" s="84"/>
      <c r="B11" s="84"/>
      <c r="C11" s="81" t="s">
        <v>288</v>
      </c>
      <c r="D11" s="60" t="s">
        <v>188</v>
      </c>
      <c r="E11" s="60">
        <v>2</v>
      </c>
      <c r="F11" s="60">
        <v>200</v>
      </c>
      <c r="G11" s="60">
        <f t="shared" si="0"/>
        <v>400</v>
      </c>
      <c r="H11" s="85"/>
      <c r="I11" s="75"/>
      <c r="J11" s="75"/>
      <c r="K11" s="75"/>
      <c r="L11" s="75"/>
      <c r="M11" s="75"/>
      <c r="N11" s="75"/>
    </row>
    <row r="12" s="57" customFormat="1" spans="1:14">
      <c r="A12" s="86"/>
      <c r="B12" s="86"/>
      <c r="C12" s="81" t="s">
        <v>289</v>
      </c>
      <c r="D12" s="60" t="s">
        <v>188</v>
      </c>
      <c r="E12" s="60">
        <v>100</v>
      </c>
      <c r="F12" s="60">
        <v>20</v>
      </c>
      <c r="G12" s="60">
        <f t="shared" si="0"/>
        <v>2000</v>
      </c>
      <c r="H12" s="87"/>
      <c r="I12" s="75"/>
      <c r="J12" s="75"/>
      <c r="K12" s="75"/>
      <c r="L12" s="75"/>
      <c r="M12" s="75"/>
      <c r="N12" s="75"/>
    </row>
    <row r="13" s="57" customFormat="1" ht="28.5" spans="1:14">
      <c r="A13" s="80">
        <v>5</v>
      </c>
      <c r="B13" s="80" t="s">
        <v>290</v>
      </c>
      <c r="C13" s="81" t="s">
        <v>291</v>
      </c>
      <c r="D13" s="60" t="s">
        <v>141</v>
      </c>
      <c r="E13" s="60">
        <v>196</v>
      </c>
      <c r="F13" s="60">
        <v>45</v>
      </c>
      <c r="G13" s="60">
        <f t="shared" si="0"/>
        <v>8820</v>
      </c>
      <c r="H13" s="60"/>
      <c r="I13" s="75"/>
      <c r="J13" s="75"/>
      <c r="K13" s="75"/>
      <c r="L13" s="75"/>
      <c r="M13" s="75"/>
      <c r="N13" s="75"/>
    </row>
    <row r="14" s="57" customFormat="1" ht="28.5" spans="1:14">
      <c r="A14" s="84"/>
      <c r="B14" s="84"/>
      <c r="C14" s="81" t="s">
        <v>292</v>
      </c>
      <c r="D14" s="60" t="s">
        <v>114</v>
      </c>
      <c r="E14" s="60">
        <v>7</v>
      </c>
      <c r="F14" s="60">
        <v>50</v>
      </c>
      <c r="G14" s="60">
        <f t="shared" si="0"/>
        <v>350</v>
      </c>
      <c r="H14" s="60"/>
      <c r="I14" s="75"/>
      <c r="J14" s="75"/>
      <c r="K14" s="75"/>
      <c r="L14" s="75"/>
      <c r="M14" s="75"/>
      <c r="N14" s="75"/>
    </row>
    <row r="15" s="57" customFormat="1" ht="28.5" spans="1:14">
      <c r="A15" s="84"/>
      <c r="B15" s="84"/>
      <c r="C15" s="81" t="s">
        <v>293</v>
      </c>
      <c r="D15" s="60" t="s">
        <v>141</v>
      </c>
      <c r="E15" s="60">
        <v>121</v>
      </c>
      <c r="F15" s="60">
        <v>25</v>
      </c>
      <c r="G15" s="60">
        <f t="shared" si="0"/>
        <v>3025</v>
      </c>
      <c r="H15" s="60"/>
      <c r="I15" s="75"/>
      <c r="J15" s="75"/>
      <c r="K15" s="75"/>
      <c r="L15" s="75"/>
      <c r="M15" s="75"/>
      <c r="N15" s="75"/>
    </row>
    <row r="16" s="57" customFormat="1" ht="28.5" spans="1:14">
      <c r="A16" s="84"/>
      <c r="B16" s="84"/>
      <c r="C16" s="81" t="s">
        <v>294</v>
      </c>
      <c r="D16" s="60" t="s">
        <v>141</v>
      </c>
      <c r="E16" s="60">
        <v>39</v>
      </c>
      <c r="F16" s="60">
        <v>14.54</v>
      </c>
      <c r="G16" s="60">
        <f t="shared" si="0"/>
        <v>567.06</v>
      </c>
      <c r="H16" s="60"/>
      <c r="I16" s="75"/>
      <c r="J16" s="75"/>
      <c r="K16" s="75"/>
      <c r="L16" s="75"/>
      <c r="M16" s="75"/>
      <c r="N16" s="75"/>
    </row>
    <row r="17" s="57" customFormat="1" ht="28.5" spans="1:14">
      <c r="A17" s="84"/>
      <c r="B17" s="84"/>
      <c r="C17" s="81" t="s">
        <v>295</v>
      </c>
      <c r="D17" s="60" t="s">
        <v>150</v>
      </c>
      <c r="E17" s="60">
        <v>0</v>
      </c>
      <c r="F17" s="60">
        <v>26.53</v>
      </c>
      <c r="G17" s="60">
        <f t="shared" si="0"/>
        <v>0</v>
      </c>
      <c r="H17" s="60"/>
      <c r="I17" s="75"/>
      <c r="J17" s="75"/>
      <c r="K17" s="75"/>
      <c r="L17" s="75"/>
      <c r="M17" s="75"/>
      <c r="N17" s="75"/>
    </row>
    <row r="18" s="57" customFormat="1" ht="28.5" spans="1:14">
      <c r="A18" s="84"/>
      <c r="B18" s="84"/>
      <c r="C18" s="81" t="s">
        <v>296</v>
      </c>
      <c r="D18" s="60" t="s">
        <v>114</v>
      </c>
      <c r="E18" s="60">
        <v>9</v>
      </c>
      <c r="F18" s="60">
        <v>90</v>
      </c>
      <c r="G18" s="60">
        <f t="shared" si="0"/>
        <v>810</v>
      </c>
      <c r="H18" s="60"/>
      <c r="I18" s="75"/>
      <c r="J18" s="75"/>
      <c r="K18" s="75"/>
      <c r="L18" s="75"/>
      <c r="M18" s="75"/>
      <c r="N18" s="75"/>
    </row>
    <row r="19" s="57" customFormat="1" ht="28.5" spans="1:14">
      <c r="A19" s="84"/>
      <c r="B19" s="84"/>
      <c r="C19" s="81" t="s">
        <v>297</v>
      </c>
      <c r="D19" s="60" t="s">
        <v>114</v>
      </c>
      <c r="E19" s="60">
        <v>23</v>
      </c>
      <c r="F19" s="60">
        <v>45</v>
      </c>
      <c r="G19" s="60">
        <f t="shared" si="0"/>
        <v>1035</v>
      </c>
      <c r="H19" s="60"/>
      <c r="I19" s="75"/>
      <c r="J19" s="75"/>
      <c r="K19" s="75"/>
      <c r="L19" s="75"/>
      <c r="M19" s="75"/>
      <c r="N19" s="75"/>
    </row>
    <row r="20" s="57" customFormat="1" ht="42.75" spans="1:14">
      <c r="A20" s="86"/>
      <c r="B20" s="86"/>
      <c r="C20" s="81" t="s">
        <v>298</v>
      </c>
      <c r="D20" s="60" t="s">
        <v>110</v>
      </c>
      <c r="E20" s="60">
        <v>15</v>
      </c>
      <c r="F20" s="60">
        <v>200</v>
      </c>
      <c r="G20" s="60">
        <f t="shared" si="0"/>
        <v>3000</v>
      </c>
      <c r="H20" s="60" t="s">
        <v>299</v>
      </c>
      <c r="I20" s="75"/>
      <c r="J20" s="75"/>
      <c r="K20" s="75"/>
      <c r="L20" s="75"/>
      <c r="M20" s="75"/>
      <c r="N20" s="75"/>
    </row>
    <row r="21" s="57" customFormat="1" ht="19" customHeight="1" spans="1:8">
      <c r="A21" s="60">
        <v>6</v>
      </c>
      <c r="B21" s="81"/>
      <c r="C21" s="81" t="s">
        <v>193</v>
      </c>
      <c r="D21" s="60"/>
      <c r="E21" s="60"/>
      <c r="F21" s="60"/>
      <c r="G21" s="60">
        <f>SUM(G3:G20)</f>
        <v>203905.89</v>
      </c>
      <c r="H21" s="60"/>
    </row>
    <row r="22" s="57" customFormat="1" ht="19" customHeight="1" spans="1:8">
      <c r="A22" s="60">
        <v>7</v>
      </c>
      <c r="B22" s="81"/>
      <c r="C22" s="81" t="s">
        <v>194</v>
      </c>
      <c r="D22" s="60"/>
      <c r="E22" s="60"/>
      <c r="F22" s="60"/>
      <c r="G22" s="60">
        <v>203500</v>
      </c>
      <c r="H22" s="60"/>
    </row>
    <row r="23" s="57" customFormat="1" spans="1:8">
      <c r="A23" s="88"/>
      <c r="B23" s="79"/>
      <c r="C23" s="79"/>
      <c r="D23" s="88"/>
      <c r="E23" s="88"/>
      <c r="F23" s="88"/>
      <c r="G23" s="88"/>
      <c r="H23" s="79"/>
    </row>
    <row r="24" s="57" customFormat="1" spans="1:8">
      <c r="A24" s="88"/>
      <c r="B24" s="79"/>
      <c r="C24" s="79"/>
      <c r="D24" s="88"/>
      <c r="E24" s="88"/>
      <c r="F24" s="88"/>
      <c r="G24" s="88"/>
      <c r="H24" s="79"/>
    </row>
    <row r="25" s="79" customFormat="1" ht="11.25" spans="1:7">
      <c r="A25" s="88"/>
      <c r="B25" s="79" t="s">
        <v>136</v>
      </c>
      <c r="D25" s="88" t="s">
        <v>195</v>
      </c>
      <c r="E25" s="88"/>
      <c r="F25" s="88"/>
      <c r="G25" s="88"/>
    </row>
    <row r="26" s="79" customFormat="1" ht="11.25" spans="1:7">
      <c r="A26" s="88"/>
      <c r="D26" s="88"/>
      <c r="E26" s="88"/>
      <c r="F26" s="88"/>
      <c r="G26" s="88"/>
    </row>
    <row r="27" s="79" customFormat="1" ht="11.25" spans="1:7">
      <c r="A27" s="88"/>
      <c r="D27" s="88"/>
      <c r="E27" s="88"/>
      <c r="F27" s="88"/>
      <c r="G27" s="88"/>
    </row>
    <row r="28" s="79" customFormat="1" ht="11.25" spans="1:7">
      <c r="A28" s="88"/>
      <c r="B28" s="79" t="s">
        <v>137</v>
      </c>
      <c r="D28" s="88" t="s">
        <v>195</v>
      </c>
      <c r="E28" s="88"/>
      <c r="F28" s="88"/>
      <c r="G28" s="88"/>
    </row>
    <row r="29" s="79" customFormat="1" ht="11.25" spans="1:7">
      <c r="A29" s="88"/>
      <c r="D29" s="88"/>
      <c r="E29" s="88"/>
      <c r="F29" s="88"/>
      <c r="G29" s="88"/>
    </row>
  </sheetData>
  <mergeCells count="6">
    <mergeCell ref="A1:H1"/>
    <mergeCell ref="A6:A12"/>
    <mergeCell ref="A13:A20"/>
    <mergeCell ref="B6:B12"/>
    <mergeCell ref="B13:B20"/>
    <mergeCell ref="H6:H1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topLeftCell="A58" workbookViewId="0">
      <selection activeCell="K70" sqref="K70"/>
    </sheetView>
  </sheetViews>
  <sheetFormatPr defaultColWidth="9" defaultRowHeight="14.25"/>
  <cols>
    <col min="1" max="1" width="4.125" style="58" customWidth="1"/>
    <col min="2" max="2" width="6.475" style="57" customWidth="1"/>
    <col min="3" max="3" width="27.95" style="57" customWidth="1"/>
    <col min="4" max="4" width="5.875" style="58" customWidth="1"/>
    <col min="5" max="5" width="6.59166666666667" style="57" customWidth="1"/>
    <col min="6" max="6" width="9.125" style="57" customWidth="1"/>
    <col min="7" max="7" width="10.875" style="57" customWidth="1"/>
    <col min="8" max="8" width="15.1083333333333" style="57" customWidth="1"/>
    <col min="9" max="10" width="9" style="57"/>
    <col min="11" max="11" width="12.625" style="57"/>
    <col min="12" max="12" width="9" style="57"/>
    <col min="13" max="13" width="16.125" style="57" customWidth="1"/>
    <col min="14" max="16384" width="9" style="57"/>
  </cols>
  <sheetData>
    <row r="1" s="57" customFormat="1" ht="29" customHeight="1" spans="1:8">
      <c r="A1" s="59" t="s">
        <v>300</v>
      </c>
      <c r="B1" s="59"/>
      <c r="C1" s="59"/>
      <c r="D1" s="59"/>
      <c r="E1" s="59"/>
      <c r="F1" s="59"/>
      <c r="G1" s="59"/>
      <c r="H1" s="59"/>
    </row>
    <row r="2" s="57" customFormat="1" ht="31" customHeight="1" spans="1:8">
      <c r="A2" s="60" t="s">
        <v>1</v>
      </c>
      <c r="B2" s="60" t="s">
        <v>52</v>
      </c>
      <c r="C2" s="60" t="s">
        <v>87</v>
      </c>
      <c r="D2" s="60" t="s">
        <v>88</v>
      </c>
      <c r="E2" s="60" t="s">
        <v>89</v>
      </c>
      <c r="F2" s="60" t="s">
        <v>90</v>
      </c>
      <c r="G2" s="60" t="s">
        <v>91</v>
      </c>
      <c r="H2" s="61" t="s">
        <v>6</v>
      </c>
    </row>
    <row r="3" s="57" customFormat="1" ht="29" customHeight="1" spans="1:14">
      <c r="A3" s="62">
        <v>6</v>
      </c>
      <c r="B3" s="62" t="s">
        <v>301</v>
      </c>
      <c r="C3" s="63" t="s">
        <v>302</v>
      </c>
      <c r="D3" s="64" t="s">
        <v>93</v>
      </c>
      <c r="E3" s="64">
        <v>1</v>
      </c>
      <c r="F3" s="64">
        <v>3235.29</v>
      </c>
      <c r="G3" s="64">
        <f t="shared" ref="G3:G18" si="0">E3*F3</f>
        <v>3235.29</v>
      </c>
      <c r="H3" s="65"/>
      <c r="I3" s="75"/>
      <c r="J3" s="75"/>
      <c r="K3" s="75"/>
      <c r="L3" s="75"/>
      <c r="M3" s="76"/>
      <c r="N3" s="75"/>
    </row>
    <row r="4" s="57" customFormat="1" ht="28" customHeight="1" spans="1:14">
      <c r="A4" s="67"/>
      <c r="B4" s="67"/>
      <c r="C4" s="63" t="s">
        <v>303</v>
      </c>
      <c r="D4" s="64" t="s">
        <v>93</v>
      </c>
      <c r="E4" s="64">
        <v>1</v>
      </c>
      <c r="F4" s="64">
        <v>1386.55</v>
      </c>
      <c r="G4" s="64">
        <f t="shared" si="0"/>
        <v>1386.55</v>
      </c>
      <c r="H4" s="66"/>
      <c r="I4" s="75"/>
      <c r="J4" s="75"/>
      <c r="K4" s="75"/>
      <c r="L4" s="75"/>
      <c r="M4" s="76"/>
      <c r="N4" s="75"/>
    </row>
    <row r="5" s="57" customFormat="1" ht="38" customHeight="1" spans="1:14">
      <c r="A5" s="67"/>
      <c r="B5" s="67"/>
      <c r="C5" s="63" t="s">
        <v>304</v>
      </c>
      <c r="D5" s="64" t="s">
        <v>93</v>
      </c>
      <c r="E5" s="64">
        <v>1</v>
      </c>
      <c r="F5" s="77">
        <v>6008.4</v>
      </c>
      <c r="G5" s="64">
        <f t="shared" si="0"/>
        <v>6008.4</v>
      </c>
      <c r="H5" s="66" t="s">
        <v>305</v>
      </c>
      <c r="I5" s="75"/>
      <c r="J5" s="75"/>
      <c r="K5" s="75"/>
      <c r="L5" s="75"/>
      <c r="M5" s="76"/>
      <c r="N5" s="75"/>
    </row>
    <row r="6" s="57" customFormat="1" ht="23" customHeight="1" spans="1:14">
      <c r="A6" s="67"/>
      <c r="B6" s="67"/>
      <c r="C6" s="63" t="s">
        <v>306</v>
      </c>
      <c r="D6" s="64" t="s">
        <v>93</v>
      </c>
      <c r="E6" s="64">
        <v>1</v>
      </c>
      <c r="F6" s="64">
        <v>2310.92</v>
      </c>
      <c r="G6" s="64">
        <f t="shared" si="0"/>
        <v>2310.92</v>
      </c>
      <c r="H6" s="66" t="s">
        <v>307</v>
      </c>
      <c r="I6" s="75"/>
      <c r="J6" s="75"/>
      <c r="K6" s="75"/>
      <c r="L6" s="75"/>
      <c r="M6" s="76"/>
      <c r="N6" s="75"/>
    </row>
    <row r="7" s="57" customFormat="1" ht="24" spans="1:14">
      <c r="A7" s="67"/>
      <c r="B7" s="67"/>
      <c r="C7" s="63" t="s">
        <v>308</v>
      </c>
      <c r="D7" s="64" t="s">
        <v>93</v>
      </c>
      <c r="E7" s="64">
        <v>1</v>
      </c>
      <c r="F7" s="64">
        <v>3235.29</v>
      </c>
      <c r="G7" s="64">
        <f t="shared" si="0"/>
        <v>3235.29</v>
      </c>
      <c r="H7" s="66"/>
      <c r="I7" s="75"/>
      <c r="J7" s="75"/>
      <c r="K7" s="75"/>
      <c r="L7" s="75"/>
      <c r="M7" s="76"/>
      <c r="N7" s="75"/>
    </row>
    <row r="8" s="57" customFormat="1" ht="16.5" spans="1:14">
      <c r="A8" s="67"/>
      <c r="B8" s="67"/>
      <c r="C8" s="63" t="s">
        <v>309</v>
      </c>
      <c r="D8" s="64" t="s">
        <v>93</v>
      </c>
      <c r="E8" s="64">
        <v>1</v>
      </c>
      <c r="F8" s="64">
        <v>1386.55</v>
      </c>
      <c r="G8" s="64">
        <f t="shared" si="0"/>
        <v>1386.55</v>
      </c>
      <c r="H8" s="66"/>
      <c r="I8" s="75"/>
      <c r="J8" s="75"/>
      <c r="K8" s="75"/>
      <c r="L8" s="75"/>
      <c r="M8" s="76"/>
      <c r="N8" s="75"/>
    </row>
    <row r="9" s="57" customFormat="1" ht="42" customHeight="1" spans="1:14">
      <c r="A9" s="67"/>
      <c r="B9" s="67"/>
      <c r="C9" s="63" t="s">
        <v>310</v>
      </c>
      <c r="D9" s="64" t="s">
        <v>93</v>
      </c>
      <c r="E9" s="64">
        <v>1</v>
      </c>
      <c r="F9" s="64">
        <v>6008.4</v>
      </c>
      <c r="G9" s="64">
        <f t="shared" si="0"/>
        <v>6008.4</v>
      </c>
      <c r="H9" s="66"/>
      <c r="I9" s="75"/>
      <c r="J9" s="75"/>
      <c r="K9" s="75"/>
      <c r="L9" s="75"/>
      <c r="M9" s="76"/>
      <c r="N9" s="75"/>
    </row>
    <row r="10" s="57" customFormat="1" ht="16.5" spans="1:14">
      <c r="A10" s="67"/>
      <c r="B10" s="67"/>
      <c r="C10" s="63" t="s">
        <v>311</v>
      </c>
      <c r="D10" s="64" t="s">
        <v>93</v>
      </c>
      <c r="E10" s="64">
        <v>1</v>
      </c>
      <c r="F10" s="64">
        <v>1663.87</v>
      </c>
      <c r="G10" s="64">
        <f t="shared" si="0"/>
        <v>1663.87</v>
      </c>
      <c r="H10" s="66"/>
      <c r="I10" s="75"/>
      <c r="J10" s="75"/>
      <c r="K10" s="75"/>
      <c r="L10" s="75"/>
      <c r="M10" s="76"/>
      <c r="N10" s="75"/>
    </row>
    <row r="11" s="57" customFormat="1" ht="41" customHeight="1" spans="1:14">
      <c r="A11" s="67"/>
      <c r="B11" s="67"/>
      <c r="C11" s="63" t="s">
        <v>312</v>
      </c>
      <c r="D11" s="64" t="s">
        <v>93</v>
      </c>
      <c r="E11" s="64">
        <v>1</v>
      </c>
      <c r="F11" s="64">
        <v>2773.11</v>
      </c>
      <c r="G11" s="64">
        <f t="shared" si="0"/>
        <v>2773.11</v>
      </c>
      <c r="H11" s="66" t="s">
        <v>313</v>
      </c>
      <c r="I11" s="75"/>
      <c r="J11" s="75"/>
      <c r="K11" s="75"/>
      <c r="L11" s="75"/>
      <c r="M11" s="76"/>
      <c r="N11" s="75"/>
    </row>
    <row r="12" s="57" customFormat="1" ht="16.5" spans="1:14">
      <c r="A12" s="67"/>
      <c r="B12" s="67"/>
      <c r="C12" s="63" t="s">
        <v>314</v>
      </c>
      <c r="D12" s="64" t="s">
        <v>93</v>
      </c>
      <c r="E12" s="64">
        <v>1</v>
      </c>
      <c r="F12" s="64">
        <v>462.18</v>
      </c>
      <c r="G12" s="64">
        <f t="shared" si="0"/>
        <v>462.18</v>
      </c>
      <c r="H12" s="66"/>
      <c r="I12" s="75"/>
      <c r="J12" s="75"/>
      <c r="K12" s="75"/>
      <c r="L12" s="75"/>
      <c r="M12" s="76"/>
      <c r="N12" s="75"/>
    </row>
    <row r="13" s="57" customFormat="1" ht="24" spans="1:14">
      <c r="A13" s="67"/>
      <c r="B13" s="67"/>
      <c r="C13" s="63" t="s">
        <v>315</v>
      </c>
      <c r="D13" s="64" t="s">
        <v>93</v>
      </c>
      <c r="E13" s="64">
        <v>1</v>
      </c>
      <c r="F13" s="64">
        <v>924.37</v>
      </c>
      <c r="G13" s="64">
        <f t="shared" si="0"/>
        <v>924.37</v>
      </c>
      <c r="H13" s="66" t="s">
        <v>316</v>
      </c>
      <c r="I13" s="75"/>
      <c r="J13" s="75"/>
      <c r="K13" s="75"/>
      <c r="L13" s="75"/>
      <c r="M13" s="76"/>
      <c r="N13" s="75"/>
    </row>
    <row r="14" s="57" customFormat="1" ht="16.5" spans="1:14">
      <c r="A14" s="67"/>
      <c r="B14" s="67"/>
      <c r="C14" s="63" t="s">
        <v>317</v>
      </c>
      <c r="D14" s="64" t="s">
        <v>93</v>
      </c>
      <c r="E14" s="64">
        <v>1</v>
      </c>
      <c r="F14" s="64">
        <v>739.5</v>
      </c>
      <c r="G14" s="64">
        <f t="shared" si="0"/>
        <v>739.5</v>
      </c>
      <c r="H14" s="66"/>
      <c r="I14" s="75"/>
      <c r="J14" s="75"/>
      <c r="K14" s="75"/>
      <c r="L14" s="75"/>
      <c r="M14" s="76"/>
      <c r="N14" s="75"/>
    </row>
    <row r="15" s="57" customFormat="1" ht="16.5" spans="1:14">
      <c r="A15" s="67"/>
      <c r="B15" s="67"/>
      <c r="C15" s="63" t="s">
        <v>318</v>
      </c>
      <c r="D15" s="64" t="s">
        <v>93</v>
      </c>
      <c r="E15" s="64">
        <v>1</v>
      </c>
      <c r="F15" s="64">
        <v>739.5</v>
      </c>
      <c r="G15" s="64">
        <f t="shared" si="0"/>
        <v>739.5</v>
      </c>
      <c r="H15" s="66"/>
      <c r="I15" s="75"/>
      <c r="J15" s="75"/>
      <c r="K15" s="75"/>
      <c r="L15" s="75"/>
      <c r="M15" s="76"/>
      <c r="N15" s="75"/>
    </row>
    <row r="16" s="57" customFormat="1" ht="16.5" spans="1:14">
      <c r="A16" s="67"/>
      <c r="B16" s="67"/>
      <c r="C16" s="63" t="s">
        <v>319</v>
      </c>
      <c r="D16" s="64" t="s">
        <v>93</v>
      </c>
      <c r="E16" s="64">
        <v>1</v>
      </c>
      <c r="F16" s="64">
        <v>1941.18</v>
      </c>
      <c r="G16" s="64">
        <f t="shared" si="0"/>
        <v>1941.18</v>
      </c>
      <c r="H16" s="66"/>
      <c r="I16" s="75"/>
      <c r="J16" s="75"/>
      <c r="K16" s="75"/>
      <c r="L16" s="75"/>
      <c r="M16" s="76"/>
      <c r="N16" s="75"/>
    </row>
    <row r="17" s="57" customFormat="1" ht="16.5" spans="1:14">
      <c r="A17" s="67"/>
      <c r="B17" s="67"/>
      <c r="C17" s="63" t="s">
        <v>320</v>
      </c>
      <c r="D17" s="64" t="s">
        <v>93</v>
      </c>
      <c r="E17" s="64">
        <v>1</v>
      </c>
      <c r="F17" s="64">
        <v>184.87</v>
      </c>
      <c r="G17" s="64">
        <f t="shared" si="0"/>
        <v>184.87</v>
      </c>
      <c r="H17" s="66"/>
      <c r="I17" s="75"/>
      <c r="J17" s="75"/>
      <c r="K17" s="75"/>
      <c r="L17" s="75"/>
      <c r="M17" s="76"/>
      <c r="N17" s="75"/>
    </row>
    <row r="18" s="57" customFormat="1" ht="40" customHeight="1" spans="1:14">
      <c r="A18" s="67"/>
      <c r="B18" s="67"/>
      <c r="C18" s="63" t="s">
        <v>321</v>
      </c>
      <c r="D18" s="64" t="s">
        <v>93</v>
      </c>
      <c r="E18" s="64">
        <v>1</v>
      </c>
      <c r="F18" s="64">
        <v>33000</v>
      </c>
      <c r="G18" s="64">
        <f t="shared" si="0"/>
        <v>33000</v>
      </c>
      <c r="H18" s="66" t="s">
        <v>322</v>
      </c>
      <c r="I18" s="75"/>
      <c r="J18" s="75"/>
      <c r="K18" s="75"/>
      <c r="L18" s="75"/>
      <c r="M18" s="75"/>
      <c r="N18" s="75"/>
    </row>
    <row r="19" s="57" customFormat="1" ht="16.5" spans="1:14">
      <c r="A19" s="67"/>
      <c r="B19" s="67"/>
      <c r="C19" s="68" t="s">
        <v>323</v>
      </c>
      <c r="D19" s="64"/>
      <c r="E19" s="64"/>
      <c r="F19" s="64"/>
      <c r="G19" s="64"/>
      <c r="H19" s="66"/>
      <c r="I19" s="75"/>
      <c r="J19" s="75"/>
      <c r="K19" s="75"/>
      <c r="L19" s="75"/>
      <c r="M19" s="75"/>
      <c r="N19" s="75"/>
    </row>
    <row r="20" s="57" customFormat="1" ht="24" spans="1:14">
      <c r="A20" s="67"/>
      <c r="B20" s="67"/>
      <c r="C20" s="63" t="s">
        <v>324</v>
      </c>
      <c r="D20" s="64" t="s">
        <v>93</v>
      </c>
      <c r="E20" s="64">
        <v>1</v>
      </c>
      <c r="F20" s="64">
        <v>3000</v>
      </c>
      <c r="G20" s="64">
        <f t="shared" ref="G20:G30" si="1">F20*E20</f>
        <v>3000</v>
      </c>
      <c r="H20" s="66" t="s">
        <v>325</v>
      </c>
      <c r="I20" s="75"/>
      <c r="J20" s="75"/>
      <c r="K20" s="75"/>
      <c r="L20" s="75"/>
      <c r="M20" s="75"/>
      <c r="N20" s="75"/>
    </row>
    <row r="21" s="57" customFormat="1" ht="16.5" spans="1:14">
      <c r="A21" s="67"/>
      <c r="B21" s="67"/>
      <c r="C21" s="68" t="s">
        <v>326</v>
      </c>
      <c r="D21" s="64" t="s">
        <v>155</v>
      </c>
      <c r="E21" s="64">
        <v>6.86</v>
      </c>
      <c r="F21" s="64">
        <v>150</v>
      </c>
      <c r="G21" s="64">
        <f t="shared" si="1"/>
        <v>1029</v>
      </c>
      <c r="H21" s="66"/>
      <c r="I21" s="75"/>
      <c r="J21" s="75"/>
      <c r="K21" s="75"/>
      <c r="L21" s="75"/>
      <c r="M21" s="75"/>
      <c r="N21" s="75"/>
    </row>
    <row r="22" s="57" customFormat="1" ht="16.5" spans="1:14">
      <c r="A22" s="67"/>
      <c r="B22" s="67"/>
      <c r="C22" s="68" t="s">
        <v>327</v>
      </c>
      <c r="D22" s="64" t="s">
        <v>93</v>
      </c>
      <c r="E22" s="64">
        <v>1</v>
      </c>
      <c r="F22" s="64">
        <v>1500</v>
      </c>
      <c r="G22" s="64">
        <f t="shared" si="1"/>
        <v>1500</v>
      </c>
      <c r="H22" s="66"/>
      <c r="I22" s="75"/>
      <c r="J22" s="75"/>
      <c r="K22" s="75"/>
      <c r="L22" s="75"/>
      <c r="M22" s="75"/>
      <c r="N22" s="75"/>
    </row>
    <row r="23" s="57" customFormat="1" ht="16.5" spans="1:14">
      <c r="A23" s="67"/>
      <c r="B23" s="67"/>
      <c r="C23" s="68" t="s">
        <v>328</v>
      </c>
      <c r="D23" s="64" t="s">
        <v>93</v>
      </c>
      <c r="E23" s="64">
        <v>1</v>
      </c>
      <c r="F23" s="64">
        <v>500</v>
      </c>
      <c r="G23" s="64">
        <f t="shared" si="1"/>
        <v>500</v>
      </c>
      <c r="H23" s="66" t="s">
        <v>325</v>
      </c>
      <c r="I23" s="75"/>
      <c r="J23" s="75"/>
      <c r="K23" s="75"/>
      <c r="L23" s="75"/>
      <c r="M23" s="75"/>
      <c r="N23" s="75"/>
    </row>
    <row r="24" s="57" customFormat="1" ht="16.5" spans="1:14">
      <c r="A24" s="67"/>
      <c r="B24" s="67"/>
      <c r="C24" s="68" t="s">
        <v>329</v>
      </c>
      <c r="D24" s="64" t="s">
        <v>155</v>
      </c>
      <c r="E24" s="64">
        <v>134.75</v>
      </c>
      <c r="F24" s="64">
        <v>90</v>
      </c>
      <c r="G24" s="64">
        <f t="shared" si="1"/>
        <v>12127.5</v>
      </c>
      <c r="H24" s="66"/>
      <c r="I24" s="75"/>
      <c r="J24" s="75"/>
      <c r="K24" s="75"/>
      <c r="L24" s="75"/>
      <c r="M24" s="75"/>
      <c r="N24" s="75"/>
    </row>
    <row r="25" s="57" customFormat="1" ht="16.5" spans="1:14">
      <c r="A25" s="67"/>
      <c r="B25" s="67"/>
      <c r="C25" s="68" t="s">
        <v>330</v>
      </c>
      <c r="D25" s="64" t="s">
        <v>93</v>
      </c>
      <c r="E25" s="64">
        <v>1</v>
      </c>
      <c r="F25" s="64">
        <v>800</v>
      </c>
      <c r="G25" s="64">
        <f t="shared" si="1"/>
        <v>800</v>
      </c>
      <c r="H25" s="66"/>
      <c r="I25" s="75"/>
      <c r="J25" s="75"/>
      <c r="K25" s="75"/>
      <c r="L25" s="75"/>
      <c r="M25" s="75"/>
      <c r="N25" s="75"/>
    </row>
    <row r="26" s="57" customFormat="1" ht="16.5" spans="1:14">
      <c r="A26" s="67"/>
      <c r="B26" s="67"/>
      <c r="C26" s="68" t="s">
        <v>331</v>
      </c>
      <c r="D26" s="64" t="s">
        <v>93</v>
      </c>
      <c r="E26" s="64">
        <v>1</v>
      </c>
      <c r="F26" s="64">
        <v>600</v>
      </c>
      <c r="G26" s="64">
        <f t="shared" si="1"/>
        <v>600</v>
      </c>
      <c r="H26" s="66" t="s">
        <v>332</v>
      </c>
      <c r="I26" s="75"/>
      <c r="J26" s="75"/>
      <c r="K26" s="75"/>
      <c r="L26" s="75"/>
      <c r="M26" s="75"/>
      <c r="N26" s="75"/>
    </row>
    <row r="27" s="57" customFormat="1" ht="16.5" spans="1:14">
      <c r="A27" s="67"/>
      <c r="B27" s="67"/>
      <c r="C27" s="68" t="s">
        <v>333</v>
      </c>
      <c r="D27" s="64" t="s">
        <v>93</v>
      </c>
      <c r="E27" s="64">
        <v>1</v>
      </c>
      <c r="F27" s="64">
        <v>300</v>
      </c>
      <c r="G27" s="64">
        <f t="shared" si="1"/>
        <v>300</v>
      </c>
      <c r="H27" s="66"/>
      <c r="I27" s="75"/>
      <c r="J27" s="75"/>
      <c r="K27" s="75"/>
      <c r="L27" s="75"/>
      <c r="M27" s="75"/>
      <c r="N27" s="75"/>
    </row>
    <row r="28" s="57" customFormat="1" ht="37" customHeight="1" spans="1:14">
      <c r="A28" s="67"/>
      <c r="B28" s="67"/>
      <c r="C28" s="63" t="s">
        <v>334</v>
      </c>
      <c r="D28" s="64" t="s">
        <v>93</v>
      </c>
      <c r="E28" s="64">
        <v>1</v>
      </c>
      <c r="F28" s="64">
        <v>500</v>
      </c>
      <c r="G28" s="64">
        <f t="shared" si="1"/>
        <v>500</v>
      </c>
      <c r="H28" s="66"/>
      <c r="I28" s="75"/>
      <c r="J28" s="75"/>
      <c r="K28" s="75"/>
      <c r="L28" s="75"/>
      <c r="M28" s="75"/>
      <c r="N28" s="75"/>
    </row>
    <row r="29" s="57" customFormat="1" ht="16.5" spans="1:14">
      <c r="A29" s="67"/>
      <c r="B29" s="67"/>
      <c r="C29" s="68" t="s">
        <v>335</v>
      </c>
      <c r="D29" s="64" t="s">
        <v>155</v>
      </c>
      <c r="E29" s="77">
        <v>25.63</v>
      </c>
      <c r="F29" s="64">
        <v>15</v>
      </c>
      <c r="G29" s="64">
        <f t="shared" si="1"/>
        <v>384.45</v>
      </c>
      <c r="H29" s="66"/>
      <c r="I29" s="75"/>
      <c r="J29" s="75"/>
      <c r="K29" s="75"/>
      <c r="L29" s="75"/>
      <c r="M29" s="75"/>
      <c r="N29" s="75"/>
    </row>
    <row r="30" s="57" customFormat="1" ht="24" customHeight="1" spans="1:14">
      <c r="A30" s="67"/>
      <c r="B30" s="67"/>
      <c r="C30" s="68" t="s">
        <v>336</v>
      </c>
      <c r="D30" s="64" t="s">
        <v>155</v>
      </c>
      <c r="E30" s="64">
        <v>23.58</v>
      </c>
      <c r="F30" s="64">
        <v>780</v>
      </c>
      <c r="G30" s="64">
        <f t="shared" si="1"/>
        <v>18392.4</v>
      </c>
      <c r="H30" s="66"/>
      <c r="I30" s="75"/>
      <c r="J30" s="75"/>
      <c r="K30" s="75"/>
      <c r="L30" s="75"/>
      <c r="M30" s="75"/>
      <c r="N30" s="75"/>
    </row>
    <row r="31" s="57" customFormat="1" ht="16.5" spans="1:14">
      <c r="A31" s="67"/>
      <c r="B31" s="67"/>
      <c r="C31" s="68" t="s">
        <v>337</v>
      </c>
      <c r="D31" s="64"/>
      <c r="E31" s="64"/>
      <c r="F31" s="64"/>
      <c r="G31" s="64"/>
      <c r="H31" s="66"/>
      <c r="I31" s="75"/>
      <c r="J31" s="75"/>
      <c r="K31" s="75"/>
      <c r="L31" s="75"/>
      <c r="M31" s="75"/>
      <c r="N31" s="75"/>
    </row>
    <row r="32" s="57" customFormat="1" ht="24" customHeight="1" spans="1:14">
      <c r="A32" s="67"/>
      <c r="B32" s="67"/>
      <c r="C32" s="68" t="s">
        <v>338</v>
      </c>
      <c r="D32" s="64" t="s">
        <v>93</v>
      </c>
      <c r="E32" s="64">
        <v>1</v>
      </c>
      <c r="F32" s="64">
        <f>11000-1500</f>
        <v>9500</v>
      </c>
      <c r="G32" s="64">
        <f t="shared" ref="G32:G59" si="2">F32*E32</f>
        <v>9500</v>
      </c>
      <c r="H32" s="66" t="s">
        <v>339</v>
      </c>
      <c r="I32" s="75"/>
      <c r="J32" s="75"/>
      <c r="K32" s="75"/>
      <c r="L32" s="75"/>
      <c r="M32" s="75"/>
      <c r="N32" s="75"/>
    </row>
    <row r="33" s="57" customFormat="1" ht="23" customHeight="1" spans="1:14">
      <c r="A33" s="67"/>
      <c r="B33" s="67"/>
      <c r="C33" s="68" t="s">
        <v>340</v>
      </c>
      <c r="D33" s="64" t="s">
        <v>155</v>
      </c>
      <c r="E33" s="64">
        <f>21.05+14.01</f>
        <v>35.06</v>
      </c>
      <c r="F33" s="64">
        <v>290</v>
      </c>
      <c r="G33" s="64">
        <f t="shared" si="2"/>
        <v>10167.4</v>
      </c>
      <c r="H33" s="66"/>
      <c r="I33" s="75"/>
      <c r="J33" s="75"/>
      <c r="K33" s="75"/>
      <c r="L33" s="75"/>
      <c r="M33" s="75"/>
      <c r="N33" s="75"/>
    </row>
    <row r="34" s="57" customFormat="1" ht="23" customHeight="1" spans="1:14">
      <c r="A34" s="67"/>
      <c r="B34" s="67"/>
      <c r="C34" s="68" t="s">
        <v>341</v>
      </c>
      <c r="D34" s="64" t="s">
        <v>155</v>
      </c>
      <c r="E34" s="64">
        <v>38.13</v>
      </c>
      <c r="F34" s="64">
        <v>410</v>
      </c>
      <c r="G34" s="64">
        <f t="shared" si="2"/>
        <v>15633.3</v>
      </c>
      <c r="H34" s="66"/>
      <c r="I34" s="75"/>
      <c r="J34" s="75"/>
      <c r="K34" s="75"/>
      <c r="L34" s="75"/>
      <c r="M34" s="75"/>
      <c r="N34" s="75"/>
    </row>
    <row r="35" s="57" customFormat="1" ht="23" customHeight="1" spans="1:14">
      <c r="A35" s="67"/>
      <c r="B35" s="67"/>
      <c r="C35" s="68" t="s">
        <v>342</v>
      </c>
      <c r="D35" s="64" t="s">
        <v>155</v>
      </c>
      <c r="E35" s="64">
        <f>17.16+35.11+17.46</f>
        <v>69.73</v>
      </c>
      <c r="F35" s="64">
        <v>95</v>
      </c>
      <c r="G35" s="64">
        <f t="shared" si="2"/>
        <v>6624.35</v>
      </c>
      <c r="H35" s="66" t="s">
        <v>325</v>
      </c>
      <c r="I35" s="75"/>
      <c r="J35" s="75"/>
      <c r="K35" s="75"/>
      <c r="L35" s="75"/>
      <c r="M35" s="75"/>
      <c r="N35" s="75"/>
    </row>
    <row r="36" s="57" customFormat="1" ht="23" customHeight="1" spans="1:14">
      <c r="A36" s="67"/>
      <c r="B36" s="67"/>
      <c r="C36" s="68" t="s">
        <v>343</v>
      </c>
      <c r="D36" s="64" t="s">
        <v>141</v>
      </c>
      <c r="E36" s="64">
        <v>6.9</v>
      </c>
      <c r="F36" s="64">
        <v>90</v>
      </c>
      <c r="G36" s="64">
        <f t="shared" si="2"/>
        <v>621</v>
      </c>
      <c r="H36" s="66" t="s">
        <v>325</v>
      </c>
      <c r="I36" s="75"/>
      <c r="J36" s="75"/>
      <c r="K36" s="75"/>
      <c r="L36" s="75"/>
      <c r="M36" s="75"/>
      <c r="N36" s="75"/>
    </row>
    <row r="37" s="57" customFormat="1" ht="23" customHeight="1" spans="1:14">
      <c r="A37" s="67"/>
      <c r="B37" s="67"/>
      <c r="C37" s="68" t="s">
        <v>344</v>
      </c>
      <c r="D37" s="64" t="s">
        <v>93</v>
      </c>
      <c r="E37" s="64">
        <v>1</v>
      </c>
      <c r="F37" s="64">
        <v>4000</v>
      </c>
      <c r="G37" s="64">
        <f t="shared" si="2"/>
        <v>4000</v>
      </c>
      <c r="H37" s="66" t="s">
        <v>325</v>
      </c>
      <c r="I37" s="75"/>
      <c r="J37" s="75"/>
      <c r="K37" s="75"/>
      <c r="L37" s="75"/>
      <c r="M37" s="75"/>
      <c r="N37" s="75"/>
    </row>
    <row r="38" s="57" customFormat="1" ht="23" customHeight="1" spans="1:14">
      <c r="A38" s="67"/>
      <c r="B38" s="67"/>
      <c r="C38" s="78" t="s">
        <v>345</v>
      </c>
      <c r="D38" s="64" t="s">
        <v>93</v>
      </c>
      <c r="E38" s="64">
        <v>1</v>
      </c>
      <c r="F38" s="64">
        <v>18661</v>
      </c>
      <c r="G38" s="64">
        <f t="shared" si="2"/>
        <v>18661</v>
      </c>
      <c r="H38" s="66" t="s">
        <v>325</v>
      </c>
      <c r="I38" s="75"/>
      <c r="J38" s="75"/>
      <c r="K38" s="75"/>
      <c r="L38" s="75"/>
      <c r="M38" s="75"/>
      <c r="N38" s="75"/>
    </row>
    <row r="39" s="57" customFormat="1" ht="23" customHeight="1" spans="1:14">
      <c r="A39" s="62">
        <v>2</v>
      </c>
      <c r="B39" s="62" t="s">
        <v>346</v>
      </c>
      <c r="C39" s="68" t="s">
        <v>347</v>
      </c>
      <c r="D39" s="64" t="s">
        <v>141</v>
      </c>
      <c r="E39" s="64">
        <v>30</v>
      </c>
      <c r="F39" s="64">
        <v>25</v>
      </c>
      <c r="G39" s="64">
        <f t="shared" si="2"/>
        <v>750</v>
      </c>
      <c r="H39" s="66"/>
      <c r="I39" s="75"/>
      <c r="J39" s="75"/>
      <c r="K39" s="75"/>
      <c r="L39" s="75"/>
      <c r="M39" s="75"/>
      <c r="N39" s="75"/>
    </row>
    <row r="40" s="57" customFormat="1" ht="23" customHeight="1" spans="1:14">
      <c r="A40" s="67"/>
      <c r="B40" s="67"/>
      <c r="C40" s="68" t="s">
        <v>348</v>
      </c>
      <c r="D40" s="64" t="s">
        <v>141</v>
      </c>
      <c r="E40" s="64">
        <v>18</v>
      </c>
      <c r="F40" s="64">
        <v>14.54</v>
      </c>
      <c r="G40" s="64">
        <f t="shared" si="2"/>
        <v>261.72</v>
      </c>
      <c r="H40" s="66"/>
      <c r="I40" s="75"/>
      <c r="J40" s="75"/>
      <c r="K40" s="75"/>
      <c r="L40" s="75"/>
      <c r="M40" s="75"/>
      <c r="N40" s="75"/>
    </row>
    <row r="41" s="57" customFormat="1" ht="23" customHeight="1" spans="1:14">
      <c r="A41" s="67"/>
      <c r="B41" s="67"/>
      <c r="C41" s="68" t="s">
        <v>349</v>
      </c>
      <c r="D41" s="64" t="s">
        <v>114</v>
      </c>
      <c r="E41" s="64">
        <v>6</v>
      </c>
      <c r="F41" s="64">
        <v>45</v>
      </c>
      <c r="G41" s="64">
        <f t="shared" si="2"/>
        <v>270</v>
      </c>
      <c r="H41" s="66"/>
      <c r="I41" s="75"/>
      <c r="J41" s="75"/>
      <c r="K41" s="75"/>
      <c r="L41" s="75"/>
      <c r="M41" s="75"/>
      <c r="N41" s="75"/>
    </row>
    <row r="42" s="57" customFormat="1" ht="24" customHeight="1" spans="1:14">
      <c r="A42" s="67"/>
      <c r="B42" s="67"/>
      <c r="C42" s="68" t="s">
        <v>350</v>
      </c>
      <c r="D42" s="64" t="s">
        <v>114</v>
      </c>
      <c r="E42" s="64">
        <v>7</v>
      </c>
      <c r="F42" s="64">
        <v>110</v>
      </c>
      <c r="G42" s="64">
        <f t="shared" si="2"/>
        <v>770</v>
      </c>
      <c r="H42" s="66" t="s">
        <v>351</v>
      </c>
      <c r="I42" s="75"/>
      <c r="J42" s="75"/>
      <c r="K42" s="75"/>
      <c r="L42" s="75"/>
      <c r="M42" s="75"/>
      <c r="N42" s="75"/>
    </row>
    <row r="43" s="57" customFormat="1" ht="24" customHeight="1" spans="1:14">
      <c r="A43" s="67"/>
      <c r="B43" s="67"/>
      <c r="C43" s="68" t="s">
        <v>352</v>
      </c>
      <c r="D43" s="64" t="s">
        <v>114</v>
      </c>
      <c r="E43" s="64">
        <v>7</v>
      </c>
      <c r="F43" s="64">
        <v>50</v>
      </c>
      <c r="G43" s="64">
        <f t="shared" si="2"/>
        <v>350</v>
      </c>
      <c r="H43" s="66"/>
      <c r="I43" s="75"/>
      <c r="J43" s="75"/>
      <c r="K43" s="75"/>
      <c r="L43" s="75"/>
      <c r="M43" s="75"/>
      <c r="N43" s="75"/>
    </row>
    <row r="44" s="57" customFormat="1" ht="24" customHeight="1" spans="1:14">
      <c r="A44" s="67"/>
      <c r="B44" s="67"/>
      <c r="C44" s="68" t="s">
        <v>353</v>
      </c>
      <c r="D44" s="64" t="s">
        <v>141</v>
      </c>
      <c r="E44" s="64">
        <v>21</v>
      </c>
      <c r="F44" s="64">
        <v>23</v>
      </c>
      <c r="G44" s="64">
        <f t="shared" si="2"/>
        <v>483</v>
      </c>
      <c r="H44" s="66" t="s">
        <v>147</v>
      </c>
      <c r="I44" s="75"/>
      <c r="J44" s="75"/>
      <c r="K44" s="75"/>
      <c r="L44" s="75"/>
      <c r="M44" s="75"/>
      <c r="N44" s="75"/>
    </row>
    <row r="45" s="57" customFormat="1" ht="24" customHeight="1" spans="1:14">
      <c r="A45" s="67"/>
      <c r="B45" s="67"/>
      <c r="C45" s="68" t="s">
        <v>354</v>
      </c>
      <c r="D45" s="64" t="s">
        <v>93</v>
      </c>
      <c r="E45" s="64">
        <v>1</v>
      </c>
      <c r="F45" s="64">
        <v>25000</v>
      </c>
      <c r="G45" s="64">
        <f t="shared" si="2"/>
        <v>25000</v>
      </c>
      <c r="H45" s="66"/>
      <c r="I45" s="75"/>
      <c r="J45" s="75"/>
      <c r="K45" s="75"/>
      <c r="L45" s="75"/>
      <c r="M45" s="75"/>
      <c r="N45" s="75"/>
    </row>
    <row r="46" s="57" customFormat="1" ht="16.5" spans="1:14">
      <c r="A46" s="62">
        <v>3</v>
      </c>
      <c r="B46" s="62" t="s">
        <v>355</v>
      </c>
      <c r="C46" s="68" t="s">
        <v>356</v>
      </c>
      <c r="D46" s="64" t="s">
        <v>93</v>
      </c>
      <c r="E46" s="64">
        <v>1</v>
      </c>
      <c r="F46" s="64">
        <f>10000-3*400</f>
        <v>8800</v>
      </c>
      <c r="G46" s="64">
        <f t="shared" si="2"/>
        <v>8800</v>
      </c>
      <c r="H46" s="66" t="s">
        <v>325</v>
      </c>
      <c r="I46" s="75"/>
      <c r="J46" s="75"/>
      <c r="K46" s="75"/>
      <c r="L46" s="75"/>
      <c r="M46" s="75"/>
      <c r="N46" s="75"/>
    </row>
    <row r="47" s="57" customFormat="1" ht="24" customHeight="1" spans="1:14">
      <c r="A47" s="67"/>
      <c r="B47" s="67"/>
      <c r="C47" s="68" t="s">
        <v>357</v>
      </c>
      <c r="D47" s="64" t="s">
        <v>93</v>
      </c>
      <c r="E47" s="64">
        <v>1</v>
      </c>
      <c r="F47" s="64">
        <v>3000</v>
      </c>
      <c r="G47" s="64">
        <f t="shared" si="2"/>
        <v>3000</v>
      </c>
      <c r="H47" s="66"/>
      <c r="I47" s="75"/>
      <c r="J47" s="75"/>
      <c r="K47" s="75"/>
      <c r="L47" s="75"/>
      <c r="M47" s="75"/>
      <c r="N47" s="75"/>
    </row>
    <row r="48" s="57" customFormat="1" ht="24" customHeight="1" spans="1:14">
      <c r="A48" s="70"/>
      <c r="B48" s="70"/>
      <c r="C48" s="68" t="s">
        <v>358</v>
      </c>
      <c r="D48" s="64" t="s">
        <v>93</v>
      </c>
      <c r="E48" s="64">
        <v>1</v>
      </c>
      <c r="F48" s="64">
        <v>1040</v>
      </c>
      <c r="G48" s="64">
        <f t="shared" si="2"/>
        <v>1040</v>
      </c>
      <c r="H48" s="66"/>
      <c r="I48" s="75"/>
      <c r="J48" s="75"/>
      <c r="K48" s="75"/>
      <c r="L48" s="75"/>
      <c r="M48" s="75"/>
      <c r="N48" s="75"/>
    </row>
    <row r="49" s="57" customFormat="1" ht="24" customHeight="1" spans="1:14">
      <c r="A49" s="62">
        <v>4</v>
      </c>
      <c r="B49" s="62" t="s">
        <v>359</v>
      </c>
      <c r="C49" s="68" t="s">
        <v>360</v>
      </c>
      <c r="D49" s="64" t="s">
        <v>93</v>
      </c>
      <c r="E49" s="64">
        <v>1</v>
      </c>
      <c r="F49" s="64">
        <v>1500</v>
      </c>
      <c r="G49" s="64">
        <f t="shared" si="2"/>
        <v>1500</v>
      </c>
      <c r="H49" s="66"/>
      <c r="I49" s="75"/>
      <c r="J49" s="75"/>
      <c r="K49" s="75"/>
      <c r="L49" s="75"/>
      <c r="M49" s="75"/>
      <c r="N49" s="75"/>
    </row>
    <row r="50" s="57" customFormat="1" ht="24" customHeight="1" spans="1:14">
      <c r="A50" s="67"/>
      <c r="B50" s="67"/>
      <c r="C50" s="68" t="s">
        <v>361</v>
      </c>
      <c r="D50" s="64" t="s">
        <v>93</v>
      </c>
      <c r="E50" s="64">
        <v>1</v>
      </c>
      <c r="F50" s="64">
        <v>800</v>
      </c>
      <c r="G50" s="64">
        <f t="shared" si="2"/>
        <v>800</v>
      </c>
      <c r="H50" s="66" t="s">
        <v>362</v>
      </c>
      <c r="I50" s="75"/>
      <c r="J50" s="75"/>
      <c r="K50" s="75"/>
      <c r="L50" s="75"/>
      <c r="M50" s="75"/>
      <c r="N50" s="75"/>
    </row>
    <row r="51" s="57" customFormat="1" ht="24" customHeight="1" spans="1:14">
      <c r="A51" s="70"/>
      <c r="B51" s="70"/>
      <c r="C51" s="68" t="s">
        <v>363</v>
      </c>
      <c r="D51" s="64" t="s">
        <v>93</v>
      </c>
      <c r="E51" s="64">
        <v>1</v>
      </c>
      <c r="F51" s="64">
        <v>400</v>
      </c>
      <c r="G51" s="64">
        <f t="shared" si="2"/>
        <v>400</v>
      </c>
      <c r="H51" s="66"/>
      <c r="I51" s="75"/>
      <c r="J51" s="75"/>
      <c r="K51" s="75"/>
      <c r="L51" s="75"/>
      <c r="M51" s="75"/>
      <c r="N51" s="75"/>
    </row>
    <row r="52" s="57" customFormat="1" ht="24" customHeight="1" spans="1:14">
      <c r="A52" s="62">
        <v>5</v>
      </c>
      <c r="B52" s="62" t="s">
        <v>364</v>
      </c>
      <c r="C52" s="68" t="s">
        <v>365</v>
      </c>
      <c r="D52" s="64" t="s">
        <v>93</v>
      </c>
      <c r="E52" s="64">
        <v>1</v>
      </c>
      <c r="F52" s="64">
        <f>460*1.08</f>
        <v>496.8</v>
      </c>
      <c r="G52" s="64">
        <f t="shared" si="2"/>
        <v>496.8</v>
      </c>
      <c r="H52" s="66"/>
      <c r="I52" s="75"/>
      <c r="J52" s="75"/>
      <c r="K52" s="75"/>
      <c r="L52" s="75"/>
      <c r="M52" s="75"/>
      <c r="N52" s="75"/>
    </row>
    <row r="53" s="57" customFormat="1" ht="24" customHeight="1" spans="1:14">
      <c r="A53" s="67"/>
      <c r="B53" s="67"/>
      <c r="C53" s="68" t="s">
        <v>366</v>
      </c>
      <c r="D53" s="64" t="s">
        <v>93</v>
      </c>
      <c r="E53" s="64">
        <v>1</v>
      </c>
      <c r="F53" s="64">
        <f>6000*1.08</f>
        <v>6480</v>
      </c>
      <c r="G53" s="64">
        <f t="shared" si="2"/>
        <v>6480</v>
      </c>
      <c r="H53" s="66"/>
      <c r="I53" s="75"/>
      <c r="J53" s="75"/>
      <c r="K53" s="75"/>
      <c r="L53" s="75"/>
      <c r="M53" s="75"/>
      <c r="N53" s="75"/>
    </row>
    <row r="54" s="57" customFormat="1" ht="16.5" spans="1:14">
      <c r="A54" s="70"/>
      <c r="B54" s="70"/>
      <c r="C54" s="68" t="s">
        <v>367</v>
      </c>
      <c r="D54" s="64" t="s">
        <v>108</v>
      </c>
      <c r="E54" s="64">
        <v>12</v>
      </c>
      <c r="F54" s="64">
        <f>330*1.08</f>
        <v>356.4</v>
      </c>
      <c r="G54" s="64">
        <f t="shared" si="2"/>
        <v>4276.8</v>
      </c>
      <c r="H54" s="66"/>
      <c r="I54" s="75"/>
      <c r="J54" s="75"/>
      <c r="K54" s="75"/>
      <c r="L54" s="75"/>
      <c r="M54" s="75"/>
      <c r="N54" s="75"/>
    </row>
    <row r="55" s="57" customFormat="1" ht="24" customHeight="1" spans="1:14">
      <c r="A55" s="62">
        <v>6</v>
      </c>
      <c r="B55" s="62" t="s">
        <v>368</v>
      </c>
      <c r="C55" s="68" t="s">
        <v>369</v>
      </c>
      <c r="D55" s="64" t="s">
        <v>141</v>
      </c>
      <c r="E55" s="64">
        <v>204</v>
      </c>
      <c r="F55" s="64">
        <v>45</v>
      </c>
      <c r="G55" s="64">
        <f t="shared" si="2"/>
        <v>9180</v>
      </c>
      <c r="H55" s="66"/>
      <c r="I55" s="75"/>
      <c r="J55" s="75"/>
      <c r="K55" s="75"/>
      <c r="L55" s="75"/>
      <c r="M55" s="75"/>
      <c r="N55" s="75"/>
    </row>
    <row r="56" s="57" customFormat="1" ht="24" customHeight="1" spans="1:14">
      <c r="A56" s="67"/>
      <c r="B56" s="67"/>
      <c r="C56" s="68" t="s">
        <v>370</v>
      </c>
      <c r="D56" s="64" t="s">
        <v>150</v>
      </c>
      <c r="E56" s="64">
        <v>35.8</v>
      </c>
      <c r="F56" s="64">
        <v>11</v>
      </c>
      <c r="G56" s="64">
        <f t="shared" si="2"/>
        <v>393.8</v>
      </c>
      <c r="H56" s="66"/>
      <c r="I56" s="75"/>
      <c r="J56" s="75"/>
      <c r="K56" s="75"/>
      <c r="L56" s="75"/>
      <c r="M56" s="75"/>
      <c r="N56" s="75"/>
    </row>
    <row r="57" s="57" customFormat="1" ht="24" customHeight="1" spans="1:14">
      <c r="A57" s="67"/>
      <c r="B57" s="67"/>
      <c r="C57" s="68" t="s">
        <v>252</v>
      </c>
      <c r="D57" s="64" t="s">
        <v>150</v>
      </c>
      <c r="E57" s="64">
        <f>59.74*0.2</f>
        <v>11.948</v>
      </c>
      <c r="F57" s="64">
        <v>60</v>
      </c>
      <c r="G57" s="64">
        <f t="shared" si="2"/>
        <v>716.88</v>
      </c>
      <c r="H57" s="66" t="s">
        <v>371</v>
      </c>
      <c r="I57" s="75"/>
      <c r="J57" s="75"/>
      <c r="K57" s="75"/>
      <c r="L57" s="75"/>
      <c r="M57" s="75"/>
      <c r="N57" s="75"/>
    </row>
    <row r="58" s="57" customFormat="1" ht="24" customHeight="1" spans="1:14">
      <c r="A58" s="67"/>
      <c r="B58" s="67"/>
      <c r="C58" s="68" t="s">
        <v>372</v>
      </c>
      <c r="D58" s="64" t="s">
        <v>155</v>
      </c>
      <c r="E58" s="64">
        <v>59.74</v>
      </c>
      <c r="F58" s="64">
        <v>175</v>
      </c>
      <c r="G58" s="64">
        <f t="shared" si="2"/>
        <v>10454.5</v>
      </c>
      <c r="H58" s="66"/>
      <c r="I58" s="75"/>
      <c r="J58" s="75"/>
      <c r="K58" s="75"/>
      <c r="L58" s="75"/>
      <c r="M58" s="75"/>
      <c r="N58" s="75"/>
    </row>
    <row r="59" s="57" customFormat="1" ht="48" customHeight="1" spans="1:14">
      <c r="A59" s="64">
        <v>7</v>
      </c>
      <c r="B59" s="64" t="s">
        <v>373</v>
      </c>
      <c r="C59" s="68" t="s">
        <v>374</v>
      </c>
      <c r="D59" s="64" t="s">
        <v>93</v>
      </c>
      <c r="E59" s="64">
        <v>1</v>
      </c>
      <c r="F59" s="64">
        <v>2000</v>
      </c>
      <c r="G59" s="64">
        <f t="shared" si="2"/>
        <v>2000</v>
      </c>
      <c r="H59" s="66" t="s">
        <v>375</v>
      </c>
      <c r="I59" s="75"/>
      <c r="J59" s="75"/>
      <c r="K59" s="75"/>
      <c r="L59" s="75"/>
      <c r="M59" s="75"/>
      <c r="N59" s="75"/>
    </row>
    <row r="60" s="57" customFormat="1" ht="19" customHeight="1" spans="1:8">
      <c r="A60" s="64">
        <v>8</v>
      </c>
      <c r="B60" s="71"/>
      <c r="C60" s="71" t="s">
        <v>193</v>
      </c>
      <c r="D60" s="72"/>
      <c r="E60" s="71"/>
      <c r="F60" s="71"/>
      <c r="G60" s="73">
        <f>SUM(G3:G59)</f>
        <v>247763.88</v>
      </c>
      <c r="H60" s="74"/>
    </row>
    <row r="61" s="57" customFormat="1" ht="19" customHeight="1" spans="1:8">
      <c r="A61" s="64">
        <v>9</v>
      </c>
      <c r="B61" s="71"/>
      <c r="C61" s="71" t="s">
        <v>194</v>
      </c>
      <c r="D61" s="72"/>
      <c r="E61" s="71"/>
      <c r="F61" s="71"/>
      <c r="G61" s="72">
        <v>247700</v>
      </c>
      <c r="H61" s="74"/>
    </row>
    <row r="63" s="57" customFormat="1" spans="1:4">
      <c r="A63" s="58"/>
      <c r="B63" s="57" t="s">
        <v>136</v>
      </c>
      <c r="D63" s="58" t="s">
        <v>195</v>
      </c>
    </row>
    <row r="66" s="57" customFormat="1" spans="1:4">
      <c r="A66" s="58"/>
      <c r="B66" s="57" t="s">
        <v>137</v>
      </c>
      <c r="D66" s="58" t="s">
        <v>195</v>
      </c>
    </row>
  </sheetData>
  <mergeCells count="13">
    <mergeCell ref="A1:H1"/>
    <mergeCell ref="A3:A37"/>
    <mergeCell ref="A39:A45"/>
    <mergeCell ref="A46:A48"/>
    <mergeCell ref="A49:A51"/>
    <mergeCell ref="A52:A54"/>
    <mergeCell ref="A55:A58"/>
    <mergeCell ref="B3:B38"/>
    <mergeCell ref="B39:B45"/>
    <mergeCell ref="B46:B48"/>
    <mergeCell ref="B49:B51"/>
    <mergeCell ref="B52:B54"/>
    <mergeCell ref="B55:B5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2资料存档目录</vt:lpstr>
      <vt:lpstr>3、结算汇总表</vt:lpstr>
      <vt:lpstr>4、各月结算汇总</vt:lpstr>
      <vt:lpstr>5 、2024年10月结算明细表</vt:lpstr>
      <vt:lpstr>6、2024年11月结算明细表</vt:lpstr>
      <vt:lpstr>2024年12月</vt:lpstr>
      <vt:lpstr>2025年2月</vt:lpstr>
      <vt:lpstr>2025年3月</vt:lpstr>
      <vt:lpstr>2025年4月</vt:lpstr>
      <vt:lpstr>2025年6月</vt:lpstr>
      <vt:lpstr>07单子计算明细</vt:lpstr>
      <vt:lpstr>09单子明细</vt:lpstr>
      <vt:lpstr>计算明细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2025-09-04T06:42:44Z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4EA3C307227743AA807097C2548033F0</vt:lpwstr>
  </property>
</Properties>
</file>