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date1904="1" codeName="ThisWorkbook"/>
  <bookViews>
    <workbookView windowWidth="27945" windowHeight="11925"/>
  </bookViews>
  <sheets>
    <sheet name="2资料存档目录" sheetId="1" r:id="rId1"/>
    <sheet name="3、结算汇总表" sheetId="3" r:id="rId2"/>
    <sheet name="4、各月结算明细" sheetId="7" r:id="rId3"/>
    <sheet name="4 、2024年度8月份" sheetId="5" r:id="rId4"/>
    <sheet name="2024年10月" sheetId="8" r:id="rId5"/>
    <sheet name="2024年11月" sheetId="9" r:id="rId6"/>
    <sheet name="2025年2月" sheetId="10" r:id="rId7"/>
    <sheet name="2025年3月" sheetId="11" r:id="rId8"/>
    <sheet name="2025年4月" sheetId="12" r:id="rId9"/>
    <sheet name="2025年5月" sheetId="13" r:id="rId10"/>
    <sheet name="派发单001" sheetId="6" state="hidden" r:id="rId11"/>
  </sheets>
  <externalReferences>
    <externalReference r:id="rId12"/>
  </externalReferences>
  <definedNames>
    <definedName name="结果计算">EVALUATE(派发单001!$C$3:$C$24)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<sst xmlns="http://schemas.openxmlformats.org/spreadsheetml/2006/main" count="748" uniqueCount="363">
  <si>
    <t>栾川山水文苑2024-2025年度零星工程合同
结算资料存档目录</t>
  </si>
  <si>
    <t>序号</t>
  </si>
  <si>
    <t>名称</t>
  </si>
  <si>
    <t>份/页</t>
  </si>
  <si>
    <t>页码</t>
  </si>
  <si>
    <t>原件/复印件</t>
  </si>
  <si>
    <t>备注</t>
  </si>
  <si>
    <t>栾川山水文苑2024-2025年度零星工程合同结算审批表</t>
  </si>
  <si>
    <t>1份1页</t>
  </si>
  <si>
    <t>第1页</t>
  </si>
  <si>
    <t>原件</t>
  </si>
  <si>
    <t>资料存档目录</t>
  </si>
  <si>
    <t>第2页</t>
  </si>
  <si>
    <t>结算协议书</t>
  </si>
  <si>
    <t>第3页</t>
  </si>
  <si>
    <t>结算汇总表</t>
  </si>
  <si>
    <t>第4页</t>
  </si>
  <si>
    <t>结算明细表</t>
  </si>
  <si>
    <t>1份3页</t>
  </si>
  <si>
    <t>第5页</t>
  </si>
  <si>
    <t>结算申请单</t>
  </si>
  <si>
    <t>第6页</t>
  </si>
  <si>
    <t>结算通知书</t>
  </si>
  <si>
    <t>第7页</t>
  </si>
  <si>
    <t>授权委托书</t>
  </si>
  <si>
    <t>第8页</t>
  </si>
  <si>
    <t>派发单024-026</t>
  </si>
  <si>
    <t>1份27页</t>
  </si>
  <si>
    <t>第9-35页</t>
  </si>
  <si>
    <t>结算资料核对确认单</t>
  </si>
  <si>
    <t>第36页</t>
  </si>
  <si>
    <t>工程账目往里明细</t>
  </si>
  <si>
    <t>第37页</t>
  </si>
  <si>
    <t>结算工作交接单</t>
  </si>
  <si>
    <t>第38页</t>
  </si>
  <si>
    <t>2024年8月月度结算</t>
  </si>
  <si>
    <t>本</t>
  </si>
  <si>
    <t>2024年10月月度结算</t>
  </si>
  <si>
    <t>2024年11月月度结算</t>
  </si>
  <si>
    <t>2025年2月月度结算</t>
  </si>
  <si>
    <t>2025年3月月度结算</t>
  </si>
  <si>
    <t>2025年4月月度结算</t>
  </si>
  <si>
    <t>2025年5月月度结算</t>
  </si>
  <si>
    <t>合同复印件</t>
  </si>
  <si>
    <t>造价师：</t>
  </si>
  <si>
    <t>日期：</t>
  </si>
  <si>
    <t>栾川山水文苑2024-2025年度零星工程合同结算汇总表</t>
  </si>
  <si>
    <t xml:space="preserve">合同编号：LCS1-JA-104                          合同金额：731033.98元 </t>
  </si>
  <si>
    <t>合同名称：栾川山水文苑2024-2025年度零星工程合同</t>
  </si>
  <si>
    <t>甲    方：栾川县浩德颐康文旅有限公司</t>
  </si>
  <si>
    <t>乙    方：海南建虹防水装饰工程有限公司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</si>
  <si>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</si>
  <si>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</si>
  <si>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</si>
  <si>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</si>
  <si>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</si>
  <si>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</si>
  <si>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</si>
  <si>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</si>
  <si>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</si>
  <si>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合同外增加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</si>
  <si>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</si>
  <si>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</si>
  <si>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</si>
  <si>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</si>
  <si>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</si>
  <si>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</si>
  <si>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</si>
  <si>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</si>
  <si>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</si>
  <si>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</si>
  <si>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</si>
  <si>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</si>
  <si>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</si>
  <si>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</si>
  <si>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</si>
  <si>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</si>
  <si>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</si>
  <si>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</si>
  <si>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</si>
  <si>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</si>
  <si>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</si>
  <si>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</si>
  <si>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</si>
  <si>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</si>
  <si>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栾川山水文苑2024-2025年度零星工程合同结算明细结算汇总表</t>
  </si>
  <si>
    <t>主要内容</t>
  </si>
  <si>
    <t>单位</t>
  </si>
  <si>
    <t>工程量</t>
  </si>
  <si>
    <t>单价</t>
  </si>
  <si>
    <t>合同总价</t>
  </si>
  <si>
    <t>项</t>
  </si>
  <si>
    <t>派发单及确认单024</t>
  </si>
  <si>
    <t>地毯更换</t>
  </si>
  <si>
    <t>地毯拆除重新施工</t>
  </si>
  <si>
    <t>售楼部一楼沙盘灯、水吧灯、背景灯更换</t>
  </si>
  <si>
    <t>加气块</t>
  </si>
  <si>
    <t>详见工程部情况说明</t>
  </si>
  <si>
    <t>派发单及确认单025</t>
  </si>
  <si>
    <t>30#楼西山墙风井拆除及改造</t>
  </si>
  <si>
    <t>详见约谈记录</t>
  </si>
  <si>
    <t>西大门临时水井砌筑</t>
  </si>
  <si>
    <t>m2</t>
  </si>
  <si>
    <t>内墙抹灰</t>
  </si>
  <si>
    <t>80mm井盖</t>
  </si>
  <si>
    <t>通道地板砖铺设</t>
  </si>
  <si>
    <t>参照办公室改造价格</t>
  </si>
  <si>
    <t>100厚混凝c35垫层</t>
  </si>
  <si>
    <t>零星用工</t>
  </si>
  <si>
    <t>工</t>
  </si>
  <si>
    <t>腾升建筑装饰股份有限公司</t>
  </si>
  <si>
    <t>分摊1/3</t>
  </si>
  <si>
    <t>慈尚</t>
  </si>
  <si>
    <t xml:space="preserve"> 中胜正达工程建设有限公司</t>
  </si>
  <si>
    <t>派发单及确认单026</t>
  </si>
  <si>
    <t>12号楼负一层与单元砌体</t>
  </si>
  <si>
    <t>电梯机房吊洞</t>
  </si>
  <si>
    <t>个</t>
  </si>
  <si>
    <t>诚鹏承担</t>
  </si>
  <si>
    <t>八</t>
  </si>
  <si>
    <t>合计</t>
  </si>
  <si>
    <t>九</t>
  </si>
  <si>
    <t>最终结算价</t>
  </si>
  <si>
    <t>甲方</t>
  </si>
  <si>
    <t>乙方</t>
  </si>
  <si>
    <t>栾川山水文苑2024年度8月零星工程合同结算明细表</t>
  </si>
  <si>
    <t>派发单及确认单001</t>
  </si>
  <si>
    <t>水钻开孔110</t>
  </si>
  <si>
    <t>350mm厚筏板破除</t>
  </si>
  <si>
    <t>150mm厚后浇带破除</t>
  </si>
  <si>
    <t>100mm厚垫层破除</t>
  </si>
  <si>
    <t>人工挖土方</t>
  </si>
  <si>
    <t>m3</t>
  </si>
  <si>
    <t>参照总包合同价格</t>
  </si>
  <si>
    <t>c20垫层100mm</t>
  </si>
  <si>
    <t>0.12m厚挡墙</t>
  </si>
  <si>
    <t>水泥砂浆粉刷</t>
  </si>
  <si>
    <t>防水层</t>
  </si>
  <si>
    <t>钢筋</t>
  </si>
  <si>
    <t>t</t>
  </si>
  <si>
    <t>市场价含加工费，</t>
  </si>
  <si>
    <t>350mm厚c35混凝土</t>
  </si>
  <si>
    <t>派发单及确认单002</t>
  </si>
  <si>
    <t>1#2#6#7#楼地下车库集水坑清理完成，水泵安装等</t>
  </si>
  <si>
    <t>普工</t>
  </si>
  <si>
    <t>扣款单位：河南诚鹏建设工程有限公司</t>
  </si>
  <si>
    <t>河南瑞瑞卿实业有限公司</t>
  </si>
  <si>
    <t>s1地块 15#16#20#楼内垃圾清理完成</t>
  </si>
  <si>
    <t>分摊系数</t>
  </si>
  <si>
    <t>河南诚鹏建设工程有限公司</t>
  </si>
  <si>
    <t>郑州宜信装饰工程有限公司</t>
  </si>
  <si>
    <t>山东奇威特太阳能销售股份有限公司</t>
  </si>
  <si>
    <t>淄博消防安全工程公司</t>
  </si>
  <si>
    <t>河南省埃思特建设工程有限公司</t>
  </si>
  <si>
    <t>河南邦丰装饰工程有限公司</t>
  </si>
  <si>
    <t>郑州七彩装饰工程有限公司</t>
  </si>
  <si>
    <t>洛阳阳光铝业有限公司</t>
  </si>
  <si>
    <t>河南首创建设集团有限公司</t>
  </si>
  <si>
    <t>西继迅达电梯有限公司</t>
  </si>
  <si>
    <t>广州宝露智能科技有限公司</t>
  </si>
  <si>
    <t>步阳集团有限公司</t>
  </si>
  <si>
    <t>洛阳兴民门业有限公司嵩县分公司</t>
  </si>
  <si>
    <t>派发单及确认单003</t>
  </si>
  <si>
    <t>售楼部西侧景墙内画面脱落，安装</t>
  </si>
  <si>
    <t>玻璃较大，需要吊车玻璃拆卸，然后安装</t>
  </si>
  <si>
    <t>草坪舞台搭设</t>
  </si>
  <si>
    <t>派发单及确认单004</t>
  </si>
  <si>
    <t>16#东单元702瓷砖拆除</t>
  </si>
  <si>
    <t>20cm厚混凝土浇筑</t>
  </si>
  <si>
    <t>240厚墙体拆除</t>
  </si>
  <si>
    <t>120厚墙体拆除</t>
  </si>
  <si>
    <t>楼梯拆除</t>
  </si>
  <si>
    <t>大盘锯机械期初</t>
  </si>
  <si>
    <t>m</t>
  </si>
  <si>
    <t>协商价</t>
  </si>
  <si>
    <t>植筋直径10</t>
  </si>
  <si>
    <t>楼板钢筋</t>
  </si>
  <si>
    <t>楼板混凝土</t>
  </si>
  <si>
    <t>16#楼弱电线盒</t>
  </si>
  <si>
    <t>技工</t>
  </si>
  <si>
    <t>2.5m高围挡拆除</t>
  </si>
  <si>
    <t>240*350党代会台拆除</t>
  </si>
  <si>
    <t>售楼部维修</t>
  </si>
  <si>
    <t>本次结算</t>
  </si>
  <si>
    <t>日期</t>
  </si>
  <si>
    <t>栾川山水文苑2024年度10月零星工程合同结算明细表</t>
  </si>
  <si>
    <t>派发单及确认单005</t>
  </si>
  <si>
    <t>钢梯</t>
  </si>
  <si>
    <t>s1地块12#楼消防水池楼梯 砌体</t>
  </si>
  <si>
    <t>楼梯粉刷</t>
  </si>
  <si>
    <t>派发单及确认单006</t>
  </si>
  <si>
    <t>垃圾出车</t>
  </si>
  <si>
    <t>车</t>
  </si>
  <si>
    <t>派发单及确认单007</t>
  </si>
  <si>
    <t>201、204、301上水不通，瓷砖拆徐、补贴</t>
  </si>
  <si>
    <t>户</t>
  </si>
  <si>
    <t>201、401、402、302、下水不通 维修</t>
  </si>
  <si>
    <t>打胶（不含材料费）</t>
  </si>
  <si>
    <t>打胶（含材料费）</t>
  </si>
  <si>
    <t>派发单及确认单008</t>
  </si>
  <si>
    <t>13#楼临时电安装拆除</t>
  </si>
  <si>
    <t>单元</t>
  </si>
  <si>
    <t>电梯吊洞止水台</t>
  </si>
  <si>
    <t>部</t>
  </si>
  <si>
    <t>12-16#临时围挡拆除
16-20#楼东围墙拆除</t>
  </si>
  <si>
    <t>电梯电缆拆除</t>
  </si>
  <si>
    <t>技</t>
  </si>
  <si>
    <t>售楼部修灯</t>
  </si>
  <si>
    <t>16#阳台装饰板</t>
  </si>
  <si>
    <t>人防验收喷涂标识</t>
  </si>
  <si>
    <t>自来水吊洞封堵</t>
  </si>
  <si>
    <t>暖气封堵</t>
  </si>
  <si>
    <t>人防风管吊洞封堵</t>
  </si>
  <si>
    <t>电梯外呼损坏及丢失</t>
  </si>
  <si>
    <t>栾川山水文苑2024年度11月零星工程合同结算明细表</t>
  </si>
  <si>
    <t>派发单及确认单009</t>
  </si>
  <si>
    <t>派发单及确认单010</t>
  </si>
  <si>
    <t>5#楼加装自行车棚</t>
  </si>
  <si>
    <t>基础处理 1、pc砖拆除回复2、40*40钢板+18*200碰撞螺栓。</t>
  </si>
  <si>
    <t>块</t>
  </si>
  <si>
    <t>围墙上基础：1、20*20镀锌预埋板、14*150碰撞络酸</t>
  </si>
  <si>
    <t>派发单及确认单011</t>
  </si>
  <si>
    <t>20#楼2单元202改造 100mm砌体</t>
  </si>
  <si>
    <t>200mm厚砌体</t>
  </si>
  <si>
    <t xml:space="preserve">1.5cm厚粉刷 </t>
  </si>
  <si>
    <t>拆除100厚砼</t>
  </si>
  <si>
    <t>拆除400后砼基础</t>
  </si>
  <si>
    <t>吊洞</t>
  </si>
  <si>
    <t>水钻开洞</t>
  </si>
  <si>
    <t>110pvc管道安装</t>
  </si>
  <si>
    <t>20#楼2单元1001 100mm砌体</t>
  </si>
  <si>
    <t>20#楼2单元1001 200mm砌体</t>
  </si>
  <si>
    <t>16#楼风管加装人防框</t>
  </si>
  <si>
    <t>地下车库人防门框下坎拆除</t>
  </si>
  <si>
    <t>处</t>
  </si>
  <si>
    <t>人防区消防吊洞</t>
  </si>
  <si>
    <t>淄博消防安全工程公司承担</t>
  </si>
  <si>
    <t>售楼部大门脱落</t>
  </si>
  <si>
    <t>不锈钢门套</t>
  </si>
  <si>
    <t>集水坑钢结构</t>
  </si>
  <si>
    <t>派发单及确认单012</t>
  </si>
  <si>
    <t>交房突击铺装 地板砖</t>
  </si>
  <si>
    <t>交房突击铺装 贴踏步</t>
  </si>
  <si>
    <t>楼梯踏步侧面粉刷</t>
  </si>
  <si>
    <t>栾川山水文苑2024年-205年度零星工程合同2025年2月月度结算明细表</t>
  </si>
  <si>
    <t>派发单及确认单013</t>
  </si>
  <si>
    <t>22#楼楼梯侧面粉刷及滴水线</t>
  </si>
  <si>
    <t>22#楼西单元看房通道楼梯</t>
  </si>
  <si>
    <t>22#楼西单元壁画及沙发</t>
  </si>
  <si>
    <t>22#楼户内卫生及地库顶板道路清理</t>
  </si>
  <si>
    <t>其中1800元 由河南专晶建筑工程有限公司承担lcs7-JA-053</t>
  </si>
  <si>
    <t>22#楼楼梯间前面污染批白</t>
  </si>
  <si>
    <t>河南专晶建筑工程有限公司承担</t>
  </si>
  <si>
    <t>派发单及确认单014</t>
  </si>
  <si>
    <t>s1西大门西侧自行车棚安装</t>
  </si>
  <si>
    <t>西侧自行车棚预埋板 含螺栓</t>
  </si>
  <si>
    <t>16#楼浴霸替专晶安装</t>
  </si>
  <si>
    <t>扣款单位河南专晶建筑工程有限公司  合同编号lcs7-JA-053</t>
  </si>
  <si>
    <t>20#东单元202户楼台阳角维修</t>
  </si>
  <si>
    <t>河南诚鹏建设工程有限公司
LCS1-JA-016</t>
  </si>
  <si>
    <t>栾川山水文苑2024年-205年度零星工程合同2025年3月月度结算明细表</t>
  </si>
  <si>
    <t>派发单及确认单015</t>
  </si>
  <si>
    <t>售楼部南侧蓄水池方式修复 防水层拆除</t>
  </si>
  <si>
    <t>售楼部南侧蓄水池方式修复 防水层丙纶布防水</t>
  </si>
  <si>
    <t>13#楼负一层分户砌体</t>
  </si>
  <si>
    <t>13#楼负一层分户砌体粉刷</t>
  </si>
  <si>
    <t>202样板间花洒（2套）</t>
  </si>
  <si>
    <t>202样板间智能马桶</t>
  </si>
  <si>
    <t>202电动窗帘</t>
  </si>
  <si>
    <t>吊车费用</t>
  </si>
  <si>
    <t>管理费等</t>
  </si>
  <si>
    <t>元</t>
  </si>
  <si>
    <t>16#楼2单元1201下水管堵塞清堵</t>
  </si>
  <si>
    <t>河南首创装饰工程有限公司</t>
  </si>
  <si>
    <t>派发单及确认单016</t>
  </si>
  <si>
    <t>s7西大门及下沉庭院挑板，切板</t>
  </si>
  <si>
    <t>s7西大门及下沉庭院二级箱</t>
  </si>
  <si>
    <t>s7西大门及下沉庭院挡土墙</t>
  </si>
  <si>
    <t xml:space="preserve">   </t>
  </si>
  <si>
    <t>s7西大门彩板房移位置</t>
  </si>
  <si>
    <t>s7下沉式庭院清理机车库回顶</t>
  </si>
  <si>
    <t>s7西大门除2.5m高围挡拆除</t>
  </si>
  <si>
    <t>s7西大门除2.5m高围挡搭设</t>
  </si>
  <si>
    <t>s7-38、50#楼试压桩清理已完成</t>
  </si>
  <si>
    <t>派发单及确认单017</t>
  </si>
  <si>
    <t>s7地块22#楼公区装修未完成项目施工</t>
  </si>
  <si>
    <t>门头外加拆除</t>
  </si>
  <si>
    <t>河南专晶建设工程有限公司</t>
  </si>
  <si>
    <t>门头石材及铝板打胶</t>
  </si>
  <si>
    <t>门头灯及牌匾安装</t>
  </si>
  <si>
    <t>大堂铝方通格栅</t>
  </si>
  <si>
    <t>大堂镜子</t>
  </si>
  <si>
    <t>大堂瓷砖美缝</t>
  </si>
  <si>
    <t xml:space="preserve"> </t>
  </si>
  <si>
    <t>栾川山水文苑2024年-205年度零星工程合同2025年4月月度结算明细表</t>
  </si>
  <si>
    <t>派发单及确认单018</t>
  </si>
  <si>
    <t>s7西大门地梁切除</t>
  </si>
  <si>
    <t>s7地块30#楼西侧风井及飘窗切除</t>
  </si>
  <si>
    <t>s7地块29#楼，负一层楼梯切除</t>
  </si>
  <si>
    <t>派发单及确认单019</t>
  </si>
  <si>
    <t>s7下沉庭院东侧悬挑顶板回顶加密处理</t>
  </si>
  <si>
    <t>河南诚鹏建设工程有限公司 扣除</t>
  </si>
  <si>
    <t>s7西大门二次结构及粉刷施工</t>
  </si>
  <si>
    <t>s7西大门屋面防水及保护层</t>
  </si>
  <si>
    <t>s7地块29#楼，负一层楼梯砖砌</t>
  </si>
  <si>
    <t>s7地块29#楼，负一层楼梯砖砌粉刷</t>
  </si>
  <si>
    <t>s7地块37#楼，下沉庭院顶聚氨酯涂料</t>
  </si>
  <si>
    <t>s7下沉式庭院临时主电缆</t>
  </si>
  <si>
    <t>s7下沉庭院花池及楼梯间水钻开孔110mm</t>
  </si>
  <si>
    <t>派发单及确认单020</t>
  </si>
  <si>
    <t>临时样板间外墙漆垫付</t>
  </si>
  <si>
    <t>阳光房遮阳帘大风损坏，维修垫付</t>
  </si>
  <si>
    <t>栾川山水文苑2024年-205年度零星工程合同2025年5月月度结算明细表</t>
  </si>
  <si>
    <t>派发单及确认单021</t>
  </si>
  <si>
    <t>s7地块东半部分围墙施工</t>
  </si>
  <si>
    <t>150碎石垫层</t>
  </si>
  <si>
    <t>100厚c25砼垫层</t>
  </si>
  <si>
    <t>370宽砌体</t>
  </si>
  <si>
    <t>240砌体</t>
  </si>
  <si>
    <t>200厚c25砼柱子基础</t>
  </si>
  <si>
    <t>240厚c25砼圈梁及柱子</t>
  </si>
  <si>
    <t>圈梁及柱子模版</t>
  </si>
  <si>
    <t>粉刷</t>
  </si>
  <si>
    <t>75挖机台班</t>
  </si>
  <si>
    <t>台班</t>
  </si>
  <si>
    <t>参照以往价格</t>
  </si>
  <si>
    <t>50铲车</t>
  </si>
  <si>
    <t>参照土方合同价</t>
  </si>
  <si>
    <t>派发单及确认单022</t>
  </si>
  <si>
    <t>新建2.5围挡</t>
  </si>
  <si>
    <t>参照3m高价格折算</t>
  </si>
  <si>
    <t>新建3.3围挡</t>
  </si>
  <si>
    <t>派发单及确认单023</t>
  </si>
  <si>
    <t>代付202玻璃费用</t>
  </si>
  <si>
    <t>202专晶扣款</t>
  </si>
  <si>
    <t>代付202外墙漆费用</t>
  </si>
  <si>
    <t>22#楼支付计算</t>
  </si>
  <si>
    <t>计算公式</t>
  </si>
  <si>
    <t>计算结果</t>
  </si>
  <si>
    <t>综合单价</t>
  </si>
  <si>
    <t>第一部分</t>
  </si>
  <si>
    <t>参照以前支付合同价格执行</t>
  </si>
  <si>
    <t>80后c20混凝土面层</t>
  </si>
  <si>
    <t>（16.2+15.2）/2*（4.8+5.8）/2+16.2*1</t>
  </si>
  <si>
    <t>直径6钢筋间距200/250</t>
  </si>
  <si>
    <t>99.41*1.76</t>
  </si>
  <si>
    <t>kg</t>
  </si>
  <si>
    <t>直径14钢筋间距</t>
  </si>
  <si>
    <t>（（16.2+15.2）/2*3+3*10+16.2+0.6*10）*1.21</t>
  </si>
  <si>
    <t>土钉直径18</t>
  </si>
  <si>
    <t>10*4.5+10*6+11*6</t>
  </si>
  <si>
    <t>第二部分</t>
  </si>
  <si>
    <t>（63.8+62.5）/2*（6.1+4.9+5.4+4.8）/4+63.8*1</t>
  </si>
  <si>
    <t>直径6钢筋间距250</t>
  </si>
  <si>
    <t>398.495*1.76</t>
  </si>
  <si>
    <t>直径14钢筋间距200/250</t>
  </si>
  <si>
    <t>（（63.8+62.5）/2*3+41*3+63.8+0.6*41）*1.21</t>
  </si>
  <si>
    <t>41*（4.5+6+6）</t>
  </si>
  <si>
    <t>第三部分</t>
  </si>
  <si>
    <t>（14.9+13.7）/2*（6.3+5.9）/2+14.9*1</t>
  </si>
  <si>
    <t>58.515*1.76</t>
  </si>
  <si>
    <t>（（14.9+13.7）/2*3+9*3+14.9+0.6*9）*1.21</t>
  </si>
  <si>
    <t>9*（4.5+6+6）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</si>
</sst>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  <numFmt numFmtId="178" formatCode="0_ "/>
    <numFmt numFmtId="179" formatCode="0.000_ "/>
    <numFmt numFmtId="180" formatCode="#,##0.00&quot;元&quot;"/>
    <numFmt numFmtId="181" formatCode="[DBNum2][$RMB]General;[Red][DBNum2][$RMB]General"/>
  </numFmts>
  <fonts count="66">
    <font>
      <sz val="12"/>
      <name val="宋体"/>
      <charset val="134"/>
    </font>
    <font>
      <sz val="26"/>
      <name val="宋体"/>
      <charset val="134"/>
    </font>
    <font>
      <sz val="10"/>
      <name val="宋体"/>
      <charset val="134"/>
    </font>
    <font>
      <b/>
      <sz val="14"/>
      <color rgb="FF000000"/>
      <name val="微软雅黑"/>
      <charset val="134"/>
    </font>
    <font>
      <sz val="10"/>
      <color rgb="FF000000"/>
      <name val="微软雅黑"/>
      <charset val="134"/>
    </font>
    <font>
      <sz val="9"/>
      <color rgb="FF000000"/>
      <name val="宋体"/>
      <charset val="134"/>
      <scheme val="major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宋体"/>
      <charset val="134"/>
      <scheme val="minor"/>
    </font>
    <font>
      <sz val="10"/>
      <name val="宋体"/>
      <charset val="134"/>
      <scheme val="minor"/>
    </font>
    <font>
      <sz val="9"/>
      <color rgb="FF000000"/>
      <name val="微软雅黑"/>
      <charset val="134"/>
    </font>
    <font>
      <sz val="9"/>
      <name val="宋体"/>
      <charset val="134"/>
    </font>
    <font>
      <sz val="11"/>
      <color rgb="FF000000"/>
      <name val="微软雅黑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2" borderId="28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9" applyNumberFormat="0" applyFill="0" applyAlignment="0" applyProtection="0">
      <alignment vertical="center"/>
    </xf>
    <xf numFmtId="0" fontId="36" fillId="0" borderId="29" applyNumberFormat="0" applyFill="0" applyAlignment="0" applyProtection="0">
      <alignment vertical="center"/>
    </xf>
    <xf numFmtId="0" fontId="37" fillId="0" borderId="30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31" applyNumberFormat="0" applyAlignment="0" applyProtection="0">
      <alignment vertical="center"/>
    </xf>
    <xf numFmtId="0" fontId="39" fillId="4" borderId="32" applyNumberFormat="0" applyAlignment="0" applyProtection="0">
      <alignment vertical="center"/>
    </xf>
    <xf numFmtId="0" fontId="40" fillId="4" borderId="31" applyNumberFormat="0" applyAlignment="0" applyProtection="0">
      <alignment vertical="center"/>
    </xf>
    <xf numFmtId="0" fontId="41" fillId="5" borderId="33" applyNumberFormat="0" applyAlignment="0" applyProtection="0">
      <alignment vertical="center"/>
    </xf>
    <xf numFmtId="0" fontId="42" fillId="0" borderId="34" applyNumberFormat="0" applyFill="0" applyAlignment="0" applyProtection="0">
      <alignment vertical="center"/>
    </xf>
    <xf numFmtId="0" fontId="43" fillId="0" borderId="35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50" fillId="34" borderId="36" applyNumberFormat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2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53" fillId="34" borderId="37" applyNumberFormat="0" applyAlignment="0" applyProtection="0">
      <alignment vertical="center"/>
    </xf>
    <xf numFmtId="0" fontId="0" fillId="0" borderId="0">
      <alignment vertical="center"/>
    </xf>
    <xf numFmtId="0" fontId="49" fillId="39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53" fillId="34" borderId="37" applyNumberFormat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9" fillId="41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50" fillId="34" borderId="36" applyNumberFormat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55" fillId="44" borderId="38" applyNumberFormat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4" fillId="40" borderId="0" applyNumberFormat="0" applyBorder="0" applyAlignment="0" applyProtection="0">
      <alignment vertical="center"/>
    </xf>
    <xf numFmtId="0" fontId="49" fillId="45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46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43" borderId="0" applyNumberFormat="0" applyBorder="0" applyAlignment="0" applyProtection="0">
      <alignment vertical="center"/>
    </xf>
    <xf numFmtId="0" fontId="52" fillId="43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56" fillId="0" borderId="39" applyNumberFormat="0" applyFill="0" applyAlignment="0" applyProtection="0">
      <alignment vertical="center"/>
    </xf>
    <xf numFmtId="0" fontId="56" fillId="0" borderId="39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7" fillId="0" borderId="40" applyNumberFormat="0" applyFill="0" applyAlignment="0" applyProtection="0">
      <alignment vertical="center"/>
    </xf>
    <xf numFmtId="0" fontId="58" fillId="0" borderId="41" applyNumberFormat="0" applyFill="0" applyAlignment="0" applyProtection="0">
      <alignment vertical="center"/>
    </xf>
    <xf numFmtId="0" fontId="58" fillId="0" borderId="41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2" fillId="0" borderId="42" applyNumberFormat="0" applyFill="0" applyAlignment="0" applyProtection="0">
      <alignment vertical="center"/>
    </xf>
    <xf numFmtId="0" fontId="62" fillId="0" borderId="42" applyNumberFormat="0" applyFill="0" applyAlignment="0" applyProtection="0">
      <alignment vertical="center"/>
    </xf>
    <xf numFmtId="0" fontId="55" fillId="44" borderId="38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43" applyNumberFormat="0" applyFill="0" applyAlignment="0" applyProtection="0">
      <alignment vertical="center"/>
    </xf>
    <xf numFmtId="0" fontId="64" fillId="0" borderId="43" applyNumberFormat="0" applyFill="0" applyAlignment="0" applyProtection="0">
      <alignment vertical="center"/>
    </xf>
    <xf numFmtId="0" fontId="52" fillId="50" borderId="0" applyNumberFormat="0" applyBorder="0" applyAlignment="0" applyProtection="0">
      <alignment vertical="center"/>
    </xf>
    <xf numFmtId="0" fontId="52" fillId="50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52" fillId="51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52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7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2" fillId="48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65" fillId="42" borderId="36" applyNumberFormat="0" applyAlignment="0" applyProtection="0">
      <alignment vertical="center"/>
    </xf>
    <xf numFmtId="0" fontId="65" fillId="42" borderId="36" applyNumberFormat="0" applyAlignment="0" applyProtection="0">
      <alignment vertical="center"/>
    </xf>
    <xf numFmtId="0" fontId="0" fillId="54" borderId="44" applyNumberFormat="0" applyFont="0" applyAlignment="0" applyProtection="0">
      <alignment vertical="center"/>
    </xf>
    <xf numFmtId="0" fontId="0" fillId="54" borderId="44" applyNumberFormat="0" applyFont="0" applyAlignment="0" applyProtection="0">
      <alignment vertical="center"/>
    </xf>
  </cellStyleXfs>
  <cellXfs count="17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176" fontId="2" fillId="0" borderId="1" xfId="0" applyNumberFormat="1" applyFont="1" applyBorder="1">
      <alignment vertical="center"/>
    </xf>
    <xf numFmtId="176" fontId="0" fillId="0" borderId="1" xfId="0" applyNumberForma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7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9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179" fontId="12" fillId="0" borderId="1" xfId="0" applyNumberFormat="1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8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7" fontId="0" fillId="0" borderId="1" xfId="0" applyNumberFormat="1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0" fillId="0" borderId="3" xfId="0" applyBorder="1">
      <alignment vertical="center"/>
    </xf>
    <xf numFmtId="0" fontId="2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top" wrapText="1"/>
    </xf>
    <xf numFmtId="0" fontId="21" fillId="0" borderId="9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justify" vertical="top" wrapText="1"/>
    </xf>
    <xf numFmtId="0" fontId="22" fillId="0" borderId="9" xfId="0" applyFont="1" applyBorder="1" applyAlignment="1">
      <alignment horizontal="justify" vertical="top" wrapText="1"/>
    </xf>
    <xf numFmtId="0" fontId="22" fillId="0" borderId="10" xfId="0" applyFont="1" applyBorder="1" applyAlignment="1">
      <alignment horizontal="justify" vertical="top" wrapText="1"/>
    </xf>
    <xf numFmtId="0" fontId="23" fillId="0" borderId="12" xfId="0" applyFont="1" applyBorder="1" applyAlignment="1">
      <alignment horizontal="justify" vertical="top" wrapText="1"/>
    </xf>
    <xf numFmtId="176" fontId="23" fillId="0" borderId="12" xfId="0" applyNumberFormat="1" applyFont="1" applyBorder="1" applyAlignment="1">
      <alignment horizontal="justify" vertical="top" wrapText="1"/>
    </xf>
    <xf numFmtId="0" fontId="23" fillId="0" borderId="11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justify" vertical="top" wrapText="1"/>
    </xf>
    <xf numFmtId="0" fontId="23" fillId="0" borderId="9" xfId="0" applyFont="1" applyBorder="1" applyAlignment="1">
      <alignment horizontal="justify" vertical="top" wrapText="1"/>
    </xf>
    <xf numFmtId="0" fontId="23" fillId="0" borderId="10" xfId="0" applyFont="1" applyBorder="1" applyAlignment="1">
      <alignment horizontal="justify" vertical="top" wrapText="1"/>
    </xf>
    <xf numFmtId="0" fontId="23" fillId="0" borderId="13" xfId="0" applyFont="1" applyBorder="1" applyAlignment="1">
      <alignment horizontal="center" vertical="top" wrapText="1"/>
    </xf>
    <xf numFmtId="0" fontId="23" fillId="0" borderId="12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justify" vertical="top" wrapText="1"/>
    </xf>
    <xf numFmtId="0" fontId="22" fillId="0" borderId="16" xfId="0" applyFont="1" applyBorder="1" applyAlignment="1">
      <alignment horizontal="justify" vertical="top" wrapText="1"/>
    </xf>
    <xf numFmtId="180" fontId="23" fillId="0" borderId="8" xfId="0" applyNumberFormat="1" applyFont="1" applyBorder="1" applyAlignment="1">
      <alignment horizontal="justify" vertical="top" wrapText="1"/>
    </xf>
    <xf numFmtId="180" fontId="23" fillId="0" borderId="9" xfId="0" applyNumberFormat="1" applyFont="1" applyBorder="1" applyAlignment="1">
      <alignment horizontal="justify" vertical="top" wrapText="1"/>
    </xf>
    <xf numFmtId="180" fontId="23" fillId="0" borderId="10" xfId="0" applyNumberFormat="1" applyFont="1" applyBorder="1" applyAlignment="1">
      <alignment horizontal="justify" vertical="top" wrapText="1"/>
    </xf>
    <xf numFmtId="0" fontId="22" fillId="0" borderId="17" xfId="0" applyFont="1" applyBorder="1" applyAlignment="1">
      <alignment horizontal="justify" vertical="top" wrapText="1"/>
    </xf>
    <xf numFmtId="0" fontId="22" fillId="0" borderId="12" xfId="0" applyFont="1" applyBorder="1" applyAlignment="1">
      <alignment horizontal="justify" vertical="top" wrapText="1"/>
    </xf>
    <xf numFmtId="0" fontId="23" fillId="0" borderId="12" xfId="0" applyFont="1" applyBorder="1" applyAlignment="1">
      <alignment horizontal="center" vertical="center" wrapText="1"/>
    </xf>
    <xf numFmtId="181" fontId="20" fillId="0" borderId="8" xfId="0" applyNumberFormat="1" applyFont="1" applyBorder="1" applyAlignment="1">
      <alignment horizontal="left" vertical="top" wrapText="1"/>
    </xf>
    <xf numFmtId="181" fontId="20" fillId="0" borderId="9" xfId="0" applyNumberFormat="1" applyFont="1" applyBorder="1" applyAlignment="1">
      <alignment horizontal="left" vertical="top" wrapText="1"/>
    </xf>
    <xf numFmtId="181" fontId="20" fillId="0" borderId="10" xfId="0" applyNumberFormat="1" applyFont="1" applyBorder="1" applyAlignment="1">
      <alignment horizontal="left" vertical="top" wrapText="1"/>
    </xf>
    <xf numFmtId="0" fontId="22" fillId="0" borderId="14" xfId="0" applyFont="1" applyBorder="1" applyAlignment="1">
      <alignment horizontal="justify" vertical="top" wrapText="1"/>
    </xf>
    <xf numFmtId="0" fontId="22" fillId="0" borderId="11" xfId="0" applyFont="1" applyBorder="1" applyAlignment="1">
      <alignment horizontal="justify" vertical="top" wrapTex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horizontal="justify" vertical="center"/>
    </xf>
    <xf numFmtId="0" fontId="22" fillId="0" borderId="0" xfId="0" applyFont="1" applyAlignment="1">
      <alignment horizontal="left" vertical="center" wrapText="1"/>
    </xf>
    <xf numFmtId="0" fontId="2" fillId="0" borderId="0" xfId="0" applyFo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0" fillId="0" borderId="0" xfId="0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16" fillId="0" borderId="21" xfId="22" applyFont="1" applyFill="1" applyBorder="1" applyAlignment="1">
      <alignment horizontal="center" vertical="center" wrapText="1"/>
    </xf>
    <xf numFmtId="0" fontId="16" fillId="0" borderId="3" xfId="22" applyFont="1" applyFill="1" applyBorder="1" applyAlignment="1">
      <alignment vertical="center" wrapText="1"/>
    </xf>
    <xf numFmtId="0" fontId="16" fillId="0" borderId="3" xfId="22" applyFont="1" applyFill="1" applyBorder="1" applyAlignment="1">
      <alignment horizontal="center" vertical="center" wrapText="1"/>
    </xf>
    <xf numFmtId="0" fontId="16" fillId="0" borderId="22" xfId="22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9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7" fillId="0" borderId="0" xfId="0" applyFont="1" applyFill="1" applyAlignment="1">
      <alignment vertical="center" wrapText="1"/>
    </xf>
    <xf numFmtId="0" fontId="27" fillId="0" borderId="1" xfId="0" applyFont="1" applyFill="1" applyBorder="1" applyAlignment="1">
      <alignment vertical="center"/>
    </xf>
    <xf numFmtId="0" fontId="0" fillId="0" borderId="2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10 2 2 2 2 2" xfId="109"/>
    <cellStyle name="常规 2" xfId="110"/>
    <cellStyle name="常规 2 2" xfId="111"/>
    <cellStyle name="常规 4" xfId="112"/>
    <cellStyle name="常规 54 2 2" xfId="113"/>
    <cellStyle name="解释性文本 2" xfId="114"/>
    <cellStyle name="好 2" xfId="115"/>
    <cellStyle name="好 2 2" xfId="116"/>
    <cellStyle name="汇总 2" xfId="117"/>
    <cellStyle name="汇总 2 2" xfId="118"/>
    <cellStyle name="检查单元格 2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5104;&#26412;&#24037;&#20316;\&#32467;&#31639;\&#24037;&#31243;&#32467;&#31639;\s1&#22320;&#22359;&#32467;&#31639;\2024&#24180;&#38646;&#26143;&#21512;&#21516;\&#28023;&#21335;\&#28023;&#21335;\10&#26376;&#20221;\LCS1-JA-104&#26686;&#24029;&#23665;&#27700;&#25991;&#33489;2024&#24180;&#24230;10&#26376;&#38646;&#26143;&#24037;&#31243;&#21512;&#21516;&#32467;&#3163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资料存档目录"/>
      <sheetName val="3、结算汇总表"/>
      <sheetName val="4 、结算明细表"/>
      <sheetName val="计算公示"/>
    </sheetNames>
    <sheetDataSet>
      <sheetData sheetId="0"/>
      <sheetData sheetId="1"/>
      <sheetData sheetId="2"/>
      <sheetData sheetId="3">
        <row r="7">
          <cell r="F7">
            <v>4124.6381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9"/>
  <sheetViews>
    <sheetView tabSelected="1" workbookViewId="0">
      <selection activeCell="B12" sqref="B12"/>
    </sheetView>
  </sheetViews>
  <sheetFormatPr defaultColWidth="9" defaultRowHeight="14.25"/>
  <cols>
    <col min="1" max="1" width="7.25" style="1" customWidth="1"/>
    <col min="2" max="2" width="38.375" style="3" customWidth="1"/>
    <col min="3" max="3" width="8.875" style="1" customWidth="1"/>
    <col min="4" max="4" width="9.625" style="1" customWidth="1"/>
    <col min="5" max="5" width="11" style="3" customWidth="1"/>
    <col min="6" max="6" width="10" style="152" customWidth="1"/>
    <col min="7" max="7" width="8.5" style="3" customWidth="1"/>
    <col min="8" max="10" width="9" style="3"/>
    <col min="11" max="11" width="46.125" style="3" customWidth="1"/>
    <col min="12" max="12" width="9" style="3"/>
  </cols>
  <sheetData>
    <row r="1" customFormat="1" ht="48" customHeight="1" spans="1:12">
      <c r="A1" s="153" t="s">
        <v>0</v>
      </c>
      <c r="B1" s="153"/>
      <c r="C1" s="153"/>
      <c r="D1" s="153"/>
      <c r="E1" s="153"/>
      <c r="F1" s="153"/>
      <c r="G1" s="154"/>
      <c r="H1" s="154"/>
      <c r="I1" s="154"/>
      <c r="J1" s="3"/>
      <c r="K1" s="3"/>
      <c r="L1" s="3"/>
    </row>
    <row r="2" customFormat="1" ht="30.75" customHeight="1" spans="1:12">
      <c r="A2" s="155" t="s">
        <v>1</v>
      </c>
      <c r="B2" s="156" t="s">
        <v>2</v>
      </c>
      <c r="C2" s="156" t="s">
        <v>3</v>
      </c>
      <c r="D2" s="156" t="s">
        <v>4</v>
      </c>
      <c r="E2" s="156" t="s">
        <v>5</v>
      </c>
      <c r="F2" s="157" t="s">
        <v>6</v>
      </c>
      <c r="G2" s="3"/>
      <c r="H2" s="3"/>
      <c r="I2" s="3"/>
      <c r="J2" s="3"/>
      <c r="K2" s="3"/>
      <c r="L2" s="3"/>
    </row>
    <row r="3" s="148" customFormat="1" ht="33" customHeight="1" spans="1:12">
      <c r="A3" s="158">
        <v>1</v>
      </c>
      <c r="B3" s="159" t="s">
        <v>7</v>
      </c>
      <c r="C3" s="160" t="s">
        <v>8</v>
      </c>
      <c r="D3" s="160" t="s">
        <v>9</v>
      </c>
      <c r="E3" s="159" t="s">
        <v>10</v>
      </c>
      <c r="F3" s="161"/>
      <c r="G3" s="162"/>
      <c r="H3" s="162"/>
      <c r="I3" s="162"/>
      <c r="J3" s="162"/>
      <c r="K3" s="162"/>
      <c r="L3" s="162"/>
    </row>
    <row r="4" s="148" customFormat="1" ht="25" customHeight="1" spans="1:12">
      <c r="A4" s="158">
        <v>2</v>
      </c>
      <c r="B4" s="159" t="s">
        <v>11</v>
      </c>
      <c r="C4" s="160" t="s">
        <v>8</v>
      </c>
      <c r="D4" s="160" t="s">
        <v>12</v>
      </c>
      <c r="E4" s="159" t="s">
        <v>10</v>
      </c>
      <c r="F4" s="161"/>
      <c r="G4" s="162"/>
      <c r="H4" s="162"/>
      <c r="I4" s="162"/>
      <c r="J4" s="162"/>
      <c r="K4" s="162"/>
      <c r="L4" s="162"/>
    </row>
    <row r="5" s="148" customFormat="1" ht="25" customHeight="1" spans="1:12">
      <c r="A5" s="158">
        <v>3</v>
      </c>
      <c r="B5" s="159" t="s">
        <v>13</v>
      </c>
      <c r="C5" s="160" t="s">
        <v>8</v>
      </c>
      <c r="D5" s="160" t="s">
        <v>14</v>
      </c>
      <c r="E5" s="159" t="s">
        <v>10</v>
      </c>
      <c r="F5" s="161"/>
      <c r="G5" s="162"/>
      <c r="H5" s="162"/>
      <c r="I5" s="162"/>
      <c r="J5" s="162"/>
      <c r="K5" s="162"/>
      <c r="L5" s="162"/>
    </row>
    <row r="6" s="148" customFormat="1" ht="25" customHeight="1" spans="1:12">
      <c r="A6" s="158">
        <v>4</v>
      </c>
      <c r="B6" s="159" t="s">
        <v>15</v>
      </c>
      <c r="C6" s="160" t="s">
        <v>8</v>
      </c>
      <c r="D6" s="160" t="s">
        <v>16</v>
      </c>
      <c r="E6" s="159" t="s">
        <v>10</v>
      </c>
      <c r="F6" s="161"/>
      <c r="G6" s="162"/>
      <c r="H6" s="162"/>
      <c r="I6" s="162"/>
      <c r="J6" s="162"/>
      <c r="K6" s="162"/>
      <c r="L6" s="162"/>
    </row>
    <row r="7" s="148" customFormat="1" ht="25" customHeight="1" spans="1:12">
      <c r="A7" s="158">
        <v>5</v>
      </c>
      <c r="B7" s="159" t="s">
        <v>17</v>
      </c>
      <c r="C7" s="160" t="s">
        <v>18</v>
      </c>
      <c r="D7" s="160" t="s">
        <v>19</v>
      </c>
      <c r="E7" s="159" t="s">
        <v>10</v>
      </c>
      <c r="F7" s="161"/>
      <c r="G7" s="162"/>
      <c r="H7" s="162"/>
      <c r="I7" s="162"/>
      <c r="J7" s="162"/>
      <c r="K7" s="162"/>
      <c r="L7" s="162"/>
    </row>
    <row r="8" s="148" customFormat="1" ht="25" customHeight="1" spans="1:12">
      <c r="A8" s="158">
        <v>6</v>
      </c>
      <c r="B8" s="159" t="s">
        <v>20</v>
      </c>
      <c r="C8" s="160" t="s">
        <v>8</v>
      </c>
      <c r="D8" s="160" t="s">
        <v>21</v>
      </c>
      <c r="E8" s="159" t="s">
        <v>10</v>
      </c>
      <c r="F8" s="161"/>
      <c r="G8" s="163"/>
      <c r="H8" s="162"/>
      <c r="I8" s="162"/>
      <c r="J8" s="162"/>
      <c r="K8" s="162"/>
      <c r="L8" s="162"/>
    </row>
    <row r="9" s="148" customFormat="1" ht="25" customHeight="1" spans="1:12">
      <c r="A9" s="158">
        <v>7</v>
      </c>
      <c r="B9" s="159" t="s">
        <v>22</v>
      </c>
      <c r="C9" s="160" t="s">
        <v>8</v>
      </c>
      <c r="D9" s="160" t="s">
        <v>23</v>
      </c>
      <c r="E9" s="159" t="s">
        <v>10</v>
      </c>
      <c r="F9" s="161"/>
      <c r="G9" s="163"/>
      <c r="H9" s="162"/>
      <c r="I9" s="162"/>
      <c r="J9" s="162"/>
      <c r="K9" s="162"/>
      <c r="L9" s="162"/>
    </row>
    <row r="10" s="149" customFormat="1" ht="25" customHeight="1" spans="1:12">
      <c r="A10" s="158">
        <v>8</v>
      </c>
      <c r="B10" s="159" t="s">
        <v>24</v>
      </c>
      <c r="C10" s="160" t="s">
        <v>8</v>
      </c>
      <c r="D10" s="160" t="s">
        <v>25</v>
      </c>
      <c r="E10" s="159" t="s">
        <v>10</v>
      </c>
      <c r="F10" s="161"/>
      <c r="G10" s="164"/>
      <c r="H10" s="165"/>
      <c r="I10" s="175"/>
      <c r="J10" s="175"/>
      <c r="K10" s="175"/>
      <c r="L10" s="175"/>
    </row>
    <row r="11" s="150" customFormat="1" ht="25" customHeight="1" spans="1:12">
      <c r="A11" s="158">
        <v>9</v>
      </c>
      <c r="B11" s="159" t="s">
        <v>26</v>
      </c>
      <c r="C11" s="160" t="s">
        <v>27</v>
      </c>
      <c r="D11" s="160" t="s">
        <v>28</v>
      </c>
      <c r="E11" s="159" t="s">
        <v>10</v>
      </c>
      <c r="F11" s="161"/>
      <c r="G11" s="166"/>
      <c r="H11" s="167"/>
      <c r="I11" s="176"/>
      <c r="J11" s="176"/>
      <c r="K11" s="176"/>
      <c r="L11" s="176"/>
    </row>
    <row r="12" s="150" customFormat="1" ht="25" customHeight="1" spans="1:10">
      <c r="A12" s="158">
        <v>10</v>
      </c>
      <c r="B12" s="159" t="s">
        <v>29</v>
      </c>
      <c r="C12" s="160" t="s">
        <v>8</v>
      </c>
      <c r="D12" s="160" t="s">
        <v>30</v>
      </c>
      <c r="E12" s="159" t="s">
        <v>10</v>
      </c>
      <c r="F12" s="161"/>
      <c r="G12" s="166"/>
      <c r="H12" s="167"/>
      <c r="I12" s="176"/>
      <c r="J12" s="176"/>
    </row>
    <row r="13" s="150" customFormat="1" ht="25" customHeight="1" spans="1:10">
      <c r="A13" s="158">
        <v>11</v>
      </c>
      <c r="B13" s="159" t="s">
        <v>31</v>
      </c>
      <c r="C13" s="160" t="s">
        <v>8</v>
      </c>
      <c r="D13" s="160" t="s">
        <v>32</v>
      </c>
      <c r="E13" s="159" t="s">
        <v>10</v>
      </c>
      <c r="F13" s="161"/>
      <c r="G13" s="166"/>
      <c r="H13" s="167"/>
      <c r="I13" s="176"/>
      <c r="J13" s="176"/>
    </row>
    <row r="14" s="151" customFormat="1" ht="25" customHeight="1" spans="1:10">
      <c r="A14" s="158">
        <v>12</v>
      </c>
      <c r="B14" s="159" t="s">
        <v>33</v>
      </c>
      <c r="C14" s="160" t="s">
        <v>8</v>
      </c>
      <c r="D14" s="160" t="s">
        <v>34</v>
      </c>
      <c r="E14" s="159" t="s">
        <v>10</v>
      </c>
      <c r="F14" s="161"/>
      <c r="G14" s="166"/>
      <c r="H14" s="167"/>
      <c r="I14" s="167"/>
      <c r="J14" s="167"/>
    </row>
    <row r="15" s="151" customFormat="1" ht="25" customHeight="1" spans="1:10">
      <c r="A15" s="158">
        <v>13</v>
      </c>
      <c r="B15" s="94" t="s">
        <v>35</v>
      </c>
      <c r="C15" s="7" t="s">
        <v>36</v>
      </c>
      <c r="D15" s="160"/>
      <c r="E15" s="159"/>
      <c r="F15" s="161"/>
      <c r="G15" s="166"/>
      <c r="H15" s="167"/>
      <c r="I15" s="167"/>
      <c r="J15" s="167"/>
    </row>
    <row r="16" s="151" customFormat="1" ht="25" customHeight="1" spans="1:10">
      <c r="A16" s="158">
        <v>14</v>
      </c>
      <c r="B16" s="94" t="s">
        <v>37</v>
      </c>
      <c r="C16" s="7" t="s">
        <v>36</v>
      </c>
      <c r="D16" s="160"/>
      <c r="E16" s="159"/>
      <c r="F16" s="161"/>
      <c r="G16" s="166"/>
      <c r="H16" s="167"/>
      <c r="I16" s="167"/>
      <c r="J16" s="167"/>
    </row>
    <row r="17" s="151" customFormat="1" ht="25" customHeight="1" spans="1:10">
      <c r="A17" s="158">
        <v>15</v>
      </c>
      <c r="B17" s="94" t="s">
        <v>38</v>
      </c>
      <c r="C17" s="7" t="s">
        <v>36</v>
      </c>
      <c r="D17" s="160"/>
      <c r="E17" s="159"/>
      <c r="F17" s="161"/>
      <c r="G17" s="166"/>
      <c r="H17" s="167"/>
      <c r="I17" s="167"/>
      <c r="J17" s="167"/>
    </row>
    <row r="18" s="151" customFormat="1" ht="25" customHeight="1" spans="1:10">
      <c r="A18" s="158">
        <v>16</v>
      </c>
      <c r="B18" s="94" t="s">
        <v>39</v>
      </c>
      <c r="C18" s="7" t="s">
        <v>36</v>
      </c>
      <c r="D18" s="160"/>
      <c r="E18" s="159"/>
      <c r="F18" s="161"/>
      <c r="G18" s="166"/>
      <c r="H18" s="167"/>
      <c r="I18" s="167"/>
      <c r="J18" s="167"/>
    </row>
    <row r="19" s="151" customFormat="1" ht="25" customHeight="1" spans="1:10">
      <c r="A19" s="158">
        <v>17</v>
      </c>
      <c r="B19" s="94" t="s">
        <v>40</v>
      </c>
      <c r="C19" s="7" t="s">
        <v>36</v>
      </c>
      <c r="D19" s="160"/>
      <c r="E19" s="159"/>
      <c r="F19" s="161"/>
      <c r="G19" s="166"/>
      <c r="H19" s="167"/>
      <c r="I19" s="167"/>
      <c r="J19" s="167"/>
    </row>
    <row r="20" s="151" customFormat="1" ht="25" customHeight="1" spans="1:12">
      <c r="A20" s="158">
        <v>18</v>
      </c>
      <c r="B20" s="94" t="s">
        <v>41</v>
      </c>
      <c r="C20" s="7" t="s">
        <v>36</v>
      </c>
      <c r="D20" s="160"/>
      <c r="E20" s="159"/>
      <c r="F20" s="161"/>
      <c r="G20" s="166"/>
      <c r="H20" s="167"/>
      <c r="I20" s="167"/>
      <c r="J20" s="167"/>
      <c r="K20" s="3"/>
      <c r="L20" s="3"/>
    </row>
    <row r="21" s="151" customFormat="1" ht="25" customHeight="1" spans="1:12">
      <c r="A21" s="158">
        <v>19</v>
      </c>
      <c r="B21" s="94" t="s">
        <v>42</v>
      </c>
      <c r="C21" s="7" t="s">
        <v>36</v>
      </c>
      <c r="D21" s="168"/>
      <c r="E21" s="168"/>
      <c r="F21" s="161"/>
      <c r="G21" s="166"/>
      <c r="H21" s="167"/>
      <c r="I21" s="167"/>
      <c r="J21" s="167"/>
      <c r="K21" s="3"/>
      <c r="L21" s="3"/>
    </row>
    <row r="22" s="151" customFormat="1" ht="25" customHeight="1" spans="1:12">
      <c r="A22" s="158">
        <v>20</v>
      </c>
      <c r="B22" s="168" t="s">
        <v>43</v>
      </c>
      <c r="C22" s="7" t="s">
        <v>36</v>
      </c>
      <c r="D22" s="168"/>
      <c r="E22" s="168"/>
      <c r="F22" s="161"/>
      <c r="G22" s="166"/>
      <c r="H22" s="167"/>
      <c r="I22" s="167"/>
      <c r="J22" s="167"/>
      <c r="K22" s="3"/>
      <c r="L22" s="3"/>
    </row>
    <row r="23" customFormat="1" ht="33.95" customHeight="1" spans="1:12">
      <c r="A23" s="169" t="s">
        <v>44</v>
      </c>
      <c r="B23" s="170"/>
      <c r="C23" s="170" t="s">
        <v>45</v>
      </c>
      <c r="D23" s="170"/>
      <c r="E23" s="170"/>
      <c r="F23" s="171"/>
      <c r="G23" s="3"/>
      <c r="H23" s="3"/>
      <c r="I23" s="3"/>
      <c r="J23" s="3"/>
      <c r="K23" s="3"/>
      <c r="L23" s="3"/>
    </row>
    <row r="24" customFormat="1" ht="33.95" customHeight="1" spans="1:12">
      <c r="A24" s="172"/>
      <c r="B24" s="173"/>
      <c r="C24" s="173"/>
      <c r="D24" s="173"/>
      <c r="E24" s="173"/>
      <c r="F24" s="174"/>
      <c r="G24" s="3"/>
      <c r="H24" s="3"/>
      <c r="I24" s="3"/>
      <c r="J24" s="3"/>
      <c r="K24" s="3"/>
      <c r="L24" s="3"/>
    </row>
    <row r="39" ht="43.5" customHeight="1"/>
  </sheetData>
  <mergeCells count="3">
    <mergeCell ref="A1:F1"/>
    <mergeCell ref="A23:B24"/>
    <mergeCell ref="C23:F24"/>
  </mergeCells>
  <pageMargins left="0.550694444444444" right="0.590277777777778" top="0.393055555555556" bottom="0.393055555555556" header="0.511805555555556" footer="0.511805555555556"/>
  <pageSetup paperSize="9" orientation="portrait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M9" sqref="M9"/>
    </sheetView>
  </sheetViews>
  <sheetFormatPr defaultColWidth="9" defaultRowHeight="14.25"/>
  <cols>
    <col min="1" max="1" width="4" style="3" customWidth="1"/>
    <col min="2" max="2" width="7.60833333333333" style="3" customWidth="1"/>
    <col min="3" max="3" width="23.475" style="3" customWidth="1"/>
    <col min="4" max="4" width="6.40833333333333" style="3" customWidth="1"/>
    <col min="5" max="5" width="6.375" style="3" customWidth="1"/>
    <col min="6" max="6" width="10.9666666666667" style="3" customWidth="1"/>
    <col min="7" max="7" width="8.69166666666667" style="3" customWidth="1"/>
    <col min="8" max="8" width="17.8166666666667" style="3" customWidth="1"/>
    <col min="9" max="9" width="12.625" style="3"/>
    <col min="10" max="16384" width="9" style="3"/>
  </cols>
  <sheetData>
    <row r="1" s="3" customFormat="1" ht="72" customHeight="1" spans="1:8">
      <c r="A1" s="12" t="s">
        <v>312</v>
      </c>
      <c r="B1" s="12"/>
      <c r="C1" s="12"/>
      <c r="D1" s="12"/>
      <c r="E1" s="12"/>
      <c r="F1" s="12"/>
      <c r="G1" s="12"/>
      <c r="H1" s="12"/>
    </row>
    <row r="2" s="3" customFormat="1" ht="22" customHeight="1" spans="1:8">
      <c r="A2" s="13" t="s">
        <v>1</v>
      </c>
      <c r="B2" s="13" t="s">
        <v>51</v>
      </c>
      <c r="C2" s="13" t="s">
        <v>86</v>
      </c>
      <c r="D2" s="13" t="s">
        <v>87</v>
      </c>
      <c r="E2" s="13" t="s">
        <v>88</v>
      </c>
      <c r="F2" s="13" t="s">
        <v>89</v>
      </c>
      <c r="G2" s="13" t="s">
        <v>90</v>
      </c>
      <c r="H2" s="14" t="s">
        <v>6</v>
      </c>
    </row>
    <row r="3" s="3" customFormat="1" ht="24" customHeight="1" spans="1:8">
      <c r="A3" s="15">
        <v>1</v>
      </c>
      <c r="B3" s="15" t="s">
        <v>313</v>
      </c>
      <c r="C3" s="16" t="s">
        <v>314</v>
      </c>
      <c r="D3" s="17"/>
      <c r="E3" s="17"/>
      <c r="F3" s="17"/>
      <c r="G3" s="18"/>
      <c r="H3" s="19"/>
    </row>
    <row r="4" s="3" customFormat="1" ht="23" customHeight="1" spans="1:8">
      <c r="A4" s="20"/>
      <c r="B4" s="20"/>
      <c r="C4" s="16" t="s">
        <v>315</v>
      </c>
      <c r="D4" s="17" t="s">
        <v>132</v>
      </c>
      <c r="E4" s="17">
        <v>12.3</v>
      </c>
      <c r="F4" s="17">
        <v>140</v>
      </c>
      <c r="G4" s="18">
        <f t="shared" ref="G4:G18" si="0">F4*E4</f>
        <v>1722</v>
      </c>
      <c r="H4" s="19"/>
    </row>
    <row r="5" s="3" customFormat="1" ht="25" customHeight="1" spans="1:8">
      <c r="A5" s="20"/>
      <c r="B5" s="20"/>
      <c r="C5" s="16" t="s">
        <v>316</v>
      </c>
      <c r="D5" s="17" t="s">
        <v>132</v>
      </c>
      <c r="E5" s="17">
        <v>82</v>
      </c>
      <c r="F5" s="21">
        <v>88</v>
      </c>
      <c r="G5" s="18">
        <f t="shared" si="0"/>
        <v>7216</v>
      </c>
      <c r="H5" s="22"/>
    </row>
    <row r="6" s="3" customFormat="1" ht="25" customHeight="1" spans="1:8">
      <c r="A6" s="20"/>
      <c r="B6" s="20"/>
      <c r="C6" s="23" t="s">
        <v>317</v>
      </c>
      <c r="D6" s="17" t="s">
        <v>102</v>
      </c>
      <c r="E6" s="17">
        <v>8.83</v>
      </c>
      <c r="F6" s="21">
        <v>340</v>
      </c>
      <c r="G6" s="18">
        <f t="shared" si="0"/>
        <v>3002.2</v>
      </c>
      <c r="H6" s="22"/>
    </row>
    <row r="7" s="3" customFormat="1" ht="25" customHeight="1" spans="1:8">
      <c r="A7" s="20"/>
      <c r="B7" s="20"/>
      <c r="C7" s="23" t="s">
        <v>318</v>
      </c>
      <c r="D7" s="17" t="s">
        <v>102</v>
      </c>
      <c r="E7" s="17">
        <v>59.93</v>
      </c>
      <c r="F7" s="21">
        <v>220</v>
      </c>
      <c r="G7" s="18">
        <f t="shared" si="0"/>
        <v>13184.6</v>
      </c>
      <c r="H7" s="22"/>
    </row>
    <row r="8" s="3" customFormat="1" ht="25" customHeight="1" spans="1:8">
      <c r="A8" s="20"/>
      <c r="B8" s="20"/>
      <c r="C8" s="23" t="s">
        <v>319</v>
      </c>
      <c r="D8" s="17" t="s">
        <v>132</v>
      </c>
      <c r="E8" s="17">
        <v>4.21</v>
      </c>
      <c r="F8" s="21">
        <v>875</v>
      </c>
      <c r="G8" s="18">
        <f t="shared" si="0"/>
        <v>3683.8</v>
      </c>
      <c r="H8" s="22"/>
    </row>
    <row r="9" s="3" customFormat="1" ht="25" customHeight="1" spans="1:8">
      <c r="A9" s="20"/>
      <c r="B9" s="20"/>
      <c r="C9" s="23" t="s">
        <v>320</v>
      </c>
      <c r="D9" s="17" t="s">
        <v>132</v>
      </c>
      <c r="E9" s="17">
        <v>10.58</v>
      </c>
      <c r="F9" s="21">
        <v>875</v>
      </c>
      <c r="G9" s="18">
        <f t="shared" si="0"/>
        <v>9257.5</v>
      </c>
      <c r="H9" s="22"/>
    </row>
    <row r="10" s="3" customFormat="1" ht="25" customHeight="1" spans="1:8">
      <c r="A10" s="20"/>
      <c r="B10" s="20"/>
      <c r="C10" s="23" t="s">
        <v>321</v>
      </c>
      <c r="D10" s="17" t="s">
        <v>102</v>
      </c>
      <c r="E10" s="17">
        <v>105.82</v>
      </c>
      <c r="F10" s="21">
        <v>80</v>
      </c>
      <c r="G10" s="18">
        <f t="shared" si="0"/>
        <v>8465.6</v>
      </c>
      <c r="H10" s="22"/>
    </row>
    <row r="11" s="3" customFormat="1" ht="25" customHeight="1" spans="1:8">
      <c r="A11" s="20"/>
      <c r="B11" s="20"/>
      <c r="C11" s="23" t="s">
        <v>138</v>
      </c>
      <c r="D11" s="17" t="s">
        <v>139</v>
      </c>
      <c r="E11" s="17">
        <v>1.214</v>
      </c>
      <c r="F11" s="21">
        <v>6600</v>
      </c>
      <c r="G11" s="18">
        <f t="shared" si="0"/>
        <v>8012.4</v>
      </c>
      <c r="H11" s="22"/>
    </row>
    <row r="12" s="3" customFormat="1" ht="25" customHeight="1" spans="1:8">
      <c r="A12" s="20"/>
      <c r="B12" s="20"/>
      <c r="C12" s="23" t="s">
        <v>322</v>
      </c>
      <c r="D12" s="17" t="s">
        <v>102</v>
      </c>
      <c r="E12" s="17">
        <v>57.74</v>
      </c>
      <c r="F12" s="21">
        <v>25</v>
      </c>
      <c r="G12" s="18">
        <f t="shared" si="0"/>
        <v>1443.5</v>
      </c>
      <c r="H12" s="22"/>
    </row>
    <row r="13" s="3" customFormat="1" ht="25" customHeight="1" spans="1:8">
      <c r="A13" s="20"/>
      <c r="B13" s="20"/>
      <c r="C13" s="23" t="s">
        <v>323</v>
      </c>
      <c r="D13" s="17" t="s">
        <v>324</v>
      </c>
      <c r="E13" s="17">
        <v>3</v>
      </c>
      <c r="F13" s="21">
        <v>980</v>
      </c>
      <c r="G13" s="18">
        <f t="shared" si="0"/>
        <v>2940</v>
      </c>
      <c r="H13" s="22" t="s">
        <v>325</v>
      </c>
    </row>
    <row r="14" s="3" customFormat="1" ht="25" customHeight="1" spans="1:8">
      <c r="A14" s="20"/>
      <c r="B14" s="20"/>
      <c r="C14" s="23" t="s">
        <v>326</v>
      </c>
      <c r="D14" s="17" t="s">
        <v>324</v>
      </c>
      <c r="E14" s="17">
        <v>1</v>
      </c>
      <c r="F14" s="21">
        <f>2000/1.13*1.03</f>
        <v>1823</v>
      </c>
      <c r="G14" s="18">
        <f t="shared" si="0"/>
        <v>1823</v>
      </c>
      <c r="H14" s="22" t="s">
        <v>327</v>
      </c>
    </row>
    <row r="15" s="3" customFormat="1" ht="32" customHeight="1" spans="1:8">
      <c r="A15" s="15">
        <v>2</v>
      </c>
      <c r="B15" s="15" t="s">
        <v>328</v>
      </c>
      <c r="C15" s="22" t="s">
        <v>329</v>
      </c>
      <c r="D15" s="24" t="s">
        <v>173</v>
      </c>
      <c r="E15" s="24">
        <v>139.5</v>
      </c>
      <c r="F15" s="25">
        <f>240/3*2.5</f>
        <v>200</v>
      </c>
      <c r="G15" s="18">
        <f t="shared" si="0"/>
        <v>27900</v>
      </c>
      <c r="H15" s="26" t="s">
        <v>330</v>
      </c>
    </row>
    <row r="16" s="3" customFormat="1" ht="32" customHeight="1" spans="1:8">
      <c r="A16" s="20"/>
      <c r="B16" s="20"/>
      <c r="C16" s="22" t="s">
        <v>331</v>
      </c>
      <c r="D16" s="24" t="s">
        <v>173</v>
      </c>
      <c r="E16" s="24">
        <v>12.85</v>
      </c>
      <c r="F16" s="25">
        <f>240/3*3.3</f>
        <v>264</v>
      </c>
      <c r="G16" s="18">
        <f t="shared" si="0"/>
        <v>3392.4</v>
      </c>
      <c r="H16" s="26" t="s">
        <v>330</v>
      </c>
    </row>
    <row r="17" s="3" customFormat="1" ht="33" customHeight="1" spans="1:8">
      <c r="A17" s="15">
        <v>3</v>
      </c>
      <c r="B17" s="15" t="s">
        <v>332</v>
      </c>
      <c r="C17" s="26" t="s">
        <v>333</v>
      </c>
      <c r="D17" s="24" t="s">
        <v>91</v>
      </c>
      <c r="E17" s="24">
        <v>1</v>
      </c>
      <c r="F17" s="25">
        <v>5000</v>
      </c>
      <c r="G17" s="18">
        <f t="shared" si="0"/>
        <v>5000</v>
      </c>
      <c r="H17" s="26" t="s">
        <v>334</v>
      </c>
    </row>
    <row r="18" s="3" customFormat="1" ht="33" customHeight="1" spans="1:8">
      <c r="A18" s="20"/>
      <c r="B18" s="20"/>
      <c r="C18" s="26" t="s">
        <v>335</v>
      </c>
      <c r="D18" s="24" t="s">
        <v>91</v>
      </c>
      <c r="E18" s="24">
        <v>1</v>
      </c>
      <c r="F18" s="25">
        <v>4000</v>
      </c>
      <c r="G18" s="18">
        <f t="shared" si="0"/>
        <v>4000</v>
      </c>
      <c r="H18" s="26"/>
    </row>
    <row r="19" s="3" customFormat="1" spans="1:8">
      <c r="A19" s="24">
        <v>4</v>
      </c>
      <c r="B19" s="24" t="s">
        <v>120</v>
      </c>
      <c r="C19" s="16"/>
      <c r="D19" s="24"/>
      <c r="E19" s="24"/>
      <c r="F19" s="24"/>
      <c r="G19" s="27">
        <f>SUM(G3:G18)</f>
        <v>101043</v>
      </c>
      <c r="H19" s="24"/>
    </row>
    <row r="20" s="3" customFormat="1" ht="20" customHeight="1" spans="1:8">
      <c r="A20" s="24">
        <v>5</v>
      </c>
      <c r="B20" s="28" t="s">
        <v>183</v>
      </c>
      <c r="C20" s="29"/>
      <c r="D20" s="19"/>
      <c r="E20" s="19"/>
      <c r="F20" s="19"/>
      <c r="G20" s="30">
        <v>101000</v>
      </c>
      <c r="H20" s="19"/>
    </row>
    <row r="21" s="3" customFormat="1" ht="39" customHeight="1" spans="2:9">
      <c r="B21" s="3" t="s">
        <v>123</v>
      </c>
      <c r="E21" s="3" t="s">
        <v>124</v>
      </c>
      <c r="I21" s="3" t="s">
        <v>293</v>
      </c>
    </row>
    <row r="22" s="3" customFormat="1" ht="39" customHeight="1" spans="2:5">
      <c r="B22" s="3" t="s">
        <v>184</v>
      </c>
      <c r="E22" s="3" t="s">
        <v>184</v>
      </c>
    </row>
  </sheetData>
  <mergeCells count="8">
    <mergeCell ref="A1:H1"/>
    <mergeCell ref="B20:C20"/>
    <mergeCell ref="A3:A14"/>
    <mergeCell ref="A15:A16"/>
    <mergeCell ref="A17:A18"/>
    <mergeCell ref="B3:B14"/>
    <mergeCell ref="B15:B16"/>
    <mergeCell ref="B17:B1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I7" sqref="I7"/>
    </sheetView>
  </sheetViews>
  <sheetFormatPr defaultColWidth="9" defaultRowHeight="14.25" outlineLevelCol="7"/>
  <cols>
    <col min="1" max="1" width="5.375" style="2" customWidth="1"/>
    <col min="2" max="2" width="16.5" customWidth="1"/>
    <col min="3" max="3" width="20.25" style="3" customWidth="1"/>
    <col min="4" max="4" width="4.125" customWidth="1"/>
    <col min="5" max="5" width="7" customWidth="1"/>
    <col min="6" max="6" width="6.75" customWidth="1"/>
    <col min="7" max="7" width="10.25" customWidth="1"/>
    <col min="8" max="8" width="9.75" customWidth="1"/>
    <col min="10" max="10" width="12.625"/>
    <col min="13" max="13" width="20.75" customWidth="1"/>
  </cols>
  <sheetData>
    <row r="1" ht="44" customHeight="1" spans="1:8">
      <c r="A1" s="4" t="s">
        <v>336</v>
      </c>
      <c r="B1" s="4"/>
      <c r="C1" s="5"/>
      <c r="D1" s="4"/>
      <c r="E1" s="4"/>
      <c r="F1" s="4"/>
      <c r="G1" s="4"/>
      <c r="H1" s="4"/>
    </row>
    <row r="2" s="1" customFormat="1" ht="34" customHeight="1" spans="1:8">
      <c r="A2" s="6" t="s">
        <v>1</v>
      </c>
      <c r="B2" s="6" t="s">
        <v>51</v>
      </c>
      <c r="C2" s="6" t="s">
        <v>337</v>
      </c>
      <c r="D2" s="6" t="s">
        <v>87</v>
      </c>
      <c r="E2" s="6" t="s">
        <v>338</v>
      </c>
      <c r="F2" s="6" t="s">
        <v>339</v>
      </c>
      <c r="G2" s="6" t="s">
        <v>120</v>
      </c>
      <c r="H2" s="6" t="s">
        <v>6</v>
      </c>
    </row>
    <row r="3" ht="26" customHeight="1" spans="1:8">
      <c r="A3" s="7" t="s">
        <v>340</v>
      </c>
      <c r="B3" s="7"/>
      <c r="C3" s="8"/>
      <c r="D3" s="9"/>
      <c r="E3" s="9"/>
      <c r="F3" s="9"/>
      <c r="G3" s="9"/>
      <c r="H3" s="6" t="s">
        <v>341</v>
      </c>
    </row>
    <row r="4" ht="51" customHeight="1" spans="1:8">
      <c r="A4" s="7">
        <v>1</v>
      </c>
      <c r="B4" s="9" t="s">
        <v>342</v>
      </c>
      <c r="C4" s="8" t="s">
        <v>343</v>
      </c>
      <c r="D4" s="9" t="s">
        <v>102</v>
      </c>
      <c r="E4" s="9">
        <f ca="1">结果计算</f>
        <v>99.41</v>
      </c>
      <c r="F4" s="10">
        <f>73.14/1.09*1.03</f>
        <v>69.11</v>
      </c>
      <c r="G4" s="11">
        <f ca="1">F4*E4</f>
        <v>6870.23</v>
      </c>
      <c r="H4" s="9"/>
    </row>
    <row r="5" ht="44" customHeight="1" spans="1:8">
      <c r="A5" s="7">
        <v>2</v>
      </c>
      <c r="B5" s="8" t="s">
        <v>344</v>
      </c>
      <c r="C5" s="8" t="s">
        <v>345</v>
      </c>
      <c r="D5" s="9" t="s">
        <v>346</v>
      </c>
      <c r="E5" s="9">
        <f ca="1">结果计算</f>
        <v>174.9616</v>
      </c>
      <c r="F5" s="11">
        <f>6.40026/1.09*1.03</f>
        <v>6.05</v>
      </c>
      <c r="G5" s="11">
        <f ca="1" t="shared" ref="G5:G17" si="0">F5*E5</f>
        <v>1058.52</v>
      </c>
      <c r="H5" s="9"/>
    </row>
    <row r="6" ht="51" customHeight="1" spans="1:8">
      <c r="A6" s="7">
        <v>3</v>
      </c>
      <c r="B6" s="8" t="s">
        <v>347</v>
      </c>
      <c r="C6" s="8" t="s">
        <v>348</v>
      </c>
      <c r="D6" s="9" t="s">
        <v>346</v>
      </c>
      <c r="E6" s="9">
        <f ca="1">结果计算</f>
        <v>120.153</v>
      </c>
      <c r="F6" s="10">
        <f>6.30075/1.09*1.03</f>
        <v>5.95</v>
      </c>
      <c r="G6" s="11">
        <f ca="1" t="shared" si="0"/>
        <v>714.91</v>
      </c>
      <c r="H6" s="9"/>
    </row>
    <row r="7" ht="50" customHeight="1" spans="1:8">
      <c r="A7" s="7">
        <v>4</v>
      </c>
      <c r="B7" s="9" t="s">
        <v>349</v>
      </c>
      <c r="C7" s="8" t="s">
        <v>350</v>
      </c>
      <c r="D7" s="9" t="s">
        <v>173</v>
      </c>
      <c r="E7" s="9">
        <f ca="1">结果计算</f>
        <v>171</v>
      </c>
      <c r="F7" s="10">
        <f>41/1.09*1.03</f>
        <v>38.74</v>
      </c>
      <c r="G7" s="11">
        <f ca="1" t="shared" si="0"/>
        <v>6624.54</v>
      </c>
      <c r="H7" s="9"/>
    </row>
    <row r="8" ht="22" customHeight="1" spans="1:8">
      <c r="A8" s="7" t="s">
        <v>351</v>
      </c>
      <c r="B8" s="7"/>
      <c r="C8" s="8"/>
      <c r="D8" s="9"/>
      <c r="E8" s="9"/>
      <c r="F8" s="11"/>
      <c r="G8" s="11">
        <f t="shared" si="0"/>
        <v>0</v>
      </c>
      <c r="H8" s="9"/>
    </row>
    <row r="9" ht="30" customHeight="1" spans="1:8">
      <c r="A9" s="7">
        <v>1</v>
      </c>
      <c r="B9" s="9" t="s">
        <v>342</v>
      </c>
      <c r="C9" s="8" t="s">
        <v>352</v>
      </c>
      <c r="D9" s="9" t="s">
        <v>102</v>
      </c>
      <c r="E9" s="9">
        <f ca="1">结果计算</f>
        <v>398.495</v>
      </c>
      <c r="F9" s="10">
        <f>73.14/1.09*1.03</f>
        <v>69.11</v>
      </c>
      <c r="G9" s="11">
        <f ca="1" t="shared" si="0"/>
        <v>27539.99</v>
      </c>
      <c r="H9" s="9"/>
    </row>
    <row r="10" ht="30" customHeight="1" spans="1:8">
      <c r="A10" s="7">
        <v>2</v>
      </c>
      <c r="B10" s="8" t="s">
        <v>353</v>
      </c>
      <c r="C10" s="8" t="s">
        <v>354</v>
      </c>
      <c r="D10" s="9" t="s">
        <v>346</v>
      </c>
      <c r="E10" s="9">
        <f ca="1">结果计算</f>
        <v>701.3512</v>
      </c>
      <c r="F10" s="11">
        <f>6.40026/1.09*1.03</f>
        <v>6.05</v>
      </c>
      <c r="G10" s="11">
        <f ca="1" t="shared" si="0"/>
        <v>4243.17</v>
      </c>
      <c r="H10" s="9"/>
    </row>
    <row r="11" ht="53" customHeight="1" spans="1:8">
      <c r="A11" s="7">
        <v>3</v>
      </c>
      <c r="B11" s="8" t="s">
        <v>355</v>
      </c>
      <c r="C11" s="8" t="s">
        <v>356</v>
      </c>
      <c r="D11" s="9" t="s">
        <v>346</v>
      </c>
      <c r="E11" s="9">
        <f ca="1">结果计算</f>
        <v>485.0285</v>
      </c>
      <c r="F11" s="10">
        <f>6.30075/1.09*1.03</f>
        <v>5.95</v>
      </c>
      <c r="G11" s="11">
        <f ca="1" t="shared" si="0"/>
        <v>2885.92</v>
      </c>
      <c r="H11" s="9"/>
    </row>
    <row r="12" ht="30" customHeight="1" spans="1:8">
      <c r="A12" s="7">
        <v>4</v>
      </c>
      <c r="B12" s="9" t="s">
        <v>349</v>
      </c>
      <c r="C12" s="8" t="s">
        <v>357</v>
      </c>
      <c r="D12" s="9" t="s">
        <v>173</v>
      </c>
      <c r="E12" s="9">
        <f ca="1">结果计算</f>
        <v>676.5</v>
      </c>
      <c r="F12" s="10">
        <f>41/1.09*1.03</f>
        <v>38.74</v>
      </c>
      <c r="G12" s="11">
        <f ca="1" t="shared" si="0"/>
        <v>26207.61</v>
      </c>
      <c r="H12" s="9"/>
    </row>
    <row r="13" spans="1:8">
      <c r="A13" s="7" t="s">
        <v>358</v>
      </c>
      <c r="B13" s="7"/>
      <c r="C13" s="8"/>
      <c r="D13" s="9"/>
      <c r="E13" s="9"/>
      <c r="F13" s="11"/>
      <c r="G13" s="11">
        <f t="shared" si="0"/>
        <v>0</v>
      </c>
      <c r="H13" s="9"/>
    </row>
    <row r="14" ht="56" customHeight="1" spans="1:8">
      <c r="A14" s="7">
        <v>1</v>
      </c>
      <c r="B14" s="9" t="s">
        <v>342</v>
      </c>
      <c r="C14" s="8" t="s">
        <v>359</v>
      </c>
      <c r="D14" s="9" t="s">
        <v>102</v>
      </c>
      <c r="E14" s="9">
        <f ca="1">结果计算</f>
        <v>102.13</v>
      </c>
      <c r="F14" s="10">
        <f>73.14/1.09*1.03</f>
        <v>69.11</v>
      </c>
      <c r="G14" s="11">
        <f ca="1" t="shared" si="0"/>
        <v>7058.2</v>
      </c>
      <c r="H14" s="9"/>
    </row>
    <row r="15" ht="31" customHeight="1" spans="1:8">
      <c r="A15" s="7">
        <v>2</v>
      </c>
      <c r="B15" s="8" t="s">
        <v>353</v>
      </c>
      <c r="C15" s="8" t="s">
        <v>360</v>
      </c>
      <c r="D15" s="9" t="s">
        <v>346</v>
      </c>
      <c r="E15" s="9">
        <f ca="1">结果计算</f>
        <v>102.9864</v>
      </c>
      <c r="F15" s="11">
        <f>6.40026/1.09*1.03</f>
        <v>6.05</v>
      </c>
      <c r="G15" s="11">
        <f ca="1" t="shared" si="0"/>
        <v>623.07</v>
      </c>
      <c r="H15" s="9"/>
    </row>
    <row r="16" ht="54" customHeight="1" spans="1:8">
      <c r="A16" s="7">
        <v>3</v>
      </c>
      <c r="B16" s="8" t="s">
        <v>355</v>
      </c>
      <c r="C16" s="8" t="s">
        <v>361</v>
      </c>
      <c r="D16" s="9" t="s">
        <v>346</v>
      </c>
      <c r="E16" s="9">
        <f ca="1">结果计算</f>
        <v>109.142</v>
      </c>
      <c r="F16" s="10">
        <f>6.30075/1.09*1.03</f>
        <v>5.95</v>
      </c>
      <c r="G16" s="11">
        <f ca="1" t="shared" si="0"/>
        <v>649.39</v>
      </c>
      <c r="H16" s="9"/>
    </row>
    <row r="17" ht="25" customHeight="1" spans="1:8">
      <c r="A17" s="7">
        <v>4</v>
      </c>
      <c r="B17" s="9" t="s">
        <v>349</v>
      </c>
      <c r="C17" s="8" t="s">
        <v>362</v>
      </c>
      <c r="D17" s="9" t="s">
        <v>173</v>
      </c>
      <c r="E17" s="9">
        <f ca="1">结果计算</f>
        <v>148.5</v>
      </c>
      <c r="F17" s="10">
        <f>41/1.09*1.03</f>
        <v>38.74</v>
      </c>
      <c r="G17" s="11">
        <f ca="1" t="shared" si="0"/>
        <v>5752.89</v>
      </c>
      <c r="H17" s="9"/>
    </row>
    <row r="18" spans="1:8">
      <c r="A18" s="7"/>
      <c r="B18" s="9"/>
      <c r="C18" s="8"/>
      <c r="D18" s="9"/>
      <c r="E18" s="9"/>
      <c r="F18" s="9"/>
      <c r="G18" s="11">
        <f ca="1">SUM(G4:G17)</f>
        <v>90228.44</v>
      </c>
      <c r="H18" s="9"/>
    </row>
    <row r="19" spans="1:8">
      <c r="A19" s="7"/>
      <c r="B19" s="9"/>
      <c r="C19" s="8"/>
      <c r="D19" s="9"/>
      <c r="E19" s="9"/>
      <c r="F19" s="9"/>
      <c r="G19" s="9"/>
      <c r="H19" s="9"/>
    </row>
  </sheetData>
  <mergeCells count="4">
    <mergeCell ref="A1:H1"/>
    <mergeCell ref="A3:B3"/>
    <mergeCell ref="A8:B8"/>
    <mergeCell ref="A13:B1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4" workbookViewId="0">
      <selection activeCell="I17" sqref="I17"/>
    </sheetView>
  </sheetViews>
  <sheetFormatPr defaultColWidth="9" defaultRowHeight="14.25" outlineLevelCol="7"/>
  <cols>
    <col min="1" max="1" width="10.875" customWidth="1"/>
    <col min="2" max="2" width="8.5" customWidth="1"/>
    <col min="3" max="3" width="3.25" customWidth="1"/>
    <col min="4" max="4" width="8" customWidth="1"/>
    <col min="5" max="5" width="13" customWidth="1"/>
    <col min="6" max="6" width="12" customWidth="1"/>
    <col min="7" max="7" width="11.625" customWidth="1"/>
    <col min="8" max="8" width="12.875" customWidth="1"/>
  </cols>
  <sheetData>
    <row r="1" ht="37.5" customHeight="1" spans="1:8">
      <c r="A1" s="111" t="s">
        <v>46</v>
      </c>
      <c r="B1" s="111"/>
      <c r="C1" s="111"/>
      <c r="D1" s="111"/>
      <c r="E1" s="111"/>
      <c r="F1" s="111"/>
      <c r="G1" s="111"/>
      <c r="H1" s="111"/>
    </row>
    <row r="2" ht="31.9" customHeight="1" spans="1:8">
      <c r="A2" s="112" t="s">
        <v>47</v>
      </c>
      <c r="B2" s="112"/>
      <c r="C2" s="112"/>
      <c r="D2" s="112"/>
      <c r="E2" s="112"/>
      <c r="F2" s="112"/>
      <c r="G2" s="112"/>
      <c r="H2" s="112"/>
    </row>
    <row r="3" ht="23.25" customHeight="1" spans="1:8">
      <c r="A3" s="112" t="s">
        <v>48</v>
      </c>
      <c r="B3" s="112"/>
      <c r="C3" s="112"/>
      <c r="D3" s="112"/>
      <c r="E3" s="112"/>
      <c r="F3" s="112"/>
      <c r="G3" s="112"/>
      <c r="H3" s="112"/>
    </row>
    <row r="4" ht="25.5" customHeight="1" spans="1:8">
      <c r="A4" s="112" t="s">
        <v>49</v>
      </c>
      <c r="B4" s="112"/>
      <c r="C4" s="112"/>
      <c r="D4" s="112"/>
      <c r="E4" s="112"/>
      <c r="F4" s="112"/>
      <c r="G4" s="112"/>
      <c r="H4" s="112"/>
    </row>
    <row r="5" ht="30" customHeight="1" spans="1:8">
      <c r="A5" s="113" t="s">
        <v>50</v>
      </c>
      <c r="B5" s="113"/>
      <c r="C5" s="113"/>
      <c r="D5" s="113"/>
      <c r="E5" s="113"/>
      <c r="F5" s="113"/>
      <c r="G5" s="113"/>
      <c r="H5" s="113"/>
    </row>
    <row r="6" ht="20.25" customHeight="1" spans="1:8">
      <c r="A6" s="114" t="s">
        <v>1</v>
      </c>
      <c r="B6" s="115" t="s">
        <v>51</v>
      </c>
      <c r="C6" s="116"/>
      <c r="D6" s="117"/>
      <c r="E6" s="117" t="s">
        <v>52</v>
      </c>
      <c r="F6" s="117" t="s">
        <v>53</v>
      </c>
      <c r="G6" s="117" t="s">
        <v>54</v>
      </c>
      <c r="H6" s="117" t="s">
        <v>55</v>
      </c>
    </row>
    <row r="7" ht="20.25" customHeight="1" spans="1:8">
      <c r="A7" s="118" t="s">
        <v>56</v>
      </c>
      <c r="B7" s="119" t="s">
        <v>57</v>
      </c>
      <c r="C7" s="120"/>
      <c r="D7" s="121"/>
      <c r="E7" s="122">
        <f>E8+E9+E10+E11</f>
        <v>0</v>
      </c>
      <c r="F7" s="122">
        <v>0</v>
      </c>
      <c r="G7" s="122">
        <f>G8+G9+G10+G11</f>
        <v>0</v>
      </c>
      <c r="H7" s="123">
        <f>H8+H12</f>
        <v>736800</v>
      </c>
    </row>
    <row r="8" ht="20.25" customHeight="1" spans="1:8">
      <c r="A8" s="124">
        <v>1.1</v>
      </c>
      <c r="B8" s="125" t="s">
        <v>58</v>
      </c>
      <c r="C8" s="126"/>
      <c r="D8" s="127"/>
      <c r="E8" s="122">
        <v>0</v>
      </c>
      <c r="F8" s="122">
        <v>0</v>
      </c>
      <c r="G8" s="122">
        <v>0</v>
      </c>
      <c r="H8" s="123">
        <f>'4、各月结算明细'!G26</f>
        <v>736816.35</v>
      </c>
    </row>
    <row r="9" ht="20.25" customHeight="1" spans="1:8">
      <c r="A9" s="124">
        <v>1.2</v>
      </c>
      <c r="B9" s="125" t="s">
        <v>59</v>
      </c>
      <c r="C9" s="126"/>
      <c r="D9" s="127"/>
      <c r="E9" s="122">
        <v>0</v>
      </c>
      <c r="F9" s="122">
        <v>0</v>
      </c>
      <c r="G9" s="122">
        <v>0</v>
      </c>
      <c r="H9" s="122"/>
    </row>
    <row r="10" ht="20.25" customHeight="1" spans="1:8">
      <c r="A10" s="124">
        <v>1.3</v>
      </c>
      <c r="B10" s="125" t="s">
        <v>60</v>
      </c>
      <c r="C10" s="126"/>
      <c r="D10" s="127"/>
      <c r="E10" s="122">
        <v>0</v>
      </c>
      <c r="F10" s="122">
        <v>0</v>
      </c>
      <c r="G10" s="122">
        <v>0</v>
      </c>
      <c r="H10" s="122"/>
    </row>
    <row r="11" ht="20.25" customHeight="1" spans="1:8">
      <c r="A11" s="124">
        <v>1.4</v>
      </c>
      <c r="B11" s="125" t="s">
        <v>61</v>
      </c>
      <c r="C11" s="126"/>
      <c r="D11" s="127"/>
      <c r="E11" s="122">
        <v>0</v>
      </c>
      <c r="F11" s="122">
        <v>0</v>
      </c>
      <c r="G11" s="122">
        <v>0</v>
      </c>
      <c r="H11" s="123"/>
    </row>
    <row r="12" ht="20.25" customHeight="1" spans="1:8">
      <c r="A12" s="124">
        <v>1.5</v>
      </c>
      <c r="B12" s="125" t="s">
        <v>62</v>
      </c>
      <c r="C12" s="126"/>
      <c r="D12" s="127"/>
      <c r="E12" s="128"/>
      <c r="F12" s="129"/>
      <c r="G12" s="122"/>
      <c r="H12" s="123">
        <v>-16.35</v>
      </c>
    </row>
    <row r="13" ht="20.25" customHeight="1" spans="1:8">
      <c r="A13" s="118" t="s">
        <v>63</v>
      </c>
      <c r="B13" s="119" t="s">
        <v>64</v>
      </c>
      <c r="C13" s="120"/>
      <c r="D13" s="121"/>
      <c r="E13" s="125">
        <v>0</v>
      </c>
      <c r="F13" s="127"/>
      <c r="G13" s="122">
        <v>0</v>
      </c>
      <c r="H13" s="122">
        <v>0</v>
      </c>
    </row>
    <row r="14" ht="20.25" customHeight="1" spans="1:8">
      <c r="A14" s="124">
        <v>2.1</v>
      </c>
      <c r="B14" s="125" t="s">
        <v>65</v>
      </c>
      <c r="C14" s="126"/>
      <c r="D14" s="127"/>
      <c r="E14" s="125">
        <v>0</v>
      </c>
      <c r="F14" s="127"/>
      <c r="G14" s="122">
        <v>0</v>
      </c>
      <c r="H14" s="122">
        <v>0</v>
      </c>
    </row>
    <row r="15" ht="20.25" customHeight="1" spans="1:8">
      <c r="A15" s="124">
        <v>2.2</v>
      </c>
      <c r="B15" s="125" t="s">
        <v>65</v>
      </c>
      <c r="C15" s="126"/>
      <c r="D15" s="127"/>
      <c r="E15" s="125">
        <v>0</v>
      </c>
      <c r="F15" s="127"/>
      <c r="G15" s="122">
        <v>0</v>
      </c>
      <c r="H15" s="122">
        <v>0</v>
      </c>
    </row>
    <row r="16" ht="20.25" customHeight="1" spans="1:8">
      <c r="A16" s="130" t="s">
        <v>66</v>
      </c>
      <c r="B16" s="131" t="s">
        <v>67</v>
      </c>
      <c r="C16" s="132"/>
      <c r="D16" s="122" t="s">
        <v>68</v>
      </c>
      <c r="E16" s="133">
        <f>H7</f>
        <v>736800</v>
      </c>
      <c r="F16" s="134"/>
      <c r="G16" s="134"/>
      <c r="H16" s="135"/>
    </row>
    <row r="17" ht="20.25" customHeight="1" spans="1:8">
      <c r="A17" s="118"/>
      <c r="B17" s="136"/>
      <c r="C17" s="137"/>
      <c r="D17" s="138" t="s">
        <v>69</v>
      </c>
      <c r="E17" s="139">
        <f>E16</f>
        <v>736800</v>
      </c>
      <c r="F17" s="140"/>
      <c r="G17" s="140"/>
      <c r="H17" s="141"/>
    </row>
    <row r="18" ht="20.25" customHeight="1" spans="1:8">
      <c r="A18" s="118" t="s">
        <v>70</v>
      </c>
      <c r="B18" s="119" t="s">
        <v>71</v>
      </c>
      <c r="C18" s="120"/>
      <c r="D18" s="121"/>
      <c r="E18" s="125">
        <v>0</v>
      </c>
      <c r="F18" s="126"/>
      <c r="G18" s="126"/>
      <c r="H18" s="127"/>
    </row>
    <row r="19" ht="20.25" customHeight="1" spans="1:8">
      <c r="A19" s="124">
        <v>4.1</v>
      </c>
      <c r="B19" s="125" t="s">
        <v>72</v>
      </c>
      <c r="C19" s="126"/>
      <c r="D19" s="127"/>
      <c r="E19" s="125">
        <v>0</v>
      </c>
      <c r="F19" s="126"/>
      <c r="G19" s="126"/>
      <c r="H19" s="127"/>
    </row>
    <row r="20" ht="20.25" customHeight="1" spans="1:8">
      <c r="A20" s="124">
        <v>4.2</v>
      </c>
      <c r="B20" s="125" t="s">
        <v>73</v>
      </c>
      <c r="C20" s="126"/>
      <c r="D20" s="127"/>
      <c r="E20" s="125">
        <v>0</v>
      </c>
      <c r="F20" s="126"/>
      <c r="G20" s="126"/>
      <c r="H20" s="127"/>
    </row>
    <row r="21" ht="20.25" customHeight="1" spans="1:8">
      <c r="A21" s="118" t="s">
        <v>74</v>
      </c>
      <c r="B21" s="119" t="s">
        <v>75</v>
      </c>
      <c r="C21" s="120"/>
      <c r="D21" s="121"/>
      <c r="E21" s="125">
        <v>0</v>
      </c>
      <c r="F21" s="126"/>
      <c r="G21" s="126"/>
      <c r="H21" s="127"/>
    </row>
    <row r="22" ht="20.25" customHeight="1" spans="1:8">
      <c r="A22" s="124">
        <v>5.1</v>
      </c>
      <c r="B22" s="125" t="s">
        <v>76</v>
      </c>
      <c r="C22" s="126"/>
      <c r="D22" s="127"/>
      <c r="E22" s="125" t="s">
        <v>77</v>
      </c>
      <c r="F22" s="126"/>
      <c r="G22" s="126"/>
      <c r="H22" s="127"/>
    </row>
    <row r="23" ht="20.25" customHeight="1" spans="1:8">
      <c r="A23" s="124">
        <v>5.2</v>
      </c>
      <c r="B23" s="125" t="s">
        <v>78</v>
      </c>
      <c r="C23" s="126"/>
      <c r="D23" s="127"/>
      <c r="E23" s="125" t="s">
        <v>77</v>
      </c>
      <c r="F23" s="126"/>
      <c r="G23" s="126"/>
      <c r="H23" s="127"/>
    </row>
    <row r="24" ht="20.25" customHeight="1" spans="1:8">
      <c r="A24" s="130" t="s">
        <v>79</v>
      </c>
      <c r="B24" s="142" t="s">
        <v>80</v>
      </c>
      <c r="C24" s="125" t="s">
        <v>68</v>
      </c>
      <c r="D24" s="127"/>
      <c r="E24" s="133">
        <f>E16</f>
        <v>736800</v>
      </c>
      <c r="F24" s="126"/>
      <c r="G24" s="126"/>
      <c r="H24" s="127"/>
    </row>
    <row r="25" ht="20.25" customHeight="1" spans="1:8">
      <c r="A25" s="118"/>
      <c r="B25" s="143"/>
      <c r="C25" s="125" t="s">
        <v>69</v>
      </c>
      <c r="D25" s="127"/>
      <c r="E25" s="139">
        <f>E17</f>
        <v>736800</v>
      </c>
      <c r="F25" s="140"/>
      <c r="G25" s="140"/>
      <c r="H25" s="141"/>
    </row>
    <row r="26" ht="20.25" customHeight="1" spans="1:8">
      <c r="A26" s="130" t="s">
        <v>81</v>
      </c>
      <c r="B26" s="142" t="s">
        <v>82</v>
      </c>
      <c r="C26" s="125" t="s">
        <v>68</v>
      </c>
      <c r="D26" s="127"/>
      <c r="E26" s="133">
        <f>E24</f>
        <v>736800</v>
      </c>
      <c r="F26" s="126"/>
      <c r="G26" s="126"/>
      <c r="H26" s="127"/>
    </row>
    <row r="27" ht="20.25" customHeight="1" spans="1:8">
      <c r="A27" s="118"/>
      <c r="B27" s="143"/>
      <c r="C27" s="125" t="s">
        <v>69</v>
      </c>
      <c r="D27" s="127"/>
      <c r="E27" s="139">
        <f>E17</f>
        <v>736800</v>
      </c>
      <c r="F27" s="140"/>
      <c r="G27" s="140"/>
      <c r="H27" s="141"/>
    </row>
    <row r="28" spans="1:8">
      <c r="A28" s="144"/>
      <c r="B28" s="144"/>
      <c r="C28" s="144"/>
      <c r="D28" s="144"/>
      <c r="E28" s="144"/>
      <c r="F28" s="144"/>
      <c r="G28" s="144"/>
      <c r="H28" s="144"/>
    </row>
    <row r="29" spans="1:8">
      <c r="A29" s="145" t="s">
        <v>83</v>
      </c>
      <c r="B29" s="145"/>
      <c r="C29" s="145"/>
      <c r="D29" s="145"/>
      <c r="E29" s="145"/>
      <c r="F29" s="145"/>
      <c r="G29" s="145"/>
      <c r="H29" s="145"/>
    </row>
    <row r="30" spans="1:1">
      <c r="A30" s="146"/>
    </row>
    <row r="31" spans="1:1">
      <c r="A31" s="146"/>
    </row>
    <row r="32" spans="1:8">
      <c r="A32" s="145" t="s">
        <v>84</v>
      </c>
      <c r="B32" s="145"/>
      <c r="C32" s="145"/>
      <c r="D32" s="145"/>
      <c r="E32" s="145"/>
      <c r="F32" s="145"/>
      <c r="G32" s="145"/>
      <c r="H32" s="145"/>
    </row>
    <row r="33" spans="1:1">
      <c r="A33" s="146"/>
    </row>
    <row r="34" ht="27" customHeight="1" spans="1:8">
      <c r="A34" s="147"/>
      <c r="B34" s="147"/>
      <c r="C34" s="147"/>
      <c r="D34" s="147"/>
      <c r="E34" s="147"/>
      <c r="F34" s="147"/>
      <c r="G34" s="147"/>
      <c r="H34" s="147"/>
    </row>
  </sheetData>
  <mergeCells count="50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B15:D15"/>
    <mergeCell ref="E15:F15"/>
    <mergeCell ref="E16:H16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opLeftCell="A7" workbookViewId="0">
      <selection activeCell="B3" sqref="B3:C9"/>
    </sheetView>
  </sheetViews>
  <sheetFormatPr defaultColWidth="9" defaultRowHeight="14.25" outlineLevelCol="7"/>
  <cols>
    <col min="1" max="1" width="5.375" customWidth="1"/>
    <col min="2" max="2" width="9.375" customWidth="1"/>
    <col min="3" max="3" width="26" customWidth="1"/>
    <col min="4" max="4" width="5.375" style="2" customWidth="1"/>
    <col min="5" max="5" width="7.375" customWidth="1"/>
    <col min="6" max="6" width="9.25" customWidth="1"/>
    <col min="7" max="7" width="10.375" customWidth="1"/>
    <col min="8" max="8" width="17" customWidth="1"/>
    <col min="9" max="9" width="29.75" customWidth="1"/>
  </cols>
  <sheetData>
    <row r="1" ht="42" customHeight="1" spans="1:8">
      <c r="A1" s="88" t="s">
        <v>85</v>
      </c>
      <c r="B1" s="88"/>
      <c r="C1" s="88"/>
      <c r="D1" s="88"/>
      <c r="E1" s="88"/>
      <c r="F1" s="88"/>
      <c r="G1" s="88"/>
      <c r="H1" s="88"/>
    </row>
    <row r="2" ht="27" customHeight="1" spans="1:8">
      <c r="A2" s="89" t="s">
        <v>1</v>
      </c>
      <c r="B2" s="89" t="s">
        <v>51</v>
      </c>
      <c r="C2" s="89" t="s">
        <v>86</v>
      </c>
      <c r="D2" s="89" t="s">
        <v>87</v>
      </c>
      <c r="E2" s="89" t="s">
        <v>88</v>
      </c>
      <c r="F2" s="89" t="s">
        <v>89</v>
      </c>
      <c r="G2" s="89" t="s">
        <v>90</v>
      </c>
      <c r="H2" s="89" t="s">
        <v>6</v>
      </c>
    </row>
    <row r="3" ht="27" customHeight="1" spans="1:8">
      <c r="A3" s="89" t="s">
        <v>56</v>
      </c>
      <c r="B3" s="89" t="s">
        <v>35</v>
      </c>
      <c r="C3" s="89"/>
      <c r="D3" s="89" t="s">
        <v>91</v>
      </c>
      <c r="E3" s="89">
        <v>1</v>
      </c>
      <c r="F3" s="89">
        <f>'4 、2024年度8月份'!G46</f>
        <v>126900</v>
      </c>
      <c r="G3" s="89">
        <f t="shared" ref="G3:G19" si="0">F3*E3</f>
        <v>126900</v>
      </c>
      <c r="H3" s="89"/>
    </row>
    <row r="4" ht="27" customHeight="1" spans="1:8">
      <c r="A4" s="89" t="s">
        <v>63</v>
      </c>
      <c r="B4" s="89" t="s">
        <v>37</v>
      </c>
      <c r="C4" s="89"/>
      <c r="D4" s="89" t="s">
        <v>91</v>
      </c>
      <c r="E4" s="89">
        <v>1</v>
      </c>
      <c r="F4" s="89">
        <f>'2024年10月'!G49</f>
        <v>155900</v>
      </c>
      <c r="G4" s="89">
        <f t="shared" si="0"/>
        <v>155900</v>
      </c>
      <c r="H4" s="89"/>
    </row>
    <row r="5" ht="27" customHeight="1" spans="1:8">
      <c r="A5" s="89" t="s">
        <v>66</v>
      </c>
      <c r="B5" s="89" t="s">
        <v>38</v>
      </c>
      <c r="C5" s="89"/>
      <c r="D5" s="89" t="s">
        <v>91</v>
      </c>
      <c r="E5" s="89">
        <v>1</v>
      </c>
      <c r="F5" s="89">
        <f>'2024年11月'!G43</f>
        <v>84200</v>
      </c>
      <c r="G5" s="89">
        <f t="shared" si="0"/>
        <v>84200</v>
      </c>
      <c r="H5" s="89"/>
    </row>
    <row r="6" ht="27" customHeight="1" spans="1:8">
      <c r="A6" s="89" t="s">
        <v>70</v>
      </c>
      <c r="B6" s="89" t="s">
        <v>39</v>
      </c>
      <c r="C6" s="89"/>
      <c r="D6" s="89" t="s">
        <v>91</v>
      </c>
      <c r="E6" s="89">
        <v>1</v>
      </c>
      <c r="F6" s="89">
        <f>'2025年2月'!G13</f>
        <v>46400</v>
      </c>
      <c r="G6" s="89">
        <f t="shared" si="0"/>
        <v>46400</v>
      </c>
      <c r="H6" s="89"/>
    </row>
    <row r="7" ht="27" customHeight="1" spans="1:8">
      <c r="A7" s="89" t="s">
        <v>74</v>
      </c>
      <c r="B7" s="89" t="s">
        <v>40</v>
      </c>
      <c r="C7" s="89"/>
      <c r="D7" s="89" t="s">
        <v>91</v>
      </c>
      <c r="E7" s="89">
        <v>1</v>
      </c>
      <c r="F7" s="89">
        <f>'2025年3月'!G30</f>
        <v>82000</v>
      </c>
      <c r="G7" s="89">
        <f t="shared" si="0"/>
        <v>82000</v>
      </c>
      <c r="H7" s="89"/>
    </row>
    <row r="8" ht="27" customHeight="1" spans="1:8">
      <c r="A8" s="89" t="s">
        <v>79</v>
      </c>
      <c r="B8" s="89" t="s">
        <v>41</v>
      </c>
      <c r="C8" s="89"/>
      <c r="D8" s="89" t="s">
        <v>91</v>
      </c>
      <c r="E8" s="89">
        <v>1</v>
      </c>
      <c r="F8" s="89">
        <f>'2025年4月'!G18</f>
        <v>90000</v>
      </c>
      <c r="G8" s="89">
        <f t="shared" si="0"/>
        <v>90000</v>
      </c>
      <c r="H8" s="89"/>
    </row>
    <row r="9" ht="27" customHeight="1" spans="1:8">
      <c r="A9" s="89" t="s">
        <v>81</v>
      </c>
      <c r="B9" s="89" t="s">
        <v>42</v>
      </c>
      <c r="C9" s="89"/>
      <c r="D9" s="89" t="s">
        <v>91</v>
      </c>
      <c r="E9" s="89">
        <v>1</v>
      </c>
      <c r="F9" s="89">
        <f>'2025年5月'!G20</f>
        <v>101000</v>
      </c>
      <c r="G9" s="89">
        <f t="shared" si="0"/>
        <v>101000</v>
      </c>
      <c r="H9" s="89"/>
    </row>
    <row r="10" ht="23" customHeight="1" spans="1:8">
      <c r="A10" s="90">
        <v>1</v>
      </c>
      <c r="B10" s="72" t="s">
        <v>92</v>
      </c>
      <c r="C10" s="89" t="s">
        <v>93</v>
      </c>
      <c r="D10" s="89" t="s">
        <v>91</v>
      </c>
      <c r="E10" s="89">
        <v>1</v>
      </c>
      <c r="F10" s="89">
        <v>10000</v>
      </c>
      <c r="G10" s="89">
        <f t="shared" si="0"/>
        <v>10000</v>
      </c>
      <c r="H10" s="89" t="s">
        <v>94</v>
      </c>
    </row>
    <row r="11" ht="34" customHeight="1" spans="1:8">
      <c r="A11" s="91"/>
      <c r="B11" s="77"/>
      <c r="C11" s="75" t="s">
        <v>95</v>
      </c>
      <c r="D11" s="89" t="s">
        <v>91</v>
      </c>
      <c r="E11" s="89">
        <v>1</v>
      </c>
      <c r="F11" s="89">
        <v>12500</v>
      </c>
      <c r="G11" s="89">
        <f t="shared" si="0"/>
        <v>12500</v>
      </c>
      <c r="H11" s="89"/>
    </row>
    <row r="12" ht="31" customHeight="1" spans="1:8">
      <c r="A12" s="91"/>
      <c r="B12" s="77"/>
      <c r="C12" s="89" t="s">
        <v>96</v>
      </c>
      <c r="D12" s="89" t="s">
        <v>91</v>
      </c>
      <c r="E12" s="89">
        <v>1</v>
      </c>
      <c r="F12" s="89">
        <v>1100</v>
      </c>
      <c r="G12" s="89">
        <f t="shared" si="0"/>
        <v>1100</v>
      </c>
      <c r="H12" s="74" t="s">
        <v>97</v>
      </c>
    </row>
    <row r="13" ht="34" customHeight="1" spans="1:8">
      <c r="A13" s="92">
        <v>2</v>
      </c>
      <c r="B13" s="93" t="s">
        <v>98</v>
      </c>
      <c r="C13" s="8" t="s">
        <v>99</v>
      </c>
      <c r="D13" s="94" t="s">
        <v>91</v>
      </c>
      <c r="E13" s="94">
        <v>1</v>
      </c>
      <c r="F13" s="94">
        <v>6500</v>
      </c>
      <c r="G13" s="89">
        <f t="shared" si="0"/>
        <v>6500</v>
      </c>
      <c r="H13" s="38" t="s">
        <v>100</v>
      </c>
    </row>
    <row r="14" ht="24" customHeight="1" spans="1:8">
      <c r="A14" s="95"/>
      <c r="B14" s="96"/>
      <c r="C14" s="94" t="s">
        <v>101</v>
      </c>
      <c r="D14" s="94" t="s">
        <v>102</v>
      </c>
      <c r="E14" s="94">
        <v>8.1</v>
      </c>
      <c r="F14" s="97">
        <f>220/0.24*0.2</f>
        <v>183.3</v>
      </c>
      <c r="G14" s="94">
        <f t="shared" si="0"/>
        <v>1484.73</v>
      </c>
      <c r="H14" s="38"/>
    </row>
    <row r="15" ht="24" customHeight="1" spans="1:8">
      <c r="A15" s="95"/>
      <c r="B15" s="96"/>
      <c r="C15" s="98" t="s">
        <v>103</v>
      </c>
      <c r="D15" s="99" t="s">
        <v>102</v>
      </c>
      <c r="E15" s="99">
        <v>14.7</v>
      </c>
      <c r="F15" s="99">
        <v>22</v>
      </c>
      <c r="G15" s="94">
        <f t="shared" si="0"/>
        <v>323.4</v>
      </c>
      <c r="H15" s="14"/>
    </row>
    <row r="16" ht="24" customHeight="1" spans="1:8">
      <c r="A16" s="95"/>
      <c r="B16" s="96"/>
      <c r="C16" s="100" t="s">
        <v>104</v>
      </c>
      <c r="D16" s="92" t="s">
        <v>102</v>
      </c>
      <c r="E16" s="92">
        <v>3.64</v>
      </c>
      <c r="F16" s="92">
        <f>175/0.2*0.08</f>
        <v>70</v>
      </c>
      <c r="G16" s="101">
        <f t="shared" si="0"/>
        <v>254.8</v>
      </c>
      <c r="H16" s="102"/>
    </row>
    <row r="17" ht="24" customHeight="1" spans="1:8">
      <c r="A17" s="95"/>
      <c r="B17" s="96"/>
      <c r="C17" s="103" t="s">
        <v>105</v>
      </c>
      <c r="D17" s="7" t="s">
        <v>102</v>
      </c>
      <c r="E17" s="9">
        <v>43.9</v>
      </c>
      <c r="F17" s="9">
        <v>180</v>
      </c>
      <c r="G17" s="94">
        <f t="shared" si="0"/>
        <v>7902</v>
      </c>
      <c r="H17" s="104" t="s">
        <v>106</v>
      </c>
    </row>
    <row r="18" ht="24" customHeight="1" spans="1:8">
      <c r="A18" s="95"/>
      <c r="B18" s="96"/>
      <c r="C18" s="98" t="s">
        <v>107</v>
      </c>
      <c r="D18" s="99" t="s">
        <v>102</v>
      </c>
      <c r="E18" s="105">
        <v>12</v>
      </c>
      <c r="F18" s="7">
        <f>175/0.2*0.1</f>
        <v>87.5</v>
      </c>
      <c r="G18" s="94">
        <f t="shared" si="0"/>
        <v>1050</v>
      </c>
      <c r="H18" s="106"/>
    </row>
    <row r="19" ht="24" customHeight="1" spans="1:8">
      <c r="A19" s="95"/>
      <c r="B19" s="96"/>
      <c r="C19" s="98" t="s">
        <v>108</v>
      </c>
      <c r="D19" s="99" t="s">
        <v>109</v>
      </c>
      <c r="E19" s="99">
        <v>37.5</v>
      </c>
      <c r="F19" s="7">
        <v>120</v>
      </c>
      <c r="G19" s="94">
        <f t="shared" si="0"/>
        <v>4500</v>
      </c>
      <c r="H19" s="107"/>
    </row>
    <row r="20" s="87" customFormat="1" ht="16.5" spans="1:8">
      <c r="A20" s="91"/>
      <c r="B20" s="108"/>
      <c r="C20" s="109" t="s">
        <v>110</v>
      </c>
      <c r="D20" s="110"/>
      <c r="E20" s="84"/>
      <c r="F20" s="74">
        <f>G19/3</f>
        <v>1500</v>
      </c>
      <c r="G20" s="85"/>
      <c r="H20" s="53" t="s">
        <v>111</v>
      </c>
    </row>
    <row r="21" s="87" customFormat="1" ht="16.5" spans="1:8">
      <c r="A21" s="91"/>
      <c r="B21" s="108"/>
      <c r="C21" s="109" t="s">
        <v>112</v>
      </c>
      <c r="D21" s="110"/>
      <c r="E21" s="84"/>
      <c r="F21" s="74">
        <v>1500</v>
      </c>
      <c r="G21" s="85"/>
      <c r="H21" s="53" t="s">
        <v>111</v>
      </c>
    </row>
    <row r="22" s="87" customFormat="1" ht="16.5" spans="1:8">
      <c r="A22" s="91"/>
      <c r="B22" s="108"/>
      <c r="C22" s="109" t="s">
        <v>113</v>
      </c>
      <c r="D22" s="110"/>
      <c r="E22" s="84"/>
      <c r="F22" s="74">
        <v>1500</v>
      </c>
      <c r="G22" s="85"/>
      <c r="H22" s="53" t="s">
        <v>111</v>
      </c>
    </row>
    <row r="23" ht="32" customHeight="1" spans="1:8">
      <c r="A23" s="93">
        <v>3</v>
      </c>
      <c r="B23" s="93" t="s">
        <v>114</v>
      </c>
      <c r="C23" s="98" t="s">
        <v>115</v>
      </c>
      <c r="D23" s="7" t="s">
        <v>102</v>
      </c>
      <c r="E23" s="7">
        <v>18.55</v>
      </c>
      <c r="F23" s="97">
        <f>220/0.24*0.2</f>
        <v>183.3</v>
      </c>
      <c r="G23" s="9">
        <f>E23*F23</f>
        <v>3400.215</v>
      </c>
      <c r="H23" s="9"/>
    </row>
    <row r="24" ht="18" customHeight="1" spans="1:8">
      <c r="A24" s="96"/>
      <c r="B24" s="96"/>
      <c r="C24" s="9" t="s">
        <v>103</v>
      </c>
      <c r="D24" s="7" t="s">
        <v>102</v>
      </c>
      <c r="E24" s="7">
        <v>37.1</v>
      </c>
      <c r="F24" s="7">
        <v>22</v>
      </c>
      <c r="G24" s="9">
        <f>E24*F24</f>
        <v>816.2</v>
      </c>
      <c r="H24" s="9"/>
    </row>
    <row r="25" ht="36" customHeight="1" spans="1:8">
      <c r="A25" s="96"/>
      <c r="B25" s="96"/>
      <c r="C25" s="8" t="s">
        <v>116</v>
      </c>
      <c r="D25" s="7" t="s">
        <v>117</v>
      </c>
      <c r="E25" s="7">
        <v>13</v>
      </c>
      <c r="F25" s="7">
        <v>45</v>
      </c>
      <c r="G25" s="9">
        <f>E25*F25</f>
        <v>585</v>
      </c>
      <c r="H25" s="9" t="s">
        <v>118</v>
      </c>
    </row>
    <row r="26" ht="28" customHeight="1" spans="1:8">
      <c r="A26" s="7" t="s">
        <v>119</v>
      </c>
      <c r="B26" s="9" t="s">
        <v>120</v>
      </c>
      <c r="C26" s="9"/>
      <c r="D26" s="7"/>
      <c r="E26" s="9"/>
      <c r="F26" s="9"/>
      <c r="G26" s="9">
        <f>SUM(G3:G25)</f>
        <v>736816.345</v>
      </c>
      <c r="H26" s="9"/>
    </row>
    <row r="27" ht="19" customHeight="1" spans="1:8">
      <c r="A27" s="7" t="s">
        <v>121</v>
      </c>
      <c r="B27" s="9" t="s">
        <v>122</v>
      </c>
      <c r="C27" s="9"/>
      <c r="D27" s="7"/>
      <c r="E27" s="9"/>
      <c r="F27" s="9"/>
      <c r="G27" s="9">
        <v>736800</v>
      </c>
      <c r="H27" s="9"/>
    </row>
    <row r="28" ht="19" customHeight="1" spans="2:5">
      <c r="B28" t="s">
        <v>123</v>
      </c>
      <c r="E28" t="s">
        <v>124</v>
      </c>
    </row>
  </sheetData>
  <mergeCells count="14">
    <mergeCell ref="A1:H1"/>
    <mergeCell ref="B3:C3"/>
    <mergeCell ref="B4:C4"/>
    <mergeCell ref="B5:C5"/>
    <mergeCell ref="B6:C6"/>
    <mergeCell ref="B7:C7"/>
    <mergeCell ref="B8:C8"/>
    <mergeCell ref="B9:C9"/>
    <mergeCell ref="A10:A12"/>
    <mergeCell ref="A13:A22"/>
    <mergeCell ref="A23:A25"/>
    <mergeCell ref="B10:B12"/>
    <mergeCell ref="B13:B22"/>
    <mergeCell ref="B23:B25"/>
  </mergeCells>
  <pageMargins left="0.357638888888889" right="0.357638888888889" top="0.2125" bottom="0.2125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8"/>
  <sheetViews>
    <sheetView topLeftCell="A16" workbookViewId="0">
      <selection activeCell="J41" sqref="J41"/>
    </sheetView>
  </sheetViews>
  <sheetFormatPr defaultColWidth="9" defaultRowHeight="14.25" outlineLevelCol="7"/>
  <cols>
    <col min="1" max="1" width="4" style="3" customWidth="1"/>
    <col min="2" max="2" width="9.375" style="3" customWidth="1"/>
    <col min="3" max="3" width="19.5" style="3" customWidth="1"/>
    <col min="4" max="4" width="8.25" style="3" customWidth="1"/>
    <col min="5" max="5" width="9.25" style="3" customWidth="1"/>
    <col min="6" max="6" width="10.75" style="3" customWidth="1"/>
    <col min="7" max="7" width="10.125" style="3" customWidth="1"/>
    <col min="8" max="8" width="19" style="3" customWidth="1"/>
    <col min="9" max="9" width="12.625" style="3"/>
    <col min="10" max="16384" width="9" style="3"/>
  </cols>
  <sheetData>
    <row r="1" s="3" customFormat="1" ht="21" spans="1:8">
      <c r="A1" s="12" t="s">
        <v>125</v>
      </c>
      <c r="B1" s="12"/>
      <c r="C1" s="12"/>
      <c r="D1" s="12"/>
      <c r="E1" s="12"/>
      <c r="F1" s="12"/>
      <c r="G1" s="12"/>
      <c r="H1" s="12"/>
    </row>
    <row r="2" s="3" customFormat="1" ht="21" customHeight="1" spans="1:8">
      <c r="A2" s="62" t="s">
        <v>1</v>
      </c>
      <c r="B2" s="62" t="s">
        <v>51</v>
      </c>
      <c r="C2" s="62" t="s">
        <v>86</v>
      </c>
      <c r="D2" s="62" t="s">
        <v>87</v>
      </c>
      <c r="E2" s="62" t="s">
        <v>88</v>
      </c>
      <c r="F2" s="62" t="s">
        <v>89</v>
      </c>
      <c r="G2" s="62" t="s">
        <v>90</v>
      </c>
      <c r="H2" s="63" t="s">
        <v>6</v>
      </c>
    </row>
    <row r="3" s="3" customFormat="1" spans="1:8">
      <c r="A3" s="64">
        <v>1</v>
      </c>
      <c r="B3" s="64" t="s">
        <v>126</v>
      </c>
      <c r="C3" s="65" t="s">
        <v>127</v>
      </c>
      <c r="D3" s="62" t="s">
        <v>117</v>
      </c>
      <c r="E3" s="62">
        <f>152+225</f>
        <v>377</v>
      </c>
      <c r="F3" s="62">
        <f>80/2*3.5</f>
        <v>140</v>
      </c>
      <c r="G3" s="62">
        <f t="shared" ref="G3:G16" si="0">F3*E3</f>
        <v>52780</v>
      </c>
      <c r="H3" s="68"/>
    </row>
    <row r="4" s="3" customFormat="1" spans="1:8">
      <c r="A4" s="69"/>
      <c r="B4" s="69"/>
      <c r="C4" s="83" t="s">
        <v>128</v>
      </c>
      <c r="D4" s="62" t="s">
        <v>102</v>
      </c>
      <c r="E4" s="62">
        <v>8.55</v>
      </c>
      <c r="F4" s="62">
        <v>150</v>
      </c>
      <c r="G4" s="62">
        <f t="shared" si="0"/>
        <v>1282.5</v>
      </c>
      <c r="H4" s="68"/>
    </row>
    <row r="5" s="3" customFormat="1" spans="1:8">
      <c r="A5" s="69"/>
      <c r="B5" s="69"/>
      <c r="C5" s="83" t="s">
        <v>129</v>
      </c>
      <c r="D5" s="62" t="s">
        <v>102</v>
      </c>
      <c r="E5" s="62">
        <v>4.8</v>
      </c>
      <c r="F5" s="62">
        <f>150/2*1.5</f>
        <v>112.5</v>
      </c>
      <c r="G5" s="62">
        <f t="shared" si="0"/>
        <v>540</v>
      </c>
      <c r="H5" s="68"/>
    </row>
    <row r="6" s="3" customFormat="1" spans="1:8">
      <c r="A6" s="69"/>
      <c r="B6" s="69"/>
      <c r="C6" s="83" t="s">
        <v>130</v>
      </c>
      <c r="D6" s="62" t="s">
        <v>102</v>
      </c>
      <c r="E6" s="62">
        <v>12.6</v>
      </c>
      <c r="F6" s="62">
        <f>150/2</f>
        <v>75</v>
      </c>
      <c r="G6" s="62">
        <f t="shared" si="0"/>
        <v>945</v>
      </c>
      <c r="H6" s="68"/>
    </row>
    <row r="7" s="3" customFormat="1" spans="1:8">
      <c r="A7" s="69"/>
      <c r="B7" s="69"/>
      <c r="C7" s="83" t="s">
        <v>131</v>
      </c>
      <c r="D7" s="62" t="s">
        <v>132</v>
      </c>
      <c r="E7" s="62">
        <v>5.66</v>
      </c>
      <c r="F7" s="62">
        <v>18</v>
      </c>
      <c r="G7" s="62">
        <f t="shared" si="0"/>
        <v>101.88</v>
      </c>
      <c r="H7" s="68" t="s">
        <v>133</v>
      </c>
    </row>
    <row r="8" s="3" customFormat="1" spans="1:8">
      <c r="A8" s="69"/>
      <c r="B8" s="69"/>
      <c r="C8" s="83" t="s">
        <v>134</v>
      </c>
      <c r="D8" s="62" t="s">
        <v>132</v>
      </c>
      <c r="E8" s="62">
        <v>12.6</v>
      </c>
      <c r="F8" s="62">
        <f>(175-20)/2</f>
        <v>77.5</v>
      </c>
      <c r="G8" s="62">
        <f t="shared" si="0"/>
        <v>976.5</v>
      </c>
      <c r="H8" s="68"/>
    </row>
    <row r="9" s="3" customFormat="1" spans="1:8">
      <c r="A9" s="69"/>
      <c r="B9" s="69"/>
      <c r="C9" s="83" t="s">
        <v>135</v>
      </c>
      <c r="D9" s="62" t="s">
        <v>102</v>
      </c>
      <c r="E9" s="62">
        <v>5.4</v>
      </c>
      <c r="F9" s="62">
        <v>120</v>
      </c>
      <c r="G9" s="62">
        <f t="shared" si="0"/>
        <v>648</v>
      </c>
      <c r="H9" s="68"/>
    </row>
    <row r="10" s="3" customFormat="1" spans="1:8">
      <c r="A10" s="69"/>
      <c r="B10" s="69"/>
      <c r="C10" s="83" t="s">
        <v>136</v>
      </c>
      <c r="D10" s="62" t="s">
        <v>102</v>
      </c>
      <c r="E10" s="62">
        <v>5.4</v>
      </c>
      <c r="F10" s="62">
        <v>22</v>
      </c>
      <c r="G10" s="62">
        <f t="shared" si="0"/>
        <v>118.8</v>
      </c>
      <c r="H10" s="68"/>
    </row>
    <row r="11" s="3" customFormat="1" spans="1:8">
      <c r="A11" s="69"/>
      <c r="B11" s="69"/>
      <c r="C11" s="83" t="s">
        <v>137</v>
      </c>
      <c r="D11" s="62" t="s">
        <v>102</v>
      </c>
      <c r="E11" s="62">
        <v>16.01</v>
      </c>
      <c r="F11" s="62">
        <v>50</v>
      </c>
      <c r="G11" s="62">
        <f t="shared" si="0"/>
        <v>800.5</v>
      </c>
      <c r="H11" s="68"/>
    </row>
    <row r="12" s="3" customFormat="1" spans="1:8">
      <c r="A12" s="69"/>
      <c r="B12" s="69"/>
      <c r="C12" s="83" t="s">
        <v>138</v>
      </c>
      <c r="D12" s="62" t="s">
        <v>139</v>
      </c>
      <c r="E12" s="62">
        <f>(215.78+98.01)/1000</f>
        <v>0.31379</v>
      </c>
      <c r="F12" s="62">
        <f>5000</f>
        <v>5000</v>
      </c>
      <c r="G12" s="62">
        <f t="shared" si="0"/>
        <v>1568.95</v>
      </c>
      <c r="H12" s="68" t="s">
        <v>140</v>
      </c>
    </row>
    <row r="13" s="3" customFormat="1" spans="1:8">
      <c r="A13" s="69"/>
      <c r="B13" s="69"/>
      <c r="C13" s="83" t="s">
        <v>141</v>
      </c>
      <c r="D13" s="62" t="s">
        <v>102</v>
      </c>
      <c r="E13" s="62">
        <v>16.01</v>
      </c>
      <c r="F13" s="62">
        <f>(175+20)/2*3.5</f>
        <v>341.25</v>
      </c>
      <c r="G13" s="67">
        <f t="shared" si="0"/>
        <v>5463.4</v>
      </c>
      <c r="H13" s="68"/>
    </row>
    <row r="14" s="3" customFormat="1" ht="22.5" spans="1:8">
      <c r="A14" s="64">
        <v>2</v>
      </c>
      <c r="B14" s="64" t="s">
        <v>142</v>
      </c>
      <c r="C14" s="69" t="s">
        <v>143</v>
      </c>
      <c r="D14" s="70" t="s">
        <v>144</v>
      </c>
      <c r="E14" s="70">
        <v>17</v>
      </c>
      <c r="F14" s="70">
        <v>120</v>
      </c>
      <c r="G14" s="70">
        <f t="shared" si="0"/>
        <v>2040</v>
      </c>
      <c r="H14" s="68" t="s">
        <v>145</v>
      </c>
    </row>
    <row r="15" s="3" customFormat="1" spans="1:8">
      <c r="A15" s="69"/>
      <c r="B15" s="69"/>
      <c r="C15" s="70"/>
      <c r="D15" s="70" t="s">
        <v>144</v>
      </c>
      <c r="E15" s="70">
        <v>17</v>
      </c>
      <c r="F15" s="70">
        <v>120</v>
      </c>
      <c r="G15" s="70">
        <f t="shared" si="0"/>
        <v>2040</v>
      </c>
      <c r="H15" s="68" t="s">
        <v>146</v>
      </c>
    </row>
    <row r="16" s="3" customFormat="1" ht="28.5" spans="1:8">
      <c r="A16" s="69"/>
      <c r="B16" s="69"/>
      <c r="C16" s="83" t="s">
        <v>147</v>
      </c>
      <c r="D16" s="70" t="s">
        <v>144</v>
      </c>
      <c r="E16" s="62">
        <v>113</v>
      </c>
      <c r="F16" s="62">
        <v>120</v>
      </c>
      <c r="G16" s="70">
        <f t="shared" si="0"/>
        <v>13560</v>
      </c>
      <c r="H16" s="68"/>
    </row>
    <row r="17" s="3" customFormat="1" ht="21" customHeight="1" spans="1:8">
      <c r="A17" s="69"/>
      <c r="B17" s="69"/>
      <c r="C17" s="71"/>
      <c r="D17" s="72" t="s">
        <v>148</v>
      </c>
      <c r="E17" s="84">
        <v>0.33</v>
      </c>
      <c r="F17" s="74">
        <f t="shared" ref="F17:F29" si="1">E17*$G$16</f>
        <v>4474.8</v>
      </c>
      <c r="G17" s="85"/>
      <c r="H17" s="41" t="s">
        <v>149</v>
      </c>
    </row>
    <row r="18" s="3" customFormat="1" ht="21" customHeight="1" spans="1:8">
      <c r="A18" s="69"/>
      <c r="B18" s="69"/>
      <c r="C18" s="71"/>
      <c r="D18" s="77"/>
      <c r="E18" s="84">
        <v>0.18</v>
      </c>
      <c r="F18" s="74">
        <f t="shared" si="1"/>
        <v>2440.8</v>
      </c>
      <c r="G18" s="85"/>
      <c r="H18" s="41" t="s">
        <v>150</v>
      </c>
    </row>
    <row r="19" s="3" customFormat="1" ht="21" spans="1:8">
      <c r="A19" s="69"/>
      <c r="B19" s="69"/>
      <c r="C19" s="71"/>
      <c r="D19" s="77"/>
      <c r="E19" s="84">
        <v>0.08</v>
      </c>
      <c r="F19" s="74">
        <f t="shared" si="1"/>
        <v>1084.8</v>
      </c>
      <c r="G19" s="85"/>
      <c r="H19" s="41" t="s">
        <v>151</v>
      </c>
    </row>
    <row r="20" s="3" customFormat="1" ht="16.5" spans="1:8">
      <c r="A20" s="69"/>
      <c r="B20" s="69"/>
      <c r="C20" s="71"/>
      <c r="D20" s="77"/>
      <c r="E20" s="84">
        <v>0.08</v>
      </c>
      <c r="F20" s="74">
        <f t="shared" si="1"/>
        <v>1084.8</v>
      </c>
      <c r="G20" s="85"/>
      <c r="H20" s="56" t="s">
        <v>152</v>
      </c>
    </row>
    <row r="21" s="3" customFormat="1" ht="21" spans="1:8">
      <c r="A21" s="69"/>
      <c r="B21" s="69"/>
      <c r="C21" s="71"/>
      <c r="D21" s="77"/>
      <c r="E21" s="84">
        <v>0.04</v>
      </c>
      <c r="F21" s="74">
        <f t="shared" si="1"/>
        <v>542.4</v>
      </c>
      <c r="G21" s="85"/>
      <c r="H21" s="41" t="s">
        <v>153</v>
      </c>
    </row>
    <row r="22" s="3" customFormat="1" ht="16.5" spans="1:8">
      <c r="A22" s="69"/>
      <c r="B22" s="69"/>
      <c r="C22" s="71"/>
      <c r="D22" s="77"/>
      <c r="E22" s="84">
        <v>0.04</v>
      </c>
      <c r="F22" s="74">
        <f t="shared" si="1"/>
        <v>542.4</v>
      </c>
      <c r="G22" s="85"/>
      <c r="H22" s="57" t="s">
        <v>154</v>
      </c>
    </row>
    <row r="23" s="3" customFormat="1" ht="16.5" spans="1:8">
      <c r="A23" s="69"/>
      <c r="B23" s="69"/>
      <c r="C23" s="71"/>
      <c r="D23" s="77"/>
      <c r="E23" s="84">
        <v>0.06</v>
      </c>
      <c r="F23" s="74">
        <f t="shared" si="1"/>
        <v>813.6</v>
      </c>
      <c r="G23" s="85"/>
      <c r="H23" s="57" t="s">
        <v>155</v>
      </c>
    </row>
    <row r="24" s="3" customFormat="1" ht="16.5" spans="1:8">
      <c r="A24" s="69"/>
      <c r="B24" s="69"/>
      <c r="C24" s="71"/>
      <c r="D24" s="77"/>
      <c r="E24" s="84">
        <v>0.06</v>
      </c>
      <c r="F24" s="74">
        <f t="shared" si="1"/>
        <v>813.6</v>
      </c>
      <c r="G24" s="85"/>
      <c r="H24" s="58" t="s">
        <v>156</v>
      </c>
    </row>
    <row r="25" s="3" customFormat="1" ht="16.5" spans="1:8">
      <c r="A25" s="69"/>
      <c r="B25" s="69"/>
      <c r="C25" s="71"/>
      <c r="D25" s="77"/>
      <c r="E25" s="84">
        <v>0.03</v>
      </c>
      <c r="F25" s="74">
        <f t="shared" si="1"/>
        <v>406.8</v>
      </c>
      <c r="G25" s="85"/>
      <c r="H25" s="58" t="s">
        <v>157</v>
      </c>
    </row>
    <row r="26" s="3" customFormat="1" ht="16.5" spans="1:8">
      <c r="A26" s="69"/>
      <c r="B26" s="69"/>
      <c r="C26" s="71"/>
      <c r="D26" s="77"/>
      <c r="E26" s="84">
        <v>0.03</v>
      </c>
      <c r="F26" s="74">
        <f t="shared" si="1"/>
        <v>406.8</v>
      </c>
      <c r="G26" s="85"/>
      <c r="H26" s="57" t="s">
        <v>158</v>
      </c>
    </row>
    <row r="27" s="3" customFormat="1" ht="16.5" spans="1:8">
      <c r="A27" s="69"/>
      <c r="B27" s="69"/>
      <c r="C27" s="71"/>
      <c r="D27" s="77"/>
      <c r="E27" s="84">
        <v>0.02</v>
      </c>
      <c r="F27" s="74">
        <f t="shared" si="1"/>
        <v>271.2</v>
      </c>
      <c r="G27" s="85"/>
      <c r="H27" s="57" t="s">
        <v>159</v>
      </c>
    </row>
    <row r="28" s="3" customFormat="1" ht="16.5" spans="1:8">
      <c r="A28" s="69"/>
      <c r="B28" s="69"/>
      <c r="C28" s="71"/>
      <c r="D28" s="77"/>
      <c r="E28" s="84">
        <v>0.02</v>
      </c>
      <c r="F28" s="74">
        <f t="shared" si="1"/>
        <v>271.2</v>
      </c>
      <c r="G28" s="85"/>
      <c r="H28" s="58" t="s">
        <v>160</v>
      </c>
    </row>
    <row r="29" s="3" customFormat="1" ht="21" spans="1:8">
      <c r="A29" s="70"/>
      <c r="B29" s="70"/>
      <c r="C29" s="71"/>
      <c r="D29" s="81"/>
      <c r="E29" s="84">
        <v>0.03</v>
      </c>
      <c r="F29" s="74">
        <f t="shared" si="1"/>
        <v>406.8</v>
      </c>
      <c r="G29" s="85"/>
      <c r="H29" s="57" t="s">
        <v>161</v>
      </c>
    </row>
    <row r="30" s="3" customFormat="1" ht="21" spans="1:8">
      <c r="A30" s="62">
        <v>3</v>
      </c>
      <c r="B30" s="62" t="s">
        <v>162</v>
      </c>
      <c r="C30" s="57" t="s">
        <v>163</v>
      </c>
      <c r="D30" s="81" t="s">
        <v>91</v>
      </c>
      <c r="E30" s="62">
        <v>1</v>
      </c>
      <c r="F30" s="74">
        <v>3500</v>
      </c>
      <c r="G30" s="85">
        <f t="shared" ref="G30:G44" si="2">F30*E30</f>
        <v>3500</v>
      </c>
      <c r="H30" s="57" t="s">
        <v>164</v>
      </c>
    </row>
    <row r="31" s="3" customFormat="1" ht="16.5" spans="1:8">
      <c r="A31" s="62"/>
      <c r="B31" s="62"/>
      <c r="C31" s="36" t="s">
        <v>165</v>
      </c>
      <c r="D31" s="81" t="s">
        <v>91</v>
      </c>
      <c r="E31" s="62">
        <v>1</v>
      </c>
      <c r="F31" s="74">
        <v>27000</v>
      </c>
      <c r="G31" s="85">
        <f t="shared" si="2"/>
        <v>27000</v>
      </c>
      <c r="H31" s="44"/>
    </row>
    <row r="32" s="3" customFormat="1" ht="16.5" spans="1:8">
      <c r="A32" s="64">
        <v>4</v>
      </c>
      <c r="B32" s="64" t="s">
        <v>166</v>
      </c>
      <c r="C32" s="36" t="s">
        <v>167</v>
      </c>
      <c r="D32" s="81" t="s">
        <v>102</v>
      </c>
      <c r="E32" s="62">
        <v>4.05</v>
      </c>
      <c r="F32" s="74">
        <v>65</v>
      </c>
      <c r="G32" s="85">
        <f t="shared" si="2"/>
        <v>263.25</v>
      </c>
      <c r="H32" s="44"/>
    </row>
    <row r="33" s="3" customFormat="1" ht="16.5" spans="1:8">
      <c r="A33" s="69"/>
      <c r="B33" s="69"/>
      <c r="C33" s="36" t="s">
        <v>168</v>
      </c>
      <c r="D33" s="81" t="s">
        <v>102</v>
      </c>
      <c r="E33" s="62">
        <v>4.05</v>
      </c>
      <c r="F33" s="74">
        <f>175-20</f>
        <v>155</v>
      </c>
      <c r="G33" s="85">
        <f t="shared" si="2"/>
        <v>627.75</v>
      </c>
      <c r="H33" s="44"/>
    </row>
    <row r="34" s="3" customFormat="1" spans="1:8">
      <c r="A34" s="69"/>
      <c r="B34" s="69"/>
      <c r="C34" s="83" t="s">
        <v>169</v>
      </c>
      <c r="D34" s="62" t="s">
        <v>102</v>
      </c>
      <c r="E34" s="62">
        <f>5.875+6.86+1.175</f>
        <v>13.91</v>
      </c>
      <c r="F34" s="62">
        <v>90</v>
      </c>
      <c r="G34" s="85">
        <f t="shared" si="2"/>
        <v>1251.9</v>
      </c>
      <c r="H34" s="68"/>
    </row>
    <row r="35" s="3" customFormat="1" spans="1:8">
      <c r="A35" s="69"/>
      <c r="B35" s="69"/>
      <c r="C35" s="83" t="s">
        <v>170</v>
      </c>
      <c r="D35" s="62" t="s">
        <v>102</v>
      </c>
      <c r="E35" s="62">
        <f>1.6+7.5</f>
        <v>9.1</v>
      </c>
      <c r="F35" s="62">
        <v>45</v>
      </c>
      <c r="G35" s="85">
        <f t="shared" si="2"/>
        <v>409.5</v>
      </c>
      <c r="H35" s="68"/>
    </row>
    <row r="36" s="3" customFormat="1" spans="1:8">
      <c r="A36" s="69"/>
      <c r="B36" s="69"/>
      <c r="C36" s="83" t="s">
        <v>171</v>
      </c>
      <c r="D36" s="62" t="s">
        <v>102</v>
      </c>
      <c r="E36" s="62">
        <v>7.5</v>
      </c>
      <c r="F36" s="62">
        <f>150/2*2.5</f>
        <v>187.5</v>
      </c>
      <c r="G36" s="85">
        <f t="shared" si="2"/>
        <v>1406.25</v>
      </c>
      <c r="H36" s="68"/>
    </row>
    <row r="37" s="3" customFormat="1" spans="1:8">
      <c r="A37" s="69"/>
      <c r="B37" s="69"/>
      <c r="C37" s="83" t="s">
        <v>172</v>
      </c>
      <c r="D37" s="62" t="s">
        <v>173</v>
      </c>
      <c r="E37" s="62">
        <v>7.3</v>
      </c>
      <c r="F37" s="62">
        <v>400</v>
      </c>
      <c r="G37" s="85">
        <f t="shared" si="2"/>
        <v>2920</v>
      </c>
      <c r="H37" s="68" t="s">
        <v>174</v>
      </c>
    </row>
    <row r="38" s="3" customFormat="1" spans="1:8">
      <c r="A38" s="69"/>
      <c r="B38" s="69"/>
      <c r="C38" s="83" t="s">
        <v>175</v>
      </c>
      <c r="D38" s="62" t="s">
        <v>117</v>
      </c>
      <c r="E38" s="62">
        <v>108</v>
      </c>
      <c r="F38" s="62">
        <v>3</v>
      </c>
      <c r="G38" s="85">
        <f t="shared" si="2"/>
        <v>324</v>
      </c>
      <c r="H38" s="68"/>
    </row>
    <row r="39" s="3" customFormat="1" spans="1:8">
      <c r="A39" s="69"/>
      <c r="B39" s="69"/>
      <c r="C39" s="83" t="s">
        <v>176</v>
      </c>
      <c r="D39" s="62" t="s">
        <v>139</v>
      </c>
      <c r="E39" s="86">
        <f>(2.8*17*2+2.5*19*2)*0.617/1000</f>
        <v>0.117</v>
      </c>
      <c r="F39" s="62">
        <v>5000</v>
      </c>
      <c r="G39" s="85">
        <f t="shared" si="2"/>
        <v>585</v>
      </c>
      <c r="H39" s="68"/>
    </row>
    <row r="40" s="3" customFormat="1" spans="1:8">
      <c r="A40" s="69"/>
      <c r="B40" s="69"/>
      <c r="C40" s="83" t="s">
        <v>177</v>
      </c>
      <c r="D40" s="62" t="s">
        <v>102</v>
      </c>
      <c r="E40" s="62">
        <v>7</v>
      </c>
      <c r="F40" s="62">
        <f>175/0.2*0.12</f>
        <v>105</v>
      </c>
      <c r="G40" s="85">
        <f t="shared" si="2"/>
        <v>735</v>
      </c>
      <c r="H40" s="68"/>
    </row>
    <row r="41" s="3" customFormat="1" spans="1:8">
      <c r="A41" s="69"/>
      <c r="B41" s="69"/>
      <c r="C41" s="83" t="s">
        <v>178</v>
      </c>
      <c r="D41" s="62" t="s">
        <v>179</v>
      </c>
      <c r="E41" s="62">
        <v>8</v>
      </c>
      <c r="F41" s="62">
        <v>200</v>
      </c>
      <c r="G41" s="85">
        <f t="shared" si="2"/>
        <v>1600</v>
      </c>
      <c r="H41" s="68"/>
    </row>
    <row r="42" s="3" customFormat="1" spans="1:8">
      <c r="A42" s="69"/>
      <c r="B42" s="69"/>
      <c r="C42" s="83" t="s">
        <v>180</v>
      </c>
      <c r="D42" s="62" t="s">
        <v>173</v>
      </c>
      <c r="E42" s="62">
        <v>75.35</v>
      </c>
      <c r="F42" s="62">
        <v>25</v>
      </c>
      <c r="G42" s="62">
        <f t="shared" si="2"/>
        <v>1883.75</v>
      </c>
      <c r="H42" s="68"/>
    </row>
    <row r="43" s="3" customFormat="1" spans="1:8">
      <c r="A43" s="69"/>
      <c r="B43" s="69"/>
      <c r="C43" s="83" t="s">
        <v>181</v>
      </c>
      <c r="D43" s="62" t="s">
        <v>173</v>
      </c>
      <c r="E43" s="62">
        <v>13.12</v>
      </c>
      <c r="F43" s="62">
        <v>90</v>
      </c>
      <c r="G43" s="62">
        <f t="shared" si="2"/>
        <v>1180.8</v>
      </c>
      <c r="H43" s="68"/>
    </row>
    <row r="44" s="3" customFormat="1" spans="1:8">
      <c r="A44" s="70"/>
      <c r="B44" s="70"/>
      <c r="C44" s="83" t="s">
        <v>182</v>
      </c>
      <c r="D44" s="62" t="s">
        <v>179</v>
      </c>
      <c r="E44" s="62">
        <v>2</v>
      </c>
      <c r="F44" s="62">
        <v>200</v>
      </c>
      <c r="G44" s="85">
        <f t="shared" si="2"/>
        <v>400</v>
      </c>
      <c r="H44" s="68"/>
    </row>
    <row r="45" s="3" customFormat="1" spans="1:8">
      <c r="A45" s="62">
        <v>5</v>
      </c>
      <c r="B45" s="62" t="s">
        <v>120</v>
      </c>
      <c r="C45" s="62"/>
      <c r="D45" s="62"/>
      <c r="E45" s="62"/>
      <c r="F45" s="62"/>
      <c r="G45" s="66">
        <f>SUM(G3:G44)</f>
        <v>126952.73</v>
      </c>
      <c r="H45" s="62"/>
    </row>
    <row r="46" s="3" customFormat="1" spans="1:8">
      <c r="A46" s="62">
        <v>6</v>
      </c>
      <c r="B46" s="63" t="s">
        <v>183</v>
      </c>
      <c r="C46" s="68"/>
      <c r="D46" s="68"/>
      <c r="E46" s="68"/>
      <c r="F46" s="68"/>
      <c r="G46" s="63">
        <v>126900</v>
      </c>
      <c r="H46" s="68"/>
    </row>
    <row r="47" s="3" customFormat="1" spans="2:5">
      <c r="B47" s="3" t="s">
        <v>123</v>
      </c>
      <c r="E47" s="3" t="s">
        <v>124</v>
      </c>
    </row>
    <row r="48" s="3" customFormat="1" spans="2:5">
      <c r="B48" s="3" t="s">
        <v>184</v>
      </c>
      <c r="E48" s="3" t="s">
        <v>184</v>
      </c>
    </row>
  </sheetData>
  <mergeCells count="11">
    <mergeCell ref="A1:H1"/>
    <mergeCell ref="A3:A13"/>
    <mergeCell ref="A14:A29"/>
    <mergeCell ref="A30:A31"/>
    <mergeCell ref="A32:A44"/>
    <mergeCell ref="B3:B13"/>
    <mergeCell ref="B14:B29"/>
    <mergeCell ref="B30:B31"/>
    <mergeCell ref="B32:B44"/>
    <mergeCell ref="C14:C15"/>
    <mergeCell ref="D17:D29"/>
  </mergeCells>
  <pageMargins left="0.357638888888889" right="0.357638888888889" top="0.236111111111111" bottom="0.196527777777778" header="0.236111111111111" footer="0.2361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opLeftCell="A22" workbookViewId="0">
      <selection activeCell="J51" sqref="J51"/>
    </sheetView>
  </sheetViews>
  <sheetFormatPr defaultColWidth="9" defaultRowHeight="14.25" outlineLevelCol="7"/>
  <cols>
    <col min="1" max="1" width="4" style="3" customWidth="1"/>
    <col min="2" max="2" width="7" style="3" customWidth="1"/>
    <col min="3" max="3" width="22" style="3" customWidth="1"/>
    <col min="4" max="4" width="8.25" style="3" customWidth="1"/>
    <col min="5" max="5" width="6.5" style="3" customWidth="1"/>
    <col min="6" max="6" width="9.5" style="3" customWidth="1"/>
    <col min="7" max="7" width="9.375" style="3" customWidth="1"/>
    <col min="8" max="8" width="27.375" style="3" customWidth="1"/>
    <col min="9" max="9" width="12.625" style="3"/>
    <col min="10" max="16384" width="9" style="3"/>
  </cols>
  <sheetData>
    <row r="1" s="3" customFormat="1" ht="21" spans="1:8">
      <c r="A1" s="12" t="s">
        <v>185</v>
      </c>
      <c r="B1" s="12"/>
      <c r="C1" s="12"/>
      <c r="D1" s="12"/>
      <c r="E1" s="12"/>
      <c r="F1" s="12"/>
      <c r="G1" s="12"/>
      <c r="H1" s="12"/>
    </row>
    <row r="2" s="3" customFormat="1" spans="1:8">
      <c r="A2" s="62" t="s">
        <v>1</v>
      </c>
      <c r="B2" s="62" t="s">
        <v>51</v>
      </c>
      <c r="C2" s="62" t="s">
        <v>86</v>
      </c>
      <c r="D2" s="62" t="s">
        <v>87</v>
      </c>
      <c r="E2" s="62" t="s">
        <v>88</v>
      </c>
      <c r="F2" s="62" t="s">
        <v>89</v>
      </c>
      <c r="G2" s="62" t="s">
        <v>90</v>
      </c>
      <c r="H2" s="63" t="s">
        <v>6</v>
      </c>
    </row>
    <row r="3" s="3" customFormat="1" spans="1:8">
      <c r="A3" s="64">
        <v>1</v>
      </c>
      <c r="B3" s="64" t="s">
        <v>186</v>
      </c>
      <c r="C3" s="65" t="s">
        <v>187</v>
      </c>
      <c r="D3" s="62" t="s">
        <v>139</v>
      </c>
      <c r="E3" s="66">
        <f>[1]计算公示!F7/1000</f>
        <v>4.12</v>
      </c>
      <c r="F3" s="62">
        <v>12000</v>
      </c>
      <c r="G3" s="67">
        <f t="shared" ref="G3:G7" si="0">F3*E3</f>
        <v>49440</v>
      </c>
      <c r="H3" s="68" t="s">
        <v>100</v>
      </c>
    </row>
    <row r="4" s="3" customFormat="1" spans="1:8">
      <c r="A4" s="69"/>
      <c r="B4" s="69"/>
      <c r="C4" s="65" t="s">
        <v>188</v>
      </c>
      <c r="D4" s="70" t="s">
        <v>102</v>
      </c>
      <c r="E4" s="70">
        <v>4.2</v>
      </c>
      <c r="F4" s="70">
        <v>220</v>
      </c>
      <c r="G4" s="67">
        <f t="shared" si="0"/>
        <v>924</v>
      </c>
      <c r="H4" s="68"/>
    </row>
    <row r="5" s="3" customFormat="1" spans="1:8">
      <c r="A5" s="70"/>
      <c r="B5" s="70"/>
      <c r="C5" s="65" t="s">
        <v>189</v>
      </c>
      <c r="D5" s="70" t="s">
        <v>102</v>
      </c>
      <c r="E5" s="70">
        <v>4.32</v>
      </c>
      <c r="F5" s="70">
        <v>22</v>
      </c>
      <c r="G5" s="67">
        <f t="shared" si="0"/>
        <v>95</v>
      </c>
      <c r="H5" s="68"/>
    </row>
    <row r="6" s="3" customFormat="1" spans="1:8">
      <c r="A6" s="64">
        <v>2</v>
      </c>
      <c r="B6" s="64" t="s">
        <v>190</v>
      </c>
      <c r="C6" s="65" t="s">
        <v>144</v>
      </c>
      <c r="D6" s="70" t="s">
        <v>117</v>
      </c>
      <c r="E6" s="70">
        <v>208</v>
      </c>
      <c r="F6" s="70">
        <v>120</v>
      </c>
      <c r="G6" s="67">
        <f t="shared" si="0"/>
        <v>24960</v>
      </c>
      <c r="H6" s="68"/>
    </row>
    <row r="7" s="3" customFormat="1" spans="1:8">
      <c r="A7" s="69"/>
      <c r="B7" s="69"/>
      <c r="C7" s="65" t="s">
        <v>191</v>
      </c>
      <c r="D7" s="70" t="s">
        <v>192</v>
      </c>
      <c r="E7" s="70">
        <v>70</v>
      </c>
      <c r="F7" s="70">
        <v>330</v>
      </c>
      <c r="G7" s="67">
        <f t="shared" si="0"/>
        <v>23100</v>
      </c>
      <c r="H7" s="68"/>
    </row>
    <row r="8" s="3" customFormat="1" ht="15" customHeight="1" spans="1:8">
      <c r="A8" s="69"/>
      <c r="B8" s="69"/>
      <c r="C8" s="71"/>
      <c r="D8" s="72" t="s">
        <v>148</v>
      </c>
      <c r="E8" s="73">
        <v>0.33</v>
      </c>
      <c r="F8" s="74">
        <f t="shared" ref="F8:F20" si="1">E8*($G$6+$G$7)</f>
        <v>15859.8</v>
      </c>
      <c r="G8" s="75"/>
      <c r="H8" s="76" t="s">
        <v>149</v>
      </c>
    </row>
    <row r="9" s="3" customFormat="1" ht="15" customHeight="1" spans="1:8">
      <c r="A9" s="69"/>
      <c r="B9" s="69"/>
      <c r="C9" s="71"/>
      <c r="D9" s="77"/>
      <c r="E9" s="73">
        <v>0.18</v>
      </c>
      <c r="F9" s="74">
        <f t="shared" si="1"/>
        <v>8650.8</v>
      </c>
      <c r="G9" s="75"/>
      <c r="H9" s="76" t="s">
        <v>150</v>
      </c>
    </row>
    <row r="10" s="3" customFormat="1" ht="15" customHeight="1" spans="1:8">
      <c r="A10" s="69"/>
      <c r="B10" s="69"/>
      <c r="C10" s="71"/>
      <c r="D10" s="77"/>
      <c r="E10" s="73">
        <v>0.08</v>
      </c>
      <c r="F10" s="74">
        <f t="shared" si="1"/>
        <v>3844.8</v>
      </c>
      <c r="G10" s="75"/>
      <c r="H10" s="76" t="s">
        <v>151</v>
      </c>
    </row>
    <row r="11" s="3" customFormat="1" ht="15" customHeight="1" spans="1:8">
      <c r="A11" s="69"/>
      <c r="B11" s="69"/>
      <c r="C11" s="71"/>
      <c r="D11" s="77"/>
      <c r="E11" s="73">
        <v>0.09</v>
      </c>
      <c r="F11" s="74">
        <f t="shared" si="1"/>
        <v>4325.4</v>
      </c>
      <c r="G11" s="75"/>
      <c r="H11" s="78" t="s">
        <v>152</v>
      </c>
    </row>
    <row r="12" s="3" customFormat="1" ht="15" customHeight="1" spans="1:8">
      <c r="A12" s="69"/>
      <c r="B12" s="69"/>
      <c r="C12" s="71"/>
      <c r="D12" s="77"/>
      <c r="E12" s="73">
        <v>0.04</v>
      </c>
      <c r="F12" s="74">
        <f t="shared" si="1"/>
        <v>1922.4</v>
      </c>
      <c r="G12" s="75"/>
      <c r="H12" s="76" t="s">
        <v>153</v>
      </c>
    </row>
    <row r="13" s="3" customFormat="1" ht="15" customHeight="1" spans="1:8">
      <c r="A13" s="69"/>
      <c r="B13" s="69"/>
      <c r="C13" s="71"/>
      <c r="D13" s="77"/>
      <c r="E13" s="73">
        <v>0.04</v>
      </c>
      <c r="F13" s="74">
        <f t="shared" si="1"/>
        <v>1922.4</v>
      </c>
      <c r="G13" s="75"/>
      <c r="H13" s="79" t="s">
        <v>154</v>
      </c>
    </row>
    <row r="14" s="3" customFormat="1" ht="15" customHeight="1" spans="1:8">
      <c r="A14" s="69"/>
      <c r="B14" s="69"/>
      <c r="C14" s="71"/>
      <c r="D14" s="77"/>
      <c r="E14" s="73">
        <v>0.06</v>
      </c>
      <c r="F14" s="74">
        <f t="shared" si="1"/>
        <v>2883.6</v>
      </c>
      <c r="G14" s="75"/>
      <c r="H14" s="79" t="s">
        <v>155</v>
      </c>
    </row>
    <row r="15" s="3" customFormat="1" ht="15" customHeight="1" spans="1:8">
      <c r="A15" s="69"/>
      <c r="B15" s="69"/>
      <c r="C15" s="71"/>
      <c r="D15" s="77"/>
      <c r="E15" s="73">
        <v>0.03</v>
      </c>
      <c r="F15" s="74">
        <f t="shared" si="1"/>
        <v>1441.8</v>
      </c>
      <c r="G15" s="75"/>
      <c r="H15" s="80" t="s">
        <v>156</v>
      </c>
    </row>
    <row r="16" s="3" customFormat="1" ht="15" customHeight="1" spans="1:8">
      <c r="A16" s="69"/>
      <c r="B16" s="69"/>
      <c r="C16" s="71"/>
      <c r="D16" s="77"/>
      <c r="E16" s="73">
        <v>0.05</v>
      </c>
      <c r="F16" s="74">
        <f t="shared" si="1"/>
        <v>2403</v>
      </c>
      <c r="G16" s="75"/>
      <c r="H16" s="80" t="s">
        <v>157</v>
      </c>
    </row>
    <row r="17" s="3" customFormat="1" ht="15" customHeight="1" spans="1:8">
      <c r="A17" s="69"/>
      <c r="B17" s="69"/>
      <c r="C17" s="71"/>
      <c r="D17" s="77"/>
      <c r="E17" s="73">
        <v>0.03</v>
      </c>
      <c r="F17" s="74">
        <f t="shared" si="1"/>
        <v>1441.8</v>
      </c>
      <c r="G17" s="75"/>
      <c r="H17" s="79" t="s">
        <v>158</v>
      </c>
    </row>
    <row r="18" s="3" customFormat="1" ht="15" customHeight="1" spans="1:8">
      <c r="A18" s="69"/>
      <c r="B18" s="69"/>
      <c r="C18" s="71"/>
      <c r="D18" s="77"/>
      <c r="E18" s="73">
        <v>0.02</v>
      </c>
      <c r="F18" s="74">
        <f t="shared" si="1"/>
        <v>961.2</v>
      </c>
      <c r="G18" s="75"/>
      <c r="H18" s="79" t="s">
        <v>159</v>
      </c>
    </row>
    <row r="19" s="3" customFormat="1" ht="15" customHeight="1" spans="1:8">
      <c r="A19" s="69"/>
      <c r="B19" s="69"/>
      <c r="C19" s="71"/>
      <c r="D19" s="77"/>
      <c r="E19" s="73">
        <v>0.02</v>
      </c>
      <c r="F19" s="74">
        <f t="shared" si="1"/>
        <v>961.2</v>
      </c>
      <c r="G19" s="75"/>
      <c r="H19" s="80" t="s">
        <v>160</v>
      </c>
    </row>
    <row r="20" s="3" customFormat="1" ht="15" customHeight="1" spans="1:8">
      <c r="A20" s="70"/>
      <c r="B20" s="70"/>
      <c r="C20" s="71"/>
      <c r="D20" s="81"/>
      <c r="E20" s="73">
        <v>0.03</v>
      </c>
      <c r="F20" s="74">
        <f t="shared" si="1"/>
        <v>1441.8</v>
      </c>
      <c r="G20" s="75"/>
      <c r="H20" s="79" t="s">
        <v>161</v>
      </c>
    </row>
    <row r="21" s="3" customFormat="1" ht="14" customHeight="1" spans="1:8">
      <c r="A21" s="64">
        <v>3</v>
      </c>
      <c r="B21" s="64" t="s">
        <v>193</v>
      </c>
      <c r="C21" s="44" t="s">
        <v>179</v>
      </c>
      <c r="D21" s="81" t="s">
        <v>117</v>
      </c>
      <c r="E21" s="62">
        <f>6+6</f>
        <v>12</v>
      </c>
      <c r="F21" s="74">
        <v>200</v>
      </c>
      <c r="G21" s="75">
        <f t="shared" ref="G21:G32" si="2">F21*E21</f>
        <v>2400</v>
      </c>
      <c r="H21" s="82" t="s">
        <v>157</v>
      </c>
    </row>
    <row r="22" s="3" customFormat="1" ht="24" spans="1:8">
      <c r="A22" s="69"/>
      <c r="B22" s="69"/>
      <c r="C22" s="45" t="s">
        <v>194</v>
      </c>
      <c r="D22" s="81" t="s">
        <v>195</v>
      </c>
      <c r="E22" s="62">
        <v>3</v>
      </c>
      <c r="F22" s="74">
        <v>1500</v>
      </c>
      <c r="G22" s="75">
        <f t="shared" si="2"/>
        <v>4500</v>
      </c>
      <c r="H22" s="61"/>
    </row>
    <row r="23" s="3" customFormat="1" ht="24" spans="1:8">
      <c r="A23" s="69"/>
      <c r="B23" s="69"/>
      <c r="C23" s="45" t="s">
        <v>196</v>
      </c>
      <c r="D23" s="81" t="s">
        <v>195</v>
      </c>
      <c r="E23" s="62">
        <v>4</v>
      </c>
      <c r="F23" s="74">
        <v>500</v>
      </c>
      <c r="G23" s="75">
        <f t="shared" si="2"/>
        <v>2000</v>
      </c>
      <c r="H23" s="61"/>
    </row>
    <row r="24" s="3" customFormat="1" ht="16.5" spans="1:8">
      <c r="A24" s="69"/>
      <c r="B24" s="69"/>
      <c r="C24" s="54" t="s">
        <v>197</v>
      </c>
      <c r="D24" s="81" t="s">
        <v>173</v>
      </c>
      <c r="E24" s="62">
        <v>13</v>
      </c>
      <c r="F24" s="74">
        <v>746.46</v>
      </c>
      <c r="G24" s="75">
        <f t="shared" si="2"/>
        <v>9703.98</v>
      </c>
      <c r="H24" s="61"/>
    </row>
    <row r="25" s="3" customFormat="1" ht="16.5" spans="1:8">
      <c r="A25" s="69"/>
      <c r="B25" s="69"/>
      <c r="C25" s="54" t="s">
        <v>198</v>
      </c>
      <c r="D25" s="81" t="s">
        <v>173</v>
      </c>
      <c r="E25" s="62">
        <v>16</v>
      </c>
      <c r="F25" s="74">
        <v>461.86</v>
      </c>
      <c r="G25" s="75">
        <f t="shared" si="2"/>
        <v>7389.76</v>
      </c>
      <c r="H25" s="59"/>
    </row>
    <row r="26" s="3" customFormat="1" ht="16.5" spans="1:8">
      <c r="A26" s="64">
        <v>5</v>
      </c>
      <c r="B26" s="64" t="s">
        <v>199</v>
      </c>
      <c r="C26" s="54" t="s">
        <v>200</v>
      </c>
      <c r="D26" s="81" t="s">
        <v>201</v>
      </c>
      <c r="E26" s="62">
        <v>2</v>
      </c>
      <c r="F26" s="74">
        <v>1000</v>
      </c>
      <c r="G26" s="75">
        <f t="shared" si="2"/>
        <v>2000</v>
      </c>
      <c r="H26" s="59"/>
    </row>
    <row r="27" s="3" customFormat="1" ht="16.5" spans="1:8">
      <c r="A27" s="69"/>
      <c r="B27" s="69"/>
      <c r="C27" s="54" t="s">
        <v>202</v>
      </c>
      <c r="D27" s="81" t="s">
        <v>203</v>
      </c>
      <c r="E27" s="62">
        <v>13</v>
      </c>
      <c r="F27" s="74">
        <v>500</v>
      </c>
      <c r="G27" s="75">
        <f t="shared" si="2"/>
        <v>6500</v>
      </c>
      <c r="H27" s="59"/>
    </row>
    <row r="28" s="3" customFormat="1" ht="26" customHeight="1" spans="1:8">
      <c r="A28" s="69"/>
      <c r="B28" s="69"/>
      <c r="C28" s="45" t="s">
        <v>204</v>
      </c>
      <c r="D28" s="81" t="s">
        <v>173</v>
      </c>
      <c r="E28" s="62">
        <v>202.51</v>
      </c>
      <c r="F28" s="74">
        <v>25</v>
      </c>
      <c r="G28" s="75">
        <f t="shared" si="2"/>
        <v>5062.75</v>
      </c>
      <c r="H28" s="59"/>
    </row>
    <row r="29" s="3" customFormat="1" ht="14" customHeight="1" spans="1:8">
      <c r="A29" s="69"/>
      <c r="B29" s="69"/>
      <c r="C29" s="54" t="s">
        <v>205</v>
      </c>
      <c r="D29" s="81" t="s">
        <v>206</v>
      </c>
      <c r="E29" s="62">
        <v>9</v>
      </c>
      <c r="F29" s="74">
        <v>200</v>
      </c>
      <c r="G29" s="75">
        <f t="shared" si="2"/>
        <v>1800</v>
      </c>
      <c r="H29" s="59"/>
    </row>
    <row r="30" s="3" customFormat="1" ht="14" customHeight="1" spans="1:8">
      <c r="A30" s="69"/>
      <c r="B30" s="69"/>
      <c r="C30" s="54" t="s">
        <v>207</v>
      </c>
      <c r="D30" s="81" t="s">
        <v>206</v>
      </c>
      <c r="E30" s="62">
        <v>2</v>
      </c>
      <c r="F30" s="74">
        <v>200</v>
      </c>
      <c r="G30" s="75">
        <f t="shared" si="2"/>
        <v>400</v>
      </c>
      <c r="H30" s="59"/>
    </row>
    <row r="31" s="3" customFormat="1" ht="14" customHeight="1" spans="1:8">
      <c r="A31" s="69"/>
      <c r="B31" s="69"/>
      <c r="C31" s="54" t="s">
        <v>208</v>
      </c>
      <c r="D31" s="81" t="s">
        <v>91</v>
      </c>
      <c r="E31" s="62">
        <v>1</v>
      </c>
      <c r="F31" s="74">
        <v>800</v>
      </c>
      <c r="G31" s="75">
        <f t="shared" si="2"/>
        <v>800</v>
      </c>
      <c r="H31" s="59"/>
    </row>
    <row r="32" s="3" customFormat="1" ht="14" customHeight="1" spans="1:8">
      <c r="A32" s="69"/>
      <c r="B32" s="69"/>
      <c r="C32" s="54" t="s">
        <v>209</v>
      </c>
      <c r="D32" s="81" t="s">
        <v>91</v>
      </c>
      <c r="E32" s="62">
        <v>1</v>
      </c>
      <c r="F32" s="74">
        <v>2550</v>
      </c>
      <c r="G32" s="75">
        <f t="shared" si="2"/>
        <v>2550</v>
      </c>
      <c r="H32" s="59"/>
    </row>
    <row r="33" s="3" customFormat="1" ht="14" customHeight="1" spans="1:8">
      <c r="A33" s="69"/>
      <c r="B33" s="69"/>
      <c r="C33" s="54" t="s">
        <v>210</v>
      </c>
      <c r="D33" s="81" t="s">
        <v>117</v>
      </c>
      <c r="E33" s="62">
        <v>78</v>
      </c>
      <c r="F33" s="74">
        <v>45</v>
      </c>
      <c r="G33" s="75">
        <f t="shared" ref="G33:G35" si="3">E33*F33</f>
        <v>3510</v>
      </c>
      <c r="H33" s="59" t="s">
        <v>149</v>
      </c>
    </row>
    <row r="34" s="3" customFormat="1" ht="14" customHeight="1" spans="1:8">
      <c r="A34" s="69"/>
      <c r="B34" s="69"/>
      <c r="C34" s="54" t="s">
        <v>211</v>
      </c>
      <c r="D34" s="81" t="s">
        <v>117</v>
      </c>
      <c r="E34" s="62">
        <v>126</v>
      </c>
      <c r="F34" s="74">
        <v>45</v>
      </c>
      <c r="G34" s="75">
        <f t="shared" si="3"/>
        <v>5670</v>
      </c>
      <c r="H34" s="41" t="s">
        <v>151</v>
      </c>
    </row>
    <row r="35" s="3" customFormat="1" ht="14" customHeight="1" spans="1:8">
      <c r="A35" s="69"/>
      <c r="B35" s="69"/>
      <c r="C35" s="54" t="s">
        <v>212</v>
      </c>
      <c r="D35" s="81" t="s">
        <v>117</v>
      </c>
      <c r="E35" s="62">
        <v>20</v>
      </c>
      <c r="F35" s="74">
        <v>45</v>
      </c>
      <c r="G35" s="75">
        <f t="shared" si="3"/>
        <v>900</v>
      </c>
      <c r="H35" s="59" t="s">
        <v>149</v>
      </c>
    </row>
    <row r="36" s="3" customFormat="1" ht="14" customHeight="1" spans="1:8">
      <c r="A36" s="69"/>
      <c r="B36" s="69"/>
      <c r="C36" s="54" t="s">
        <v>213</v>
      </c>
      <c r="D36" s="81" t="s">
        <v>91</v>
      </c>
      <c r="E36" s="62">
        <v>1</v>
      </c>
      <c r="F36" s="74">
        <f>(1600+500)*1.08</f>
        <v>2268</v>
      </c>
      <c r="G36" s="75">
        <f>F36*E36</f>
        <v>2268</v>
      </c>
      <c r="H36" s="59"/>
    </row>
    <row r="37" s="3" customFormat="1" ht="14" customHeight="1" spans="1:8">
      <c r="A37" s="69"/>
      <c r="B37" s="69"/>
      <c r="C37" s="54"/>
      <c r="D37" s="81"/>
      <c r="E37" s="62"/>
      <c r="F37" s="74">
        <v>400</v>
      </c>
      <c r="G37" s="75"/>
      <c r="H37" s="41" t="s">
        <v>149</v>
      </c>
    </row>
    <row r="38" s="3" customFormat="1" ht="14" customHeight="1" spans="1:8">
      <c r="A38" s="69"/>
      <c r="B38" s="69"/>
      <c r="C38" s="54"/>
      <c r="D38" s="81"/>
      <c r="E38" s="62"/>
      <c r="F38" s="74">
        <v>500</v>
      </c>
      <c r="G38" s="75"/>
      <c r="H38" s="41" t="s">
        <v>150</v>
      </c>
    </row>
    <row r="39" s="3" customFormat="1" ht="14" customHeight="1" spans="1:8">
      <c r="A39" s="69"/>
      <c r="B39" s="69"/>
      <c r="C39" s="54"/>
      <c r="D39" s="81"/>
      <c r="E39" s="62"/>
      <c r="F39" s="74">
        <v>150</v>
      </c>
      <c r="G39" s="75"/>
      <c r="H39" s="41" t="s">
        <v>151</v>
      </c>
    </row>
    <row r="40" s="3" customFormat="1" ht="14" customHeight="1" spans="1:8">
      <c r="A40" s="69"/>
      <c r="B40" s="69"/>
      <c r="C40" s="54"/>
      <c r="D40" s="81"/>
      <c r="E40" s="62"/>
      <c r="F40" s="74">
        <v>150</v>
      </c>
      <c r="G40" s="75"/>
      <c r="H40" s="56" t="s">
        <v>152</v>
      </c>
    </row>
    <row r="41" s="3" customFormat="1" ht="14" customHeight="1" spans="1:8">
      <c r="A41" s="69"/>
      <c r="B41" s="69"/>
      <c r="C41" s="54"/>
      <c r="D41" s="81"/>
      <c r="E41" s="62"/>
      <c r="F41" s="74">
        <v>150</v>
      </c>
      <c r="G41" s="75"/>
      <c r="H41" s="41" t="s">
        <v>153</v>
      </c>
    </row>
    <row r="42" s="3" customFormat="1" ht="14" customHeight="1" spans="1:8">
      <c r="A42" s="69"/>
      <c r="B42" s="69"/>
      <c r="C42" s="54"/>
      <c r="D42" s="81"/>
      <c r="E42" s="62"/>
      <c r="F42" s="74">
        <v>150</v>
      </c>
      <c r="G42" s="75"/>
      <c r="H42" s="57" t="s">
        <v>154</v>
      </c>
    </row>
    <row r="43" s="3" customFormat="1" ht="14" customHeight="1" spans="1:8">
      <c r="A43" s="69"/>
      <c r="B43" s="69"/>
      <c r="C43" s="54"/>
      <c r="D43" s="81"/>
      <c r="E43" s="62"/>
      <c r="F43" s="74">
        <v>150</v>
      </c>
      <c r="G43" s="75"/>
      <c r="H43" s="57" t="s">
        <v>155</v>
      </c>
    </row>
    <row r="44" s="3" customFormat="1" ht="14" customHeight="1" spans="1:8">
      <c r="A44" s="69"/>
      <c r="B44" s="69"/>
      <c r="C44" s="54"/>
      <c r="D44" s="81"/>
      <c r="E44" s="62"/>
      <c r="F44" s="74">
        <v>200</v>
      </c>
      <c r="G44" s="75"/>
      <c r="H44" s="58" t="s">
        <v>156</v>
      </c>
    </row>
    <row r="45" s="3" customFormat="1" ht="14" customHeight="1" spans="1:8">
      <c r="A45" s="69"/>
      <c r="B45" s="69"/>
      <c r="C45" s="54"/>
      <c r="D45" s="81"/>
      <c r="E45" s="62"/>
      <c r="F45" s="74">
        <v>150</v>
      </c>
      <c r="G45" s="75"/>
      <c r="H45" s="57" t="s">
        <v>159</v>
      </c>
    </row>
    <row r="46" s="3" customFormat="1" ht="14" customHeight="1" spans="1:8">
      <c r="A46" s="69"/>
      <c r="B46" s="69"/>
      <c r="C46" s="54"/>
      <c r="D46" s="81"/>
      <c r="E46" s="62"/>
      <c r="F46" s="74">
        <v>150</v>
      </c>
      <c r="G46" s="75"/>
      <c r="H46" s="58" t="s">
        <v>160</v>
      </c>
    </row>
    <row r="47" s="3" customFormat="1" ht="14" customHeight="1" spans="1:8">
      <c r="A47" s="69"/>
      <c r="B47" s="69"/>
      <c r="C47" s="54"/>
      <c r="D47" s="81"/>
      <c r="E47" s="62"/>
      <c r="F47" s="74">
        <v>150</v>
      </c>
      <c r="G47" s="75"/>
      <c r="H47" s="57" t="s">
        <v>161</v>
      </c>
    </row>
    <row r="48" s="3" customFormat="1" spans="1:8">
      <c r="A48" s="62">
        <v>6</v>
      </c>
      <c r="B48" s="62" t="s">
        <v>120</v>
      </c>
      <c r="C48" s="65"/>
      <c r="D48" s="62"/>
      <c r="E48" s="62"/>
      <c r="F48" s="62"/>
      <c r="G48" s="66">
        <f>SUM(G3:G36)</f>
        <v>155973.49</v>
      </c>
      <c r="H48" s="62"/>
    </row>
    <row r="49" s="3" customFormat="1" spans="1:8">
      <c r="A49" s="62">
        <v>7</v>
      </c>
      <c r="B49" s="63" t="s">
        <v>183</v>
      </c>
      <c r="C49" s="68"/>
      <c r="D49" s="68"/>
      <c r="E49" s="68"/>
      <c r="F49" s="68"/>
      <c r="G49" s="63">
        <v>155900</v>
      </c>
      <c r="H49" s="68"/>
    </row>
    <row r="50" s="3" customFormat="1" spans="2:5">
      <c r="B50" s="3" t="s">
        <v>123</v>
      </c>
      <c r="E50" s="3" t="s">
        <v>124</v>
      </c>
    </row>
    <row r="51" s="3" customFormat="1" spans="2:5">
      <c r="B51" s="3" t="s">
        <v>184</v>
      </c>
      <c r="E51" s="3" t="s">
        <v>184</v>
      </c>
    </row>
  </sheetData>
  <mergeCells count="11">
    <mergeCell ref="A1:H1"/>
    <mergeCell ref="A3:A5"/>
    <mergeCell ref="A6:A20"/>
    <mergeCell ref="A21:A25"/>
    <mergeCell ref="A26:A47"/>
    <mergeCell ref="B3:B5"/>
    <mergeCell ref="B6:B20"/>
    <mergeCell ref="B21:B25"/>
    <mergeCell ref="B26:B47"/>
    <mergeCell ref="D8:D20"/>
    <mergeCell ref="H21:H2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opLeftCell="A19" workbookViewId="0">
      <selection activeCell="I20" sqref="I20"/>
    </sheetView>
  </sheetViews>
  <sheetFormatPr defaultColWidth="9" defaultRowHeight="14.25" outlineLevelCol="7"/>
  <cols>
    <col min="1" max="1" width="4" style="3" customWidth="1"/>
    <col min="2" max="2" width="7.60833333333333" style="3" customWidth="1"/>
    <col min="3" max="3" width="27.175" style="3" customWidth="1"/>
    <col min="4" max="4" width="6.40833333333333" style="3" customWidth="1"/>
    <col min="5" max="5" width="6.375" style="3" customWidth="1"/>
    <col min="6" max="6" width="9.675" style="3" customWidth="1"/>
    <col min="7" max="7" width="8.69166666666667" style="3" customWidth="1"/>
    <col min="8" max="8" width="20.375" style="3" customWidth="1"/>
    <col min="9" max="9" width="12.625" style="3"/>
    <col min="10" max="16384" width="9" style="3"/>
  </cols>
  <sheetData>
    <row r="1" s="3" customFormat="1" ht="18" customHeight="1" spans="1:8">
      <c r="A1" s="12" t="s">
        <v>214</v>
      </c>
      <c r="B1" s="12"/>
      <c r="C1" s="12"/>
      <c r="D1" s="12"/>
      <c r="E1" s="12"/>
      <c r="F1" s="12"/>
      <c r="G1" s="12"/>
      <c r="H1" s="12"/>
    </row>
    <row r="2" s="3" customFormat="1" ht="16.5" spans="1:8">
      <c r="A2" s="13" t="s">
        <v>1</v>
      </c>
      <c r="B2" s="13" t="s">
        <v>51</v>
      </c>
      <c r="C2" s="13" t="s">
        <v>86</v>
      </c>
      <c r="D2" s="13" t="s">
        <v>87</v>
      </c>
      <c r="E2" s="13" t="s">
        <v>88</v>
      </c>
      <c r="F2" s="13" t="s">
        <v>89</v>
      </c>
      <c r="G2" s="13" t="s">
        <v>90</v>
      </c>
      <c r="H2" s="14" t="s">
        <v>6</v>
      </c>
    </row>
    <row r="3" s="3" customFormat="1" ht="16.5" spans="1:8">
      <c r="A3" s="34">
        <v>1</v>
      </c>
      <c r="B3" s="34" t="s">
        <v>215</v>
      </c>
      <c r="C3" s="35" t="s">
        <v>144</v>
      </c>
      <c r="D3" s="36" t="s">
        <v>117</v>
      </c>
      <c r="E3" s="36">
        <v>102</v>
      </c>
      <c r="F3" s="36">
        <v>120</v>
      </c>
      <c r="G3" s="37">
        <f>F3*E3</f>
        <v>12240</v>
      </c>
      <c r="H3" s="38"/>
    </row>
    <row r="4" s="3" customFormat="1" ht="16.5" spans="1:8">
      <c r="A4" s="39"/>
      <c r="B4" s="39"/>
      <c r="C4" s="35" t="s">
        <v>191</v>
      </c>
      <c r="D4" s="36" t="s">
        <v>192</v>
      </c>
      <c r="E4" s="36">
        <v>11</v>
      </c>
      <c r="F4" s="36">
        <v>330</v>
      </c>
      <c r="G4" s="37">
        <f>F4*E4</f>
        <v>3630</v>
      </c>
      <c r="H4" s="38"/>
    </row>
    <row r="5" s="3" customFormat="1" ht="16.5" spans="1:8">
      <c r="A5" s="39"/>
      <c r="B5" s="39"/>
      <c r="C5" s="13"/>
      <c r="D5" s="34" t="s">
        <v>148</v>
      </c>
      <c r="E5" s="55">
        <v>0.33</v>
      </c>
      <c r="F5" s="42">
        <f t="shared" ref="F5:F17" si="0">E5*($G$3+$G$4)</f>
        <v>5237.1</v>
      </c>
      <c r="G5" s="14"/>
      <c r="H5" s="41" t="s">
        <v>149</v>
      </c>
    </row>
    <row r="6" s="3" customFormat="1" ht="16.5" spans="1:8">
      <c r="A6" s="39"/>
      <c r="B6" s="39"/>
      <c r="C6" s="13"/>
      <c r="D6" s="39"/>
      <c r="E6" s="55">
        <v>0.18</v>
      </c>
      <c r="F6" s="42">
        <f t="shared" si="0"/>
        <v>2856.6</v>
      </c>
      <c r="G6" s="14"/>
      <c r="H6" s="41" t="s">
        <v>150</v>
      </c>
    </row>
    <row r="7" s="3" customFormat="1" ht="21" spans="1:8">
      <c r="A7" s="39"/>
      <c r="B7" s="39"/>
      <c r="C7" s="13"/>
      <c r="D7" s="39"/>
      <c r="E7" s="55">
        <v>0.08</v>
      </c>
      <c r="F7" s="42">
        <f t="shared" si="0"/>
        <v>1269.6</v>
      </c>
      <c r="G7" s="14"/>
      <c r="H7" s="41" t="s">
        <v>151</v>
      </c>
    </row>
    <row r="8" s="3" customFormat="1" ht="16.5" spans="1:8">
      <c r="A8" s="39"/>
      <c r="B8" s="39"/>
      <c r="C8" s="13"/>
      <c r="D8" s="39"/>
      <c r="E8" s="55">
        <v>0.09</v>
      </c>
      <c r="F8" s="42">
        <f t="shared" si="0"/>
        <v>1428.3</v>
      </c>
      <c r="G8" s="14"/>
      <c r="H8" s="56" t="s">
        <v>152</v>
      </c>
    </row>
    <row r="9" s="3" customFormat="1" ht="16.5" spans="1:8">
      <c r="A9" s="39"/>
      <c r="B9" s="39"/>
      <c r="C9" s="13"/>
      <c r="D9" s="39"/>
      <c r="E9" s="55">
        <v>0.04</v>
      </c>
      <c r="F9" s="42">
        <f t="shared" si="0"/>
        <v>634.8</v>
      </c>
      <c r="G9" s="14"/>
      <c r="H9" s="41" t="s">
        <v>153</v>
      </c>
    </row>
    <row r="10" s="3" customFormat="1" ht="16.5" spans="1:8">
      <c r="A10" s="39"/>
      <c r="B10" s="39"/>
      <c r="C10" s="13"/>
      <c r="D10" s="39"/>
      <c r="E10" s="55">
        <v>0.04</v>
      </c>
      <c r="F10" s="42">
        <f t="shared" si="0"/>
        <v>634.8</v>
      </c>
      <c r="G10" s="14"/>
      <c r="H10" s="57" t="s">
        <v>154</v>
      </c>
    </row>
    <row r="11" s="3" customFormat="1" ht="16.5" spans="1:8">
      <c r="A11" s="39"/>
      <c r="B11" s="39"/>
      <c r="C11" s="13"/>
      <c r="D11" s="39"/>
      <c r="E11" s="55">
        <v>0.06</v>
      </c>
      <c r="F11" s="42">
        <f t="shared" si="0"/>
        <v>952.2</v>
      </c>
      <c r="G11" s="14"/>
      <c r="H11" s="57" t="s">
        <v>155</v>
      </c>
    </row>
    <row r="12" s="3" customFormat="1" ht="16.5" spans="1:8">
      <c r="A12" s="39"/>
      <c r="B12" s="39"/>
      <c r="C12" s="13"/>
      <c r="D12" s="39"/>
      <c r="E12" s="55">
        <v>0.03</v>
      </c>
      <c r="F12" s="42">
        <f t="shared" si="0"/>
        <v>476.1</v>
      </c>
      <c r="G12" s="14"/>
      <c r="H12" s="58" t="s">
        <v>156</v>
      </c>
    </row>
    <row r="13" s="3" customFormat="1" ht="16.5" spans="1:8">
      <c r="A13" s="39"/>
      <c r="B13" s="39"/>
      <c r="C13" s="13"/>
      <c r="D13" s="39"/>
      <c r="E13" s="55">
        <v>0.05</v>
      </c>
      <c r="F13" s="42">
        <f t="shared" si="0"/>
        <v>793.5</v>
      </c>
      <c r="G13" s="14"/>
      <c r="H13" s="58" t="s">
        <v>157</v>
      </c>
    </row>
    <row r="14" s="3" customFormat="1" ht="16.5" spans="1:8">
      <c r="A14" s="39"/>
      <c r="B14" s="39"/>
      <c r="C14" s="13"/>
      <c r="D14" s="39"/>
      <c r="E14" s="55">
        <v>0.03</v>
      </c>
      <c r="F14" s="42">
        <f t="shared" si="0"/>
        <v>476.1</v>
      </c>
      <c r="G14" s="14"/>
      <c r="H14" s="57" t="s">
        <v>158</v>
      </c>
    </row>
    <row r="15" s="3" customFormat="1" ht="16.5" spans="1:8">
      <c r="A15" s="39"/>
      <c r="B15" s="39"/>
      <c r="C15" s="13"/>
      <c r="D15" s="39"/>
      <c r="E15" s="55">
        <v>0.02</v>
      </c>
      <c r="F15" s="42">
        <f t="shared" si="0"/>
        <v>317.4</v>
      </c>
      <c r="G15" s="14"/>
      <c r="H15" s="57" t="s">
        <v>159</v>
      </c>
    </row>
    <row r="16" s="3" customFormat="1" ht="16.5" spans="1:8">
      <c r="A16" s="39"/>
      <c r="B16" s="39"/>
      <c r="C16" s="13"/>
      <c r="D16" s="39"/>
      <c r="E16" s="55">
        <v>0.02</v>
      </c>
      <c r="F16" s="42">
        <f t="shared" si="0"/>
        <v>317.4</v>
      </c>
      <c r="G16" s="14"/>
      <c r="H16" s="58" t="s">
        <v>160</v>
      </c>
    </row>
    <row r="17" s="3" customFormat="1" ht="21" spans="1:8">
      <c r="A17" s="36"/>
      <c r="B17" s="36"/>
      <c r="C17" s="13"/>
      <c r="D17" s="36"/>
      <c r="E17" s="55">
        <v>0.03</v>
      </c>
      <c r="F17" s="42">
        <f t="shared" si="0"/>
        <v>476.1</v>
      </c>
      <c r="G17" s="14"/>
      <c r="H17" s="57" t="s">
        <v>161</v>
      </c>
    </row>
    <row r="18" s="3" customFormat="1" ht="16.5" spans="1:8">
      <c r="A18" s="34">
        <v>2</v>
      </c>
      <c r="B18" s="34" t="s">
        <v>216</v>
      </c>
      <c r="C18" s="44" t="s">
        <v>217</v>
      </c>
      <c r="D18" s="36" t="s">
        <v>102</v>
      </c>
      <c r="E18" s="13">
        <f>6*9.7</f>
        <v>58.2</v>
      </c>
      <c r="F18" s="42">
        <v>225</v>
      </c>
      <c r="G18" s="14">
        <f t="shared" ref="G18:G41" si="1">F18*E18</f>
        <v>13095</v>
      </c>
      <c r="H18" s="44"/>
    </row>
    <row r="19" s="3" customFormat="1" ht="33" spans="1:8">
      <c r="A19" s="39"/>
      <c r="B19" s="39"/>
      <c r="C19" s="54" t="s">
        <v>218</v>
      </c>
      <c r="D19" s="36" t="s">
        <v>219</v>
      </c>
      <c r="E19" s="13">
        <v>3</v>
      </c>
      <c r="F19" s="42">
        <v>300</v>
      </c>
      <c r="G19" s="14">
        <f t="shared" si="1"/>
        <v>900</v>
      </c>
      <c r="H19" s="53"/>
    </row>
    <row r="20" s="3" customFormat="1" ht="28" customHeight="1" spans="1:8">
      <c r="A20" s="39"/>
      <c r="B20" s="39"/>
      <c r="C20" s="54" t="s">
        <v>220</v>
      </c>
      <c r="D20" s="36" t="s">
        <v>219</v>
      </c>
      <c r="E20" s="13">
        <v>3</v>
      </c>
      <c r="F20" s="42">
        <v>100</v>
      </c>
      <c r="G20" s="14">
        <f t="shared" si="1"/>
        <v>300</v>
      </c>
      <c r="H20" s="53"/>
    </row>
    <row r="21" s="3" customFormat="1" ht="16.5" spans="1:8">
      <c r="A21" s="34">
        <v>3</v>
      </c>
      <c r="B21" s="34" t="s">
        <v>221</v>
      </c>
      <c r="C21" s="54" t="s">
        <v>222</v>
      </c>
      <c r="D21" s="36" t="s">
        <v>102</v>
      </c>
      <c r="E21" s="13">
        <v>9.88</v>
      </c>
      <c r="F21" s="42">
        <v>100</v>
      </c>
      <c r="G21" s="14">
        <f t="shared" si="1"/>
        <v>988</v>
      </c>
      <c r="H21" s="59"/>
    </row>
    <row r="22" s="3" customFormat="1" ht="16.5" spans="1:8">
      <c r="A22" s="39"/>
      <c r="B22" s="39"/>
      <c r="C22" s="54" t="s">
        <v>223</v>
      </c>
      <c r="D22" s="36" t="s">
        <v>102</v>
      </c>
      <c r="E22" s="13">
        <v>6.87</v>
      </c>
      <c r="F22" s="42">
        <v>200</v>
      </c>
      <c r="G22" s="14">
        <f t="shared" si="1"/>
        <v>1374</v>
      </c>
      <c r="H22" s="59"/>
    </row>
    <row r="23" s="3" customFormat="1" ht="16.5" spans="1:8">
      <c r="A23" s="39"/>
      <c r="B23" s="39"/>
      <c r="C23" s="54" t="s">
        <v>224</v>
      </c>
      <c r="D23" s="36" t="s">
        <v>102</v>
      </c>
      <c r="E23" s="13">
        <v>52.68</v>
      </c>
      <c r="F23" s="42">
        <v>22</v>
      </c>
      <c r="G23" s="14">
        <f t="shared" si="1"/>
        <v>1158.96</v>
      </c>
      <c r="H23" s="59"/>
    </row>
    <row r="24" s="3" customFormat="1" ht="16.5" spans="1:8">
      <c r="A24" s="39"/>
      <c r="B24" s="39"/>
      <c r="C24" s="54" t="s">
        <v>225</v>
      </c>
      <c r="D24" s="36" t="s">
        <v>102</v>
      </c>
      <c r="E24" s="13">
        <v>1.84</v>
      </c>
      <c r="F24" s="42">
        <f>150/2</f>
        <v>75</v>
      </c>
      <c r="G24" s="14">
        <f t="shared" si="1"/>
        <v>138</v>
      </c>
      <c r="H24" s="59"/>
    </row>
    <row r="25" s="3" customFormat="1" ht="16.5" spans="1:8">
      <c r="A25" s="39"/>
      <c r="B25" s="39"/>
      <c r="C25" s="54" t="s">
        <v>226</v>
      </c>
      <c r="D25" s="36" t="s">
        <v>102</v>
      </c>
      <c r="E25" s="13">
        <v>1.76</v>
      </c>
      <c r="F25" s="42">
        <f>150*2</f>
        <v>300</v>
      </c>
      <c r="G25" s="14">
        <f t="shared" si="1"/>
        <v>528</v>
      </c>
      <c r="H25" s="59"/>
    </row>
    <row r="26" s="3" customFormat="1" ht="16.5" spans="1:8">
      <c r="A26" s="39"/>
      <c r="B26" s="39"/>
      <c r="C26" s="54" t="s">
        <v>227</v>
      </c>
      <c r="D26" s="36" t="s">
        <v>117</v>
      </c>
      <c r="E26" s="13">
        <v>6</v>
      </c>
      <c r="F26" s="42">
        <v>45</v>
      </c>
      <c r="G26" s="14">
        <f t="shared" si="1"/>
        <v>270</v>
      </c>
      <c r="H26" s="59"/>
    </row>
    <row r="27" s="3" customFormat="1" ht="16.5" spans="1:8">
      <c r="A27" s="39"/>
      <c r="B27" s="39"/>
      <c r="C27" s="54" t="s">
        <v>228</v>
      </c>
      <c r="D27" s="36" t="s">
        <v>117</v>
      </c>
      <c r="E27" s="13">
        <v>1</v>
      </c>
      <c r="F27" s="42">
        <v>65</v>
      </c>
      <c r="G27" s="14">
        <f t="shared" si="1"/>
        <v>65</v>
      </c>
      <c r="H27" s="59"/>
    </row>
    <row r="28" s="3" customFormat="1" ht="16.5" spans="1:8">
      <c r="A28" s="39"/>
      <c r="B28" s="39"/>
      <c r="C28" s="54" t="s">
        <v>229</v>
      </c>
      <c r="D28" s="36" t="s">
        <v>173</v>
      </c>
      <c r="E28" s="13">
        <v>6</v>
      </c>
      <c r="F28" s="42">
        <v>25</v>
      </c>
      <c r="G28" s="14">
        <f t="shared" si="1"/>
        <v>150</v>
      </c>
      <c r="H28" s="59"/>
    </row>
    <row r="29" s="3" customFormat="1" ht="16.5" spans="1:8">
      <c r="A29" s="39"/>
      <c r="B29" s="39"/>
      <c r="C29" s="54" t="s">
        <v>179</v>
      </c>
      <c r="D29" s="36" t="s">
        <v>109</v>
      </c>
      <c r="E29" s="13">
        <v>3</v>
      </c>
      <c r="F29" s="42">
        <v>200</v>
      </c>
      <c r="G29" s="14">
        <f t="shared" si="1"/>
        <v>600</v>
      </c>
      <c r="H29" s="59"/>
    </row>
    <row r="30" s="3" customFormat="1" ht="16.5" spans="1:8">
      <c r="A30" s="39"/>
      <c r="B30" s="39"/>
      <c r="C30" s="54" t="s">
        <v>230</v>
      </c>
      <c r="D30" s="36" t="s">
        <v>102</v>
      </c>
      <c r="E30" s="13">
        <v>2.09</v>
      </c>
      <c r="F30" s="42">
        <v>100</v>
      </c>
      <c r="G30" s="14">
        <f t="shared" si="1"/>
        <v>209</v>
      </c>
      <c r="H30" s="59"/>
    </row>
    <row r="31" s="3" customFormat="1" ht="16.5" spans="1:8">
      <c r="A31" s="39"/>
      <c r="B31" s="39"/>
      <c r="C31" s="54" t="s">
        <v>231</v>
      </c>
      <c r="D31" s="36" t="s">
        <v>102</v>
      </c>
      <c r="E31" s="13">
        <v>1.5</v>
      </c>
      <c r="F31" s="42">
        <v>200</v>
      </c>
      <c r="G31" s="14">
        <f t="shared" si="1"/>
        <v>300</v>
      </c>
      <c r="H31" s="59"/>
    </row>
    <row r="32" s="3" customFormat="1" ht="16.5" spans="1:8">
      <c r="A32" s="39"/>
      <c r="B32" s="39"/>
      <c r="C32" s="54" t="s">
        <v>224</v>
      </c>
      <c r="D32" s="36" t="s">
        <v>102</v>
      </c>
      <c r="E32" s="13">
        <v>7.9</v>
      </c>
      <c r="F32" s="42">
        <v>22</v>
      </c>
      <c r="G32" s="14">
        <f t="shared" si="1"/>
        <v>173.8</v>
      </c>
      <c r="H32" s="59"/>
    </row>
    <row r="33" s="3" customFormat="1" ht="16.5" spans="1:8">
      <c r="A33" s="39"/>
      <c r="B33" s="39"/>
      <c r="C33" s="54" t="s">
        <v>232</v>
      </c>
      <c r="D33" s="36" t="s">
        <v>91</v>
      </c>
      <c r="E33" s="13">
        <v>1</v>
      </c>
      <c r="F33" s="42">
        <v>3000</v>
      </c>
      <c r="G33" s="14">
        <f t="shared" si="1"/>
        <v>3000</v>
      </c>
      <c r="H33" s="59" t="s">
        <v>100</v>
      </c>
    </row>
    <row r="34" s="3" customFormat="1" ht="16.5" spans="1:8">
      <c r="A34" s="39"/>
      <c r="B34" s="39"/>
      <c r="C34" s="54" t="s">
        <v>233</v>
      </c>
      <c r="D34" s="36" t="s">
        <v>234</v>
      </c>
      <c r="E34" s="13">
        <v>3</v>
      </c>
      <c r="F34" s="42">
        <v>400</v>
      </c>
      <c r="G34" s="14">
        <f t="shared" si="1"/>
        <v>1200</v>
      </c>
      <c r="H34" s="59" t="s">
        <v>100</v>
      </c>
    </row>
    <row r="35" s="3" customFormat="1" ht="16.5" spans="1:8">
      <c r="A35" s="39"/>
      <c r="B35" s="39"/>
      <c r="C35" s="54" t="s">
        <v>235</v>
      </c>
      <c r="D35" s="36" t="s">
        <v>117</v>
      </c>
      <c r="E35" s="13">
        <v>40</v>
      </c>
      <c r="F35" s="42">
        <v>45</v>
      </c>
      <c r="G35" s="14">
        <f t="shared" si="1"/>
        <v>1800</v>
      </c>
      <c r="H35" s="60" t="s">
        <v>236</v>
      </c>
    </row>
    <row r="36" s="3" customFormat="1" ht="16.5" spans="1:8">
      <c r="A36" s="39"/>
      <c r="B36" s="39"/>
      <c r="C36" s="54" t="s">
        <v>237</v>
      </c>
      <c r="D36" s="36" t="s">
        <v>179</v>
      </c>
      <c r="E36" s="13">
        <v>2</v>
      </c>
      <c r="F36" s="42">
        <v>200</v>
      </c>
      <c r="G36" s="14">
        <f t="shared" si="1"/>
        <v>400</v>
      </c>
      <c r="H36" s="59"/>
    </row>
    <row r="37" s="3" customFormat="1" ht="16.5" spans="1:8">
      <c r="A37" s="39"/>
      <c r="B37" s="39"/>
      <c r="C37" s="54" t="s">
        <v>238</v>
      </c>
      <c r="D37" s="36" t="s">
        <v>117</v>
      </c>
      <c r="E37" s="13">
        <v>3</v>
      </c>
      <c r="F37" s="42">
        <v>500</v>
      </c>
      <c r="G37" s="14">
        <f t="shared" si="1"/>
        <v>1500</v>
      </c>
      <c r="H37" s="59" t="s">
        <v>100</v>
      </c>
    </row>
    <row r="38" s="3" customFormat="1" ht="16.5" spans="1:8">
      <c r="A38" s="39"/>
      <c r="B38" s="39"/>
      <c r="C38" s="54" t="s">
        <v>239</v>
      </c>
      <c r="D38" s="36" t="s">
        <v>91</v>
      </c>
      <c r="E38" s="13">
        <v>1</v>
      </c>
      <c r="F38" s="42">
        <v>2000</v>
      </c>
      <c r="G38" s="14">
        <f t="shared" si="1"/>
        <v>2000</v>
      </c>
      <c r="H38" s="59" t="s">
        <v>100</v>
      </c>
    </row>
    <row r="39" s="3" customFormat="1" ht="16.5" spans="1:8">
      <c r="A39" s="34">
        <v>4</v>
      </c>
      <c r="B39" s="34" t="s">
        <v>240</v>
      </c>
      <c r="C39" s="54" t="s">
        <v>241</v>
      </c>
      <c r="D39" s="36" t="s">
        <v>102</v>
      </c>
      <c r="E39" s="13">
        <v>196</v>
      </c>
      <c r="F39" s="42">
        <v>100</v>
      </c>
      <c r="G39" s="14">
        <f t="shared" si="1"/>
        <v>19600</v>
      </c>
      <c r="H39" s="61" t="s">
        <v>150</v>
      </c>
    </row>
    <row r="40" s="3" customFormat="1" ht="16.5" spans="1:8">
      <c r="A40" s="39"/>
      <c r="B40" s="39"/>
      <c r="C40" s="54" t="s">
        <v>242</v>
      </c>
      <c r="D40" s="36" t="s">
        <v>117</v>
      </c>
      <c r="E40" s="13">
        <v>110</v>
      </c>
      <c r="F40" s="42">
        <v>100</v>
      </c>
      <c r="G40" s="14">
        <f t="shared" si="1"/>
        <v>11000</v>
      </c>
      <c r="H40" s="61"/>
    </row>
    <row r="41" s="3" customFormat="1" ht="16.5" spans="1:8">
      <c r="A41" s="39"/>
      <c r="B41" s="39"/>
      <c r="C41" s="54" t="s">
        <v>243</v>
      </c>
      <c r="D41" s="36" t="s">
        <v>173</v>
      </c>
      <c r="E41" s="13">
        <v>127.6</v>
      </c>
      <c r="F41" s="42">
        <v>60</v>
      </c>
      <c r="G41" s="14">
        <f t="shared" si="1"/>
        <v>7656</v>
      </c>
      <c r="H41" s="59"/>
    </row>
    <row r="42" s="3" customFormat="1" ht="16.5" spans="1:8">
      <c r="A42" s="13">
        <v>5</v>
      </c>
      <c r="B42" s="13" t="s">
        <v>120</v>
      </c>
      <c r="C42" s="35"/>
      <c r="D42" s="13"/>
      <c r="E42" s="13"/>
      <c r="F42" s="13"/>
      <c r="G42" s="50">
        <f>SUM(G3:G41)</f>
        <v>84275.76</v>
      </c>
      <c r="H42" s="13"/>
    </row>
    <row r="43" s="3" customFormat="1" ht="16.5" spans="1:8">
      <c r="A43" s="13">
        <v>6</v>
      </c>
      <c r="B43" s="51" t="s">
        <v>183</v>
      </c>
      <c r="C43" s="52"/>
      <c r="D43" s="38"/>
      <c r="E43" s="38"/>
      <c r="F43" s="38"/>
      <c r="G43" s="14">
        <v>84200</v>
      </c>
      <c r="H43" s="38"/>
    </row>
    <row r="44" s="3" customFormat="1" spans="2:5">
      <c r="B44" s="3" t="s">
        <v>123</v>
      </c>
      <c r="E44" s="3" t="s">
        <v>124</v>
      </c>
    </row>
    <row r="45" s="3" customFormat="1" spans="2:5">
      <c r="B45" s="3" t="s">
        <v>184</v>
      </c>
      <c r="E45" s="3" t="s">
        <v>184</v>
      </c>
    </row>
  </sheetData>
  <mergeCells count="12">
    <mergeCell ref="A1:H1"/>
    <mergeCell ref="B43:C43"/>
    <mergeCell ref="A3:A17"/>
    <mergeCell ref="A18:A20"/>
    <mergeCell ref="A21:A38"/>
    <mergeCell ref="A39:A41"/>
    <mergeCell ref="B3:B17"/>
    <mergeCell ref="B18:B20"/>
    <mergeCell ref="B21:B38"/>
    <mergeCell ref="B39:B41"/>
    <mergeCell ref="D5:D17"/>
    <mergeCell ref="H39:H4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K24" sqref="K24"/>
    </sheetView>
  </sheetViews>
  <sheetFormatPr defaultColWidth="9" defaultRowHeight="14.25" outlineLevelCol="7"/>
  <cols>
    <col min="1" max="1" width="4" style="3" customWidth="1"/>
    <col min="2" max="2" width="7.60833333333333" style="3" customWidth="1"/>
    <col min="3" max="3" width="25.75" style="3" customWidth="1"/>
    <col min="4" max="4" width="6.40833333333333" style="3" customWidth="1"/>
    <col min="5" max="5" width="6.375" style="3" customWidth="1"/>
    <col min="6" max="6" width="9.675" style="3" customWidth="1"/>
    <col min="7" max="7" width="8.69166666666667" style="3" customWidth="1"/>
    <col min="8" max="8" width="20.375" style="3" customWidth="1"/>
    <col min="9" max="9" width="12.625" style="3"/>
    <col min="10" max="16384" width="9" style="3"/>
  </cols>
  <sheetData>
    <row r="1" s="3" customFormat="1" ht="41" customHeight="1" spans="1:8">
      <c r="A1" s="12" t="s">
        <v>244</v>
      </c>
      <c r="B1" s="12"/>
      <c r="C1" s="12"/>
      <c r="D1" s="12"/>
      <c r="E1" s="12"/>
      <c r="F1" s="12"/>
      <c r="G1" s="12"/>
      <c r="H1" s="12"/>
    </row>
    <row r="2" s="3" customFormat="1" ht="16.5" spans="1:8">
      <c r="A2" s="13" t="s">
        <v>1</v>
      </c>
      <c r="B2" s="13" t="s">
        <v>51</v>
      </c>
      <c r="C2" s="13" t="s">
        <v>86</v>
      </c>
      <c r="D2" s="13" t="s">
        <v>87</v>
      </c>
      <c r="E2" s="13" t="s">
        <v>88</v>
      </c>
      <c r="F2" s="13" t="s">
        <v>89</v>
      </c>
      <c r="G2" s="13" t="s">
        <v>90</v>
      </c>
      <c r="H2" s="14" t="s">
        <v>6</v>
      </c>
    </row>
    <row r="3" s="3" customFormat="1" ht="16.5" spans="1:8">
      <c r="A3" s="34">
        <v>1</v>
      </c>
      <c r="B3" s="34" t="s">
        <v>245</v>
      </c>
      <c r="C3" s="35" t="s">
        <v>246</v>
      </c>
      <c r="D3" s="36" t="s">
        <v>173</v>
      </c>
      <c r="E3" s="36">
        <v>89.1</v>
      </c>
      <c r="F3" s="36">
        <v>60</v>
      </c>
      <c r="G3" s="37">
        <f t="shared" ref="G3:G11" si="0">F3*E3</f>
        <v>5346</v>
      </c>
      <c r="H3" s="38"/>
    </row>
    <row r="4" s="3" customFormat="1" ht="16.5" spans="1:8">
      <c r="A4" s="39"/>
      <c r="B4" s="39"/>
      <c r="C4" s="35" t="s">
        <v>247</v>
      </c>
      <c r="D4" s="36" t="s">
        <v>91</v>
      </c>
      <c r="E4" s="36">
        <v>1</v>
      </c>
      <c r="F4" s="36">
        <v>3500</v>
      </c>
      <c r="G4" s="37">
        <f t="shared" si="0"/>
        <v>3500</v>
      </c>
      <c r="H4" s="38"/>
    </row>
    <row r="5" s="3" customFormat="1" ht="16.5" spans="1:8">
      <c r="A5" s="39"/>
      <c r="B5" s="39"/>
      <c r="C5" s="35" t="s">
        <v>248</v>
      </c>
      <c r="D5" s="36" t="s">
        <v>91</v>
      </c>
      <c r="E5" s="36">
        <v>1</v>
      </c>
      <c r="F5" s="42">
        <v>4300</v>
      </c>
      <c r="G5" s="37">
        <f t="shared" si="0"/>
        <v>4300</v>
      </c>
      <c r="H5" s="41"/>
    </row>
    <row r="6" s="3" customFormat="1" ht="37" customHeight="1" spans="1:8">
      <c r="A6" s="39"/>
      <c r="B6" s="39"/>
      <c r="C6" s="13" t="s">
        <v>249</v>
      </c>
      <c r="D6" s="13" t="s">
        <v>109</v>
      </c>
      <c r="E6" s="36">
        <v>24</v>
      </c>
      <c r="F6" s="42">
        <v>120</v>
      </c>
      <c r="G6" s="37">
        <f t="shared" si="0"/>
        <v>2880</v>
      </c>
      <c r="H6" s="41" t="s">
        <v>250</v>
      </c>
    </row>
    <row r="7" s="3" customFormat="1" ht="16.5" spans="1:8">
      <c r="A7" s="39"/>
      <c r="B7" s="39"/>
      <c r="C7" s="35" t="s">
        <v>251</v>
      </c>
      <c r="D7" s="13" t="s">
        <v>179</v>
      </c>
      <c r="E7" s="36">
        <v>4</v>
      </c>
      <c r="F7" s="42">
        <v>200</v>
      </c>
      <c r="G7" s="37">
        <f t="shared" si="0"/>
        <v>800</v>
      </c>
      <c r="H7" s="41" t="s">
        <v>252</v>
      </c>
    </row>
    <row r="8" s="3" customFormat="1" ht="16.5" spans="1:8">
      <c r="A8" s="34">
        <v>2</v>
      </c>
      <c r="B8" s="34" t="s">
        <v>253</v>
      </c>
      <c r="C8" s="44" t="s">
        <v>254</v>
      </c>
      <c r="D8" s="36" t="s">
        <v>102</v>
      </c>
      <c r="E8" s="13">
        <f>3.5*26</f>
        <v>91</v>
      </c>
      <c r="F8" s="42">
        <v>240</v>
      </c>
      <c r="G8" s="37">
        <f t="shared" si="0"/>
        <v>21840</v>
      </c>
      <c r="H8" s="44" t="s">
        <v>100</v>
      </c>
    </row>
    <row r="9" s="3" customFormat="1" ht="16.5" spans="1:8">
      <c r="A9" s="39"/>
      <c r="B9" s="39"/>
      <c r="C9" s="45" t="s">
        <v>255</v>
      </c>
      <c r="D9" s="36" t="s">
        <v>219</v>
      </c>
      <c r="E9" s="13">
        <v>5</v>
      </c>
      <c r="F9" s="42">
        <v>200</v>
      </c>
      <c r="G9" s="37">
        <f t="shared" si="0"/>
        <v>1000</v>
      </c>
      <c r="H9" s="44"/>
    </row>
    <row r="10" s="3" customFormat="1" ht="36" spans="1:8">
      <c r="A10" s="39"/>
      <c r="B10" s="39"/>
      <c r="C10" s="8" t="s">
        <v>256</v>
      </c>
      <c r="D10" s="36" t="s">
        <v>91</v>
      </c>
      <c r="E10" s="13">
        <v>1</v>
      </c>
      <c r="F10" s="42">
        <v>3780</v>
      </c>
      <c r="G10" s="37">
        <f t="shared" si="0"/>
        <v>3780</v>
      </c>
      <c r="H10" s="53" t="s">
        <v>257</v>
      </c>
    </row>
    <row r="11" s="3" customFormat="1" ht="46" customHeight="1" spans="1:8">
      <c r="A11" s="39"/>
      <c r="B11" s="39"/>
      <c r="C11" s="54" t="s">
        <v>258</v>
      </c>
      <c r="D11" s="36" t="s">
        <v>173</v>
      </c>
      <c r="E11" s="13">
        <v>73.86</v>
      </c>
      <c r="F11" s="42">
        <v>40</v>
      </c>
      <c r="G11" s="37">
        <f t="shared" si="0"/>
        <v>2954.4</v>
      </c>
      <c r="H11" s="53" t="s">
        <v>259</v>
      </c>
    </row>
    <row r="12" s="3" customFormat="1" ht="16.5" spans="1:8">
      <c r="A12" s="13">
        <v>5</v>
      </c>
      <c r="B12" s="13" t="s">
        <v>120</v>
      </c>
      <c r="C12" s="35"/>
      <c r="D12" s="13"/>
      <c r="E12" s="13"/>
      <c r="F12" s="13"/>
      <c r="G12" s="50">
        <f>SUM(G3:G11)</f>
        <v>46400.4</v>
      </c>
      <c r="H12" s="13"/>
    </row>
    <row r="13" s="3" customFormat="1" ht="16.5" spans="1:8">
      <c r="A13" s="13">
        <v>6</v>
      </c>
      <c r="B13" s="51" t="s">
        <v>183</v>
      </c>
      <c r="C13" s="52"/>
      <c r="D13" s="38"/>
      <c r="E13" s="38"/>
      <c r="F13" s="38"/>
      <c r="G13" s="14">
        <v>46400</v>
      </c>
      <c r="H13" s="38"/>
    </row>
    <row r="14" s="3" customFormat="1" spans="2:5">
      <c r="B14" s="3" t="s">
        <v>123</v>
      </c>
      <c r="C14" s="3"/>
      <c r="D14" s="3"/>
      <c r="E14" s="3" t="s">
        <v>124</v>
      </c>
    </row>
    <row r="15" s="3" customFormat="1" spans="2:5">
      <c r="B15" s="3" t="s">
        <v>184</v>
      </c>
      <c r="C15" s="3"/>
      <c r="D15" s="3"/>
      <c r="E15" s="3" t="s">
        <v>184</v>
      </c>
    </row>
  </sheetData>
  <mergeCells count="6">
    <mergeCell ref="A1:H1"/>
    <mergeCell ref="B13:C13"/>
    <mergeCell ref="A3:A7"/>
    <mergeCell ref="A8:A11"/>
    <mergeCell ref="B3:B7"/>
    <mergeCell ref="B8:B1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H8" sqref="H8"/>
    </sheetView>
  </sheetViews>
  <sheetFormatPr defaultColWidth="9" defaultRowHeight="14.25"/>
  <cols>
    <col min="1" max="1" width="4" style="3" customWidth="1"/>
    <col min="2" max="2" width="7.60833333333333" style="3" customWidth="1"/>
    <col min="3" max="3" width="25.75" style="3" customWidth="1"/>
    <col min="4" max="4" width="6.40833333333333" style="3" customWidth="1"/>
    <col min="5" max="5" width="6.375" style="3" customWidth="1"/>
    <col min="6" max="6" width="9.675" style="3" customWidth="1"/>
    <col min="7" max="7" width="8.69166666666667" style="3" customWidth="1"/>
    <col min="8" max="8" width="20.125" style="3" customWidth="1"/>
    <col min="9" max="9" width="12.625" style="3"/>
    <col min="10" max="16384" width="9" style="3"/>
  </cols>
  <sheetData>
    <row r="1" s="3" customFormat="1" ht="41" customHeight="1" spans="1:8">
      <c r="A1" s="12" t="s">
        <v>260</v>
      </c>
      <c r="B1" s="12"/>
      <c r="C1" s="12"/>
      <c r="D1" s="12"/>
      <c r="E1" s="12"/>
      <c r="F1" s="12"/>
      <c r="G1" s="12"/>
      <c r="H1" s="12"/>
    </row>
    <row r="2" s="3" customFormat="1" ht="16.5" spans="1:8">
      <c r="A2" s="13" t="s">
        <v>1</v>
      </c>
      <c r="B2" s="13" t="s">
        <v>51</v>
      </c>
      <c r="C2" s="13" t="s">
        <v>86</v>
      </c>
      <c r="D2" s="13" t="s">
        <v>87</v>
      </c>
      <c r="E2" s="13" t="s">
        <v>88</v>
      </c>
      <c r="F2" s="13" t="s">
        <v>89</v>
      </c>
      <c r="G2" s="13" t="s">
        <v>90</v>
      </c>
      <c r="H2" s="14" t="s">
        <v>6</v>
      </c>
    </row>
    <row r="3" s="3" customFormat="1" ht="33" spans="1:8">
      <c r="A3" s="34">
        <v>1</v>
      </c>
      <c r="B3" s="34" t="s">
        <v>261</v>
      </c>
      <c r="C3" s="35" t="s">
        <v>262</v>
      </c>
      <c r="D3" s="36" t="s">
        <v>102</v>
      </c>
      <c r="E3" s="36">
        <v>22.36</v>
      </c>
      <c r="F3" s="36">
        <v>11</v>
      </c>
      <c r="G3" s="37">
        <f t="shared" ref="G3:G7" si="0">F3*E3</f>
        <v>246</v>
      </c>
      <c r="H3" s="38"/>
    </row>
    <row r="4" s="3" customFormat="1" ht="33" spans="1:8">
      <c r="A4" s="39"/>
      <c r="B4" s="39"/>
      <c r="C4" s="35" t="s">
        <v>263</v>
      </c>
      <c r="D4" s="36" t="s">
        <v>102</v>
      </c>
      <c r="E4" s="36">
        <v>22.36</v>
      </c>
      <c r="F4" s="36">
        <v>41</v>
      </c>
      <c r="G4" s="37">
        <f t="shared" si="0"/>
        <v>916.8</v>
      </c>
      <c r="H4" s="38"/>
    </row>
    <row r="5" s="3" customFormat="1" ht="16.5" spans="1:8">
      <c r="A5" s="39"/>
      <c r="B5" s="39"/>
      <c r="C5" s="35" t="s">
        <v>264</v>
      </c>
      <c r="D5" s="36" t="s">
        <v>102</v>
      </c>
      <c r="E5" s="36">
        <v>23.99</v>
      </c>
      <c r="F5" s="40">
        <f>220/240*200</f>
        <v>183.33</v>
      </c>
      <c r="G5" s="37">
        <f t="shared" si="0"/>
        <v>4398.1</v>
      </c>
      <c r="H5" s="41"/>
    </row>
    <row r="6" s="3" customFormat="1" ht="16.5" spans="1:8">
      <c r="A6" s="39"/>
      <c r="B6" s="39"/>
      <c r="C6" s="35" t="s">
        <v>265</v>
      </c>
      <c r="D6" s="36" t="s">
        <v>102</v>
      </c>
      <c r="E6" s="36">
        <v>39.14</v>
      </c>
      <c r="F6" s="42">
        <v>22</v>
      </c>
      <c r="G6" s="37">
        <f t="shared" si="0"/>
        <v>861.1</v>
      </c>
      <c r="H6" s="41"/>
    </row>
    <row r="7" s="3" customFormat="1" ht="16.5" spans="1:8">
      <c r="A7" s="39"/>
      <c r="B7" s="39"/>
      <c r="C7" s="35" t="s">
        <v>266</v>
      </c>
      <c r="D7" s="13" t="s">
        <v>91</v>
      </c>
      <c r="E7" s="36">
        <v>1</v>
      </c>
      <c r="F7" s="42">
        <v>4450</v>
      </c>
      <c r="G7" s="37">
        <f t="shared" si="0"/>
        <v>4450</v>
      </c>
      <c r="H7" s="41"/>
    </row>
    <row r="8" s="3" customFormat="1" ht="16.5" spans="1:8">
      <c r="A8" s="39"/>
      <c r="B8" s="39"/>
      <c r="C8" s="43" t="s">
        <v>267</v>
      </c>
      <c r="D8" s="13" t="s">
        <v>91</v>
      </c>
      <c r="E8" s="36">
        <v>1</v>
      </c>
      <c r="F8" s="42">
        <v>5300</v>
      </c>
      <c r="G8" s="37">
        <f t="shared" ref="G8:G10" si="1">E8*F8</f>
        <v>5300</v>
      </c>
      <c r="H8" s="41"/>
    </row>
    <row r="9" s="3" customFormat="1" ht="16.5" spans="1:8">
      <c r="A9" s="39"/>
      <c r="B9" s="39"/>
      <c r="C9" s="35" t="s">
        <v>268</v>
      </c>
      <c r="D9" s="13" t="s">
        <v>91</v>
      </c>
      <c r="E9" s="36">
        <v>1</v>
      </c>
      <c r="F9" s="42">
        <v>8200</v>
      </c>
      <c r="G9" s="37">
        <f t="shared" si="1"/>
        <v>8200</v>
      </c>
      <c r="H9" s="41"/>
    </row>
    <row r="10" s="3" customFormat="1" ht="16.5" spans="1:8">
      <c r="A10" s="39"/>
      <c r="B10" s="39"/>
      <c r="C10" s="35" t="s">
        <v>269</v>
      </c>
      <c r="D10" s="13" t="s">
        <v>91</v>
      </c>
      <c r="E10" s="36">
        <v>1</v>
      </c>
      <c r="F10" s="42">
        <v>1000</v>
      </c>
      <c r="G10" s="37">
        <f t="shared" si="1"/>
        <v>1000</v>
      </c>
      <c r="H10" s="41"/>
    </row>
    <row r="11" s="3" customFormat="1" ht="16.5" spans="1:8">
      <c r="A11" s="39"/>
      <c r="B11" s="39"/>
      <c r="C11" s="35" t="s">
        <v>270</v>
      </c>
      <c r="D11" s="13" t="s">
        <v>271</v>
      </c>
      <c r="E11" s="36">
        <f>G7+G8+G9+G10</f>
        <v>18950</v>
      </c>
      <c r="F11" s="42">
        <v>0.08</v>
      </c>
      <c r="G11" s="37">
        <f>F11*E11</f>
        <v>1516</v>
      </c>
      <c r="H11" s="41"/>
    </row>
    <row r="12" s="3" customFormat="1" ht="26" customHeight="1" spans="1:8">
      <c r="A12" s="39"/>
      <c r="B12" s="39"/>
      <c r="C12" s="43" t="s">
        <v>272</v>
      </c>
      <c r="D12" s="13" t="s">
        <v>91</v>
      </c>
      <c r="E12" s="36">
        <v>1</v>
      </c>
      <c r="F12" s="42">
        <v>1000</v>
      </c>
      <c r="G12" s="37">
        <f t="shared" ref="G12:G18" si="2">E12*F12</f>
        <v>1000</v>
      </c>
      <c r="H12" s="41" t="s">
        <v>273</v>
      </c>
    </row>
    <row r="13" s="3" customFormat="1" ht="16.5" spans="1:8">
      <c r="A13" s="34">
        <v>2</v>
      </c>
      <c r="B13" s="34" t="s">
        <v>274</v>
      </c>
      <c r="C13" s="44" t="s">
        <v>275</v>
      </c>
      <c r="D13" s="13" t="s">
        <v>91</v>
      </c>
      <c r="E13" s="13">
        <v>1</v>
      </c>
      <c r="F13" s="42">
        <v>5000</v>
      </c>
      <c r="G13" s="37">
        <f t="shared" si="2"/>
        <v>5000</v>
      </c>
      <c r="H13" s="44"/>
    </row>
    <row r="14" s="3" customFormat="1" ht="16.5" spans="1:8">
      <c r="A14" s="39"/>
      <c r="B14" s="39"/>
      <c r="C14" s="44" t="s">
        <v>276</v>
      </c>
      <c r="D14" s="13" t="s">
        <v>91</v>
      </c>
      <c r="E14" s="13">
        <v>1</v>
      </c>
      <c r="F14" s="42">
        <v>1800</v>
      </c>
      <c r="G14" s="37">
        <f t="shared" si="2"/>
        <v>1800</v>
      </c>
      <c r="H14" s="8"/>
    </row>
    <row r="15" s="3" customFormat="1" ht="16.5" spans="1:10">
      <c r="A15" s="39"/>
      <c r="B15" s="39"/>
      <c r="C15" s="44" t="s">
        <v>277</v>
      </c>
      <c r="D15" s="13" t="s">
        <v>91</v>
      </c>
      <c r="E15" s="13">
        <v>1</v>
      </c>
      <c r="F15" s="42">
        <v>5200</v>
      </c>
      <c r="G15" s="37">
        <f t="shared" si="2"/>
        <v>5200</v>
      </c>
      <c r="H15" s="44"/>
      <c r="J15" s="3" t="s">
        <v>278</v>
      </c>
    </row>
    <row r="16" s="3" customFormat="1" ht="16.5" spans="1:8">
      <c r="A16" s="39"/>
      <c r="B16" s="39"/>
      <c r="C16" s="45" t="s">
        <v>279</v>
      </c>
      <c r="D16" s="13" t="s">
        <v>91</v>
      </c>
      <c r="E16" s="13">
        <v>1</v>
      </c>
      <c r="F16" s="42">
        <v>800</v>
      </c>
      <c r="G16" s="37">
        <f t="shared" si="2"/>
        <v>800</v>
      </c>
      <c r="H16" s="44" t="s">
        <v>149</v>
      </c>
    </row>
    <row r="17" s="3" customFormat="1" ht="16.5" spans="1:8">
      <c r="A17" s="39"/>
      <c r="B17" s="39"/>
      <c r="C17" s="45" t="s">
        <v>280</v>
      </c>
      <c r="D17" s="36" t="s">
        <v>144</v>
      </c>
      <c r="E17" s="13">
        <v>10</v>
      </c>
      <c r="F17" s="42">
        <v>120</v>
      </c>
      <c r="G17" s="37">
        <f t="shared" si="2"/>
        <v>1200</v>
      </c>
      <c r="H17" s="44" t="s">
        <v>149</v>
      </c>
    </row>
    <row r="18" s="3" customFormat="1" ht="16.5" spans="1:8">
      <c r="A18" s="39"/>
      <c r="B18" s="39"/>
      <c r="C18" s="45" t="s">
        <v>280</v>
      </c>
      <c r="D18" s="36" t="s">
        <v>179</v>
      </c>
      <c r="E18" s="13">
        <v>8</v>
      </c>
      <c r="F18" s="42">
        <v>200</v>
      </c>
      <c r="G18" s="37">
        <f t="shared" si="2"/>
        <v>1600</v>
      </c>
      <c r="H18" s="44" t="s">
        <v>149</v>
      </c>
    </row>
    <row r="19" s="3" customFormat="1" ht="16.5" spans="1:8">
      <c r="A19" s="39"/>
      <c r="B19" s="39"/>
      <c r="C19" s="45" t="s">
        <v>281</v>
      </c>
      <c r="D19" s="36" t="s">
        <v>173</v>
      </c>
      <c r="E19" s="13">
        <v>19.6</v>
      </c>
      <c r="F19" s="42">
        <v>25</v>
      </c>
      <c r="G19" s="37">
        <f t="shared" ref="G19:G21" si="3">F19*E19</f>
        <v>490</v>
      </c>
      <c r="H19" s="44" t="s">
        <v>149</v>
      </c>
    </row>
    <row r="20" s="3" customFormat="1" ht="16.5" spans="1:8">
      <c r="A20" s="39"/>
      <c r="B20" s="39"/>
      <c r="C20" s="45" t="s">
        <v>282</v>
      </c>
      <c r="D20" s="36" t="s">
        <v>173</v>
      </c>
      <c r="E20" s="13">
        <v>19.6</v>
      </c>
      <c r="F20" s="42">
        <v>30</v>
      </c>
      <c r="G20" s="37">
        <f t="shared" si="3"/>
        <v>588</v>
      </c>
      <c r="H20" s="44" t="s">
        <v>149</v>
      </c>
    </row>
    <row r="21" s="3" customFormat="1" ht="16.5" spans="1:8">
      <c r="A21" s="39"/>
      <c r="B21" s="39"/>
      <c r="C21" s="46" t="s">
        <v>283</v>
      </c>
      <c r="D21" s="39" t="s">
        <v>144</v>
      </c>
      <c r="E21" s="34">
        <v>8</v>
      </c>
      <c r="F21" s="47">
        <v>120</v>
      </c>
      <c r="G21" s="48">
        <f t="shared" si="3"/>
        <v>960</v>
      </c>
      <c r="H21" s="49" t="s">
        <v>149</v>
      </c>
    </row>
    <row r="22" s="3" customFormat="1" ht="24" spans="1:8">
      <c r="A22" s="34">
        <v>3</v>
      </c>
      <c r="B22" s="34" t="s">
        <v>284</v>
      </c>
      <c r="C22" s="44" t="s">
        <v>285</v>
      </c>
      <c r="D22" s="13"/>
      <c r="E22" s="13"/>
      <c r="F22" s="42"/>
      <c r="G22" s="37"/>
      <c r="H22" s="44"/>
    </row>
    <row r="23" s="3" customFormat="1" ht="16.5" spans="1:8">
      <c r="A23" s="39"/>
      <c r="B23" s="39"/>
      <c r="C23" s="44" t="s">
        <v>286</v>
      </c>
      <c r="D23" s="13" t="s">
        <v>91</v>
      </c>
      <c r="E23" s="13">
        <v>1</v>
      </c>
      <c r="F23" s="42">
        <v>2000</v>
      </c>
      <c r="G23" s="37">
        <f t="shared" ref="G23:G28" si="4">F23*E23</f>
        <v>2000</v>
      </c>
      <c r="H23" s="44" t="s">
        <v>287</v>
      </c>
    </row>
    <row r="24" s="3" customFormat="1" ht="16.5" spans="1:8">
      <c r="A24" s="39"/>
      <c r="B24" s="39"/>
      <c r="C24" s="44" t="s">
        <v>288</v>
      </c>
      <c r="D24" s="13" t="s">
        <v>91</v>
      </c>
      <c r="E24" s="13">
        <v>1</v>
      </c>
      <c r="F24" s="42">
        <v>4000</v>
      </c>
      <c r="G24" s="37">
        <f t="shared" si="4"/>
        <v>4000</v>
      </c>
      <c r="H24" s="44" t="s">
        <v>287</v>
      </c>
    </row>
    <row r="25" s="3" customFormat="1" ht="16.5" spans="1:8">
      <c r="A25" s="39"/>
      <c r="B25" s="39"/>
      <c r="C25" s="44" t="s">
        <v>289</v>
      </c>
      <c r="D25" s="13" t="s">
        <v>91</v>
      </c>
      <c r="E25" s="13">
        <v>1</v>
      </c>
      <c r="F25" s="42">
        <v>6000</v>
      </c>
      <c r="G25" s="37">
        <f t="shared" si="4"/>
        <v>6000</v>
      </c>
      <c r="H25" s="44" t="s">
        <v>287</v>
      </c>
    </row>
    <row r="26" s="3" customFormat="1" ht="16.5" spans="1:8">
      <c r="A26" s="39"/>
      <c r="B26" s="39"/>
      <c r="C26" s="44" t="s">
        <v>290</v>
      </c>
      <c r="D26" s="13" t="s">
        <v>91</v>
      </c>
      <c r="E26" s="13">
        <v>1</v>
      </c>
      <c r="F26" s="42">
        <v>4000</v>
      </c>
      <c r="G26" s="37">
        <f t="shared" si="4"/>
        <v>4000</v>
      </c>
      <c r="H26" s="44" t="s">
        <v>287</v>
      </c>
    </row>
    <row r="27" s="3" customFormat="1" ht="16.5" spans="1:8">
      <c r="A27" s="39"/>
      <c r="B27" s="39"/>
      <c r="C27" s="44" t="s">
        <v>291</v>
      </c>
      <c r="D27" s="13" t="s">
        <v>91</v>
      </c>
      <c r="E27" s="13">
        <v>1</v>
      </c>
      <c r="F27" s="42">
        <v>4500</v>
      </c>
      <c r="G27" s="37">
        <f t="shared" si="4"/>
        <v>4500</v>
      </c>
      <c r="H27" s="44" t="s">
        <v>287</v>
      </c>
    </row>
    <row r="28" s="3" customFormat="1" ht="16.5" spans="1:8">
      <c r="A28" s="36"/>
      <c r="B28" s="36"/>
      <c r="C28" s="44" t="s">
        <v>292</v>
      </c>
      <c r="D28" s="13" t="s">
        <v>91</v>
      </c>
      <c r="E28" s="13">
        <v>1</v>
      </c>
      <c r="F28" s="42">
        <v>16000</v>
      </c>
      <c r="G28" s="37">
        <f t="shared" si="4"/>
        <v>16000</v>
      </c>
      <c r="H28" s="44" t="s">
        <v>287</v>
      </c>
    </row>
    <row r="29" s="3" customFormat="1" ht="16.5" spans="1:8">
      <c r="A29" s="13">
        <v>4</v>
      </c>
      <c r="B29" s="13" t="s">
        <v>120</v>
      </c>
      <c r="C29" s="35"/>
      <c r="D29" s="13"/>
      <c r="E29" s="13"/>
      <c r="F29" s="13"/>
      <c r="G29" s="50">
        <f>SUM(G3:G28)</f>
        <v>82026</v>
      </c>
      <c r="H29" s="13"/>
    </row>
    <row r="30" s="3" customFormat="1" ht="16.5" spans="1:8">
      <c r="A30" s="13">
        <v>5</v>
      </c>
      <c r="B30" s="51" t="s">
        <v>183</v>
      </c>
      <c r="C30" s="52"/>
      <c r="D30" s="38"/>
      <c r="E30" s="38"/>
      <c r="F30" s="38"/>
      <c r="G30" s="14">
        <v>82000</v>
      </c>
      <c r="H30" s="38"/>
    </row>
    <row r="31" s="3" customFormat="1" spans="2:9">
      <c r="B31" s="3" t="s">
        <v>123</v>
      </c>
      <c r="C31" s="3"/>
      <c r="D31" s="3"/>
      <c r="E31" s="3" t="s">
        <v>124</v>
      </c>
      <c r="F31" s="3"/>
      <c r="G31" s="3"/>
      <c r="H31" s="3"/>
      <c r="I31" s="3" t="s">
        <v>293</v>
      </c>
    </row>
    <row r="32" s="3" customFormat="1" spans="2:5">
      <c r="B32" s="3" t="s">
        <v>184</v>
      </c>
      <c r="C32" s="3"/>
      <c r="D32" s="3"/>
      <c r="E32" s="3" t="s">
        <v>184</v>
      </c>
    </row>
  </sheetData>
  <mergeCells count="8">
    <mergeCell ref="A1:H1"/>
    <mergeCell ref="B30:C30"/>
    <mergeCell ref="A3:A12"/>
    <mergeCell ref="A13:A21"/>
    <mergeCell ref="A22:A28"/>
    <mergeCell ref="B3:B12"/>
    <mergeCell ref="B13:B21"/>
    <mergeCell ref="B22:B28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opLeftCell="A10" workbookViewId="0">
      <selection activeCell="H21" sqref="H21"/>
    </sheetView>
  </sheetViews>
  <sheetFormatPr defaultColWidth="9" defaultRowHeight="14.25" outlineLevelCol="7"/>
  <cols>
    <col min="1" max="2" width="9" style="3"/>
    <col min="3" max="3" width="25.5" style="3" customWidth="1"/>
    <col min="4" max="16384" width="9" style="3"/>
  </cols>
  <sheetData>
    <row r="1" ht="52" customHeight="1" spans="1:8">
      <c r="A1" s="12" t="s">
        <v>294</v>
      </c>
      <c r="B1" s="12"/>
      <c r="C1" s="12"/>
      <c r="D1" s="12"/>
      <c r="E1" s="12"/>
      <c r="F1" s="12"/>
      <c r="G1" s="12"/>
      <c r="H1" s="12"/>
    </row>
    <row r="2" ht="16.5" spans="1:8">
      <c r="A2" s="13" t="s">
        <v>1</v>
      </c>
      <c r="B2" s="13" t="s">
        <v>51</v>
      </c>
      <c r="C2" s="13" t="s">
        <v>86</v>
      </c>
      <c r="D2" s="13" t="s">
        <v>87</v>
      </c>
      <c r="E2" s="13" t="s">
        <v>88</v>
      </c>
      <c r="F2" s="13" t="s">
        <v>89</v>
      </c>
      <c r="G2" s="13" t="s">
        <v>90</v>
      </c>
      <c r="H2" s="14" t="s">
        <v>6</v>
      </c>
    </row>
    <row r="3" spans="1:8">
      <c r="A3" s="15">
        <v>1</v>
      </c>
      <c r="B3" s="15" t="s">
        <v>295</v>
      </c>
      <c r="C3" s="16" t="s">
        <v>296</v>
      </c>
      <c r="D3" s="17" t="s">
        <v>91</v>
      </c>
      <c r="E3" s="17">
        <v>1</v>
      </c>
      <c r="F3" s="17">
        <v>5500</v>
      </c>
      <c r="G3" s="18">
        <f t="shared" ref="G3:G16" si="0">F3*E3</f>
        <v>5500</v>
      </c>
      <c r="H3" s="19"/>
    </row>
    <row r="4" spans="1:8">
      <c r="A4" s="20"/>
      <c r="B4" s="20"/>
      <c r="C4" s="16" t="s">
        <v>297</v>
      </c>
      <c r="D4" s="17" t="s">
        <v>91</v>
      </c>
      <c r="E4" s="17">
        <v>1</v>
      </c>
      <c r="F4" s="17">
        <v>15000</v>
      </c>
      <c r="G4" s="18">
        <f t="shared" si="0"/>
        <v>15000</v>
      </c>
      <c r="H4" s="19"/>
    </row>
    <row r="5" spans="1:8">
      <c r="A5" s="20"/>
      <c r="B5" s="20"/>
      <c r="C5" s="16" t="s">
        <v>298</v>
      </c>
      <c r="D5" s="17" t="s">
        <v>91</v>
      </c>
      <c r="E5" s="17">
        <v>1</v>
      </c>
      <c r="F5" s="21">
        <v>5000</v>
      </c>
      <c r="G5" s="18">
        <f t="shared" si="0"/>
        <v>5000</v>
      </c>
      <c r="H5" s="22"/>
    </row>
    <row r="6" ht="33.75" spans="1:8">
      <c r="A6" s="15">
        <v>2</v>
      </c>
      <c r="B6" s="15" t="s">
        <v>299</v>
      </c>
      <c r="C6" s="31" t="s">
        <v>300</v>
      </c>
      <c r="D6" s="24" t="s">
        <v>144</v>
      </c>
      <c r="E6" s="24">
        <v>5</v>
      </c>
      <c r="F6" s="25">
        <v>120</v>
      </c>
      <c r="G6" s="18">
        <f t="shared" si="0"/>
        <v>600</v>
      </c>
      <c r="H6" s="26" t="s">
        <v>301</v>
      </c>
    </row>
    <row r="7" ht="33.75" spans="1:8">
      <c r="A7" s="20"/>
      <c r="B7" s="20"/>
      <c r="C7" s="32"/>
      <c r="D7" s="24" t="s">
        <v>179</v>
      </c>
      <c r="E7" s="24">
        <v>11</v>
      </c>
      <c r="F7" s="25">
        <v>200</v>
      </c>
      <c r="G7" s="18">
        <f t="shared" si="0"/>
        <v>2200</v>
      </c>
      <c r="H7" s="26" t="s">
        <v>301</v>
      </c>
    </row>
    <row r="8" spans="1:8">
      <c r="A8" s="20"/>
      <c r="B8" s="20"/>
      <c r="C8" s="32" t="s">
        <v>302</v>
      </c>
      <c r="D8" s="17" t="s">
        <v>91</v>
      </c>
      <c r="E8" s="17">
        <v>1</v>
      </c>
      <c r="F8" s="25">
        <v>18484</v>
      </c>
      <c r="G8" s="18">
        <f t="shared" si="0"/>
        <v>18484</v>
      </c>
      <c r="H8" s="26"/>
    </row>
    <row r="9" spans="1:8">
      <c r="A9" s="20"/>
      <c r="B9" s="20"/>
      <c r="C9" s="26" t="s">
        <v>303</v>
      </c>
      <c r="D9" s="17" t="s">
        <v>91</v>
      </c>
      <c r="E9" s="17">
        <v>1</v>
      </c>
      <c r="F9" s="21">
        <v>13838</v>
      </c>
      <c r="G9" s="18">
        <f t="shared" si="0"/>
        <v>13838</v>
      </c>
      <c r="H9" s="26"/>
    </row>
    <row r="10" spans="1:8">
      <c r="A10" s="20"/>
      <c r="B10" s="20"/>
      <c r="C10" s="33" t="s">
        <v>304</v>
      </c>
      <c r="D10" s="17" t="s">
        <v>102</v>
      </c>
      <c r="E10" s="17">
        <v>7.7</v>
      </c>
      <c r="F10" s="21">
        <v>220</v>
      </c>
      <c r="G10" s="18">
        <f t="shared" si="0"/>
        <v>1694</v>
      </c>
      <c r="H10" s="26"/>
    </row>
    <row r="11" spans="1:8">
      <c r="A11" s="20"/>
      <c r="B11" s="20"/>
      <c r="C11" s="33" t="s">
        <v>305</v>
      </c>
      <c r="D11" s="17" t="s">
        <v>102</v>
      </c>
      <c r="E11" s="17">
        <v>8.46</v>
      </c>
      <c r="F11" s="21">
        <v>22</v>
      </c>
      <c r="G11" s="18">
        <f t="shared" si="0"/>
        <v>186.1</v>
      </c>
      <c r="H11" s="26"/>
    </row>
    <row r="12" spans="1:8">
      <c r="A12" s="20"/>
      <c r="B12" s="20"/>
      <c r="C12" s="33" t="s">
        <v>306</v>
      </c>
      <c r="D12" s="17" t="s">
        <v>102</v>
      </c>
      <c r="E12" s="17">
        <v>99.63</v>
      </c>
      <c r="F12" s="21">
        <v>50</v>
      </c>
      <c r="G12" s="18">
        <f t="shared" si="0"/>
        <v>4981.5</v>
      </c>
      <c r="H12" s="26"/>
    </row>
    <row r="13" spans="1:8">
      <c r="A13" s="20"/>
      <c r="B13" s="20"/>
      <c r="C13" s="33" t="s">
        <v>307</v>
      </c>
      <c r="D13" s="17" t="s">
        <v>91</v>
      </c>
      <c r="E13" s="17">
        <v>1</v>
      </c>
      <c r="F13" s="21">
        <v>15750</v>
      </c>
      <c r="G13" s="18">
        <f t="shared" si="0"/>
        <v>15750</v>
      </c>
      <c r="H13" s="26"/>
    </row>
    <row r="14" ht="22.5" spans="1:8">
      <c r="A14" s="20"/>
      <c r="B14" s="20"/>
      <c r="C14" s="33" t="s">
        <v>308</v>
      </c>
      <c r="D14" s="17" t="s">
        <v>117</v>
      </c>
      <c r="E14" s="24">
        <v>5</v>
      </c>
      <c r="F14" s="25">
        <v>80</v>
      </c>
      <c r="G14" s="18">
        <f t="shared" si="0"/>
        <v>400</v>
      </c>
      <c r="H14" s="26"/>
    </row>
    <row r="15" spans="1:8">
      <c r="A15" s="15">
        <v>3</v>
      </c>
      <c r="B15" s="15" t="s">
        <v>309</v>
      </c>
      <c r="C15" s="26" t="s">
        <v>310</v>
      </c>
      <c r="D15" s="24" t="s">
        <v>91</v>
      </c>
      <c r="E15" s="24">
        <v>1</v>
      </c>
      <c r="F15" s="25">
        <v>4320</v>
      </c>
      <c r="G15" s="18">
        <f t="shared" si="0"/>
        <v>4320</v>
      </c>
      <c r="H15" s="26"/>
    </row>
    <row r="16" spans="1:8">
      <c r="A16" s="20"/>
      <c r="B16" s="20"/>
      <c r="C16" s="26" t="s">
        <v>311</v>
      </c>
      <c r="D16" s="24" t="s">
        <v>91</v>
      </c>
      <c r="E16" s="24">
        <v>1</v>
      </c>
      <c r="F16" s="25">
        <v>2592</v>
      </c>
      <c r="G16" s="18">
        <f t="shared" si="0"/>
        <v>2592</v>
      </c>
      <c r="H16" s="26"/>
    </row>
    <row r="17" spans="1:8">
      <c r="A17" s="24">
        <v>4</v>
      </c>
      <c r="B17" s="24" t="s">
        <v>120</v>
      </c>
      <c r="C17" s="16"/>
      <c r="D17" s="24"/>
      <c r="E17" s="24"/>
      <c r="F17" s="24"/>
      <c r="G17" s="27">
        <f>SUM(G3:G16)</f>
        <v>90545.6</v>
      </c>
      <c r="H17" s="24"/>
    </row>
    <row r="18" spans="1:8">
      <c r="A18" s="24">
        <v>5</v>
      </c>
      <c r="B18" s="28" t="s">
        <v>183</v>
      </c>
      <c r="C18" s="29"/>
      <c r="D18" s="19"/>
      <c r="E18" s="19"/>
      <c r="F18" s="19"/>
      <c r="G18" s="30">
        <v>90000</v>
      </c>
      <c r="H18" s="19"/>
    </row>
    <row r="19" spans="2:5">
      <c r="B19" s="3" t="s">
        <v>123</v>
      </c>
      <c r="E19" s="3" t="s">
        <v>124</v>
      </c>
    </row>
    <row r="20" spans="2:5">
      <c r="B20" s="3" t="s">
        <v>184</v>
      </c>
      <c r="E20" s="3" t="s">
        <v>184</v>
      </c>
    </row>
  </sheetData>
  <mergeCells count="9">
    <mergeCell ref="A1:H1"/>
    <mergeCell ref="B18:C18"/>
    <mergeCell ref="A3:A5"/>
    <mergeCell ref="A6:A14"/>
    <mergeCell ref="A15:A16"/>
    <mergeCell ref="B3:B5"/>
    <mergeCell ref="B6:B14"/>
    <mergeCell ref="B15:B16"/>
    <mergeCell ref="C6:C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2资料存档目录</vt:lpstr>
      <vt:lpstr>3、结算汇总表</vt:lpstr>
      <vt:lpstr>4、各月结算明细</vt:lpstr>
      <vt:lpstr>4 、2024年度8月份</vt:lpstr>
      <vt:lpstr>2024年10月</vt:lpstr>
      <vt:lpstr>2024年11月</vt:lpstr>
      <vt:lpstr>2025年2月</vt:lpstr>
      <vt:lpstr>2025年3月</vt:lpstr>
      <vt:lpstr>2025年4月</vt:lpstr>
      <vt:lpstr>2025年5月</vt:lpstr>
      <vt:lpstr>派发单001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张磊</cp:lastModifiedBy>
  <dcterms:created xsi:type="dcterms:W3CDTF">2013-11-22T07:50:00Z</dcterms:created>
  <cp:lastPrinted>2019-10-18T09:13:00Z</cp:lastPrinted>
  <dcterms:modified xsi:type="dcterms:W3CDTF">2025-09-04T08:46:45Z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266E0DD2104849DCA6370F130AB78C4C_13</vt:lpwstr>
  </property>
</Properties>
</file>