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10" activeTab="2"/>
  </bookViews>
  <sheets>
    <sheet name="目录" sheetId="3" r:id="rId1"/>
    <sheet name="结算汇总表" sheetId="4" r:id="rId2"/>
    <sheet name="结算明细" sheetId="2" r:id="rId3"/>
    <sheet name="计算底稿" sheetId="5" r:id="rId4"/>
    <sheet name="扣款明细" sheetId="6" r:id="rId5"/>
  </sheets>
  <externalReferences>
    <externalReference r:id="rId6"/>
    <externalReference r:id="rId7"/>
    <externalReference r:id="rId8"/>
  </externalReferences>
  <definedNames>
    <definedName name="_xlnm._FilterDatabase" localSheetId="3" hidden="1">计算底稿!$A$2:$O$53</definedName>
    <definedName name="a">EVALUATE([1]计算底稿!$D:$D)</definedName>
    <definedName name="aa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<sst xmlns="http://schemas.openxmlformats.org/spreadsheetml/2006/main" count="387" uniqueCount="182">
  <si>
    <t>栾川山水文苑项目s1地块入户门制作及安装合同结算结算资料存档目录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</si>
  <si>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</si>
  <si>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</si>
  <si>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</si>
  <si>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</si>
  <si>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</si>
  <si>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</si>
  <si>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栾川山水文苑项目s1地块入户门制作及安装合同结算结算审批表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</si>
  <si>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</si>
  <si>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</si>
  <si>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</si>
  <si>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</si>
  <si>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</si>
  <si>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</si>
  <si>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</si>
  <si>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</si>
  <si>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</si>
  <si>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</si>
  <si>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1份6页</t>
  </si>
  <si>
    <t>第5-10页</t>
  </si>
  <si>
    <t>水电费证明</t>
  </si>
  <si>
    <t>第11页</t>
  </si>
  <si>
    <t>结算申请单</t>
  </si>
  <si>
    <t>第12页</t>
  </si>
  <si>
    <t>结算通知书</t>
  </si>
  <si>
    <t>第13页</t>
  </si>
  <si>
    <t>授权委托书</t>
  </si>
  <si>
    <t>第14页</t>
  </si>
  <si>
    <t>工程资料核对确认单</t>
  </si>
  <si>
    <t>1份2页</t>
  </si>
  <si>
    <t>第15页</t>
  </si>
  <si>
    <t>工程往来账目明细</t>
  </si>
  <si>
    <t>第16页</t>
  </si>
  <si>
    <t>验收单</t>
  </si>
  <si>
    <t>第17页</t>
  </si>
  <si>
    <t>签证单1、2</t>
  </si>
  <si>
    <t>1份19页</t>
  </si>
  <si>
    <t>第18-30页</t>
  </si>
  <si>
    <t>工程结算工作交接单</t>
  </si>
  <si>
    <t>第31页</t>
  </si>
  <si>
    <t>栾川山水文苑项目s1地块入户门制作及安装合同审批</t>
  </si>
  <si>
    <t>1份23页</t>
  </si>
  <si>
    <t>一本</t>
  </si>
  <si>
    <t>复印件</t>
  </si>
  <si>
    <t>施工单位报送竣工图</t>
  </si>
  <si>
    <t>若干</t>
  </si>
  <si>
    <t>造价师：</t>
  </si>
  <si>
    <t>日期：</t>
  </si>
  <si>
    <t>栾川山水文苑项目s1地块入户门制作及安装合同结算汇总表</t>
  </si>
  <si>
    <t xml:space="preserve">合同编号：LCS1-JA-060                               合同金额：156420元 </t>
  </si>
  <si>
    <t>合同名称：栾川山水文苑项目s1地块入户门制作及安装合同结算</t>
  </si>
  <si>
    <t>甲    方：栾川县浩德颐康文旅有限公司</t>
  </si>
  <si>
    <t>乙    方：步阳集团有限公司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</si>
  <si>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</si>
  <si>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</si>
  <si>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</si>
  <si>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</si>
  <si>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</si>
  <si>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</si>
  <si>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</si>
  <si>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</si>
  <si>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</si>
  <si>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</si>
  <si>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</si>
  <si>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</si>
  <si>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</si>
  <si>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</si>
  <si>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</si>
  <si>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</si>
  <si>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</si>
  <si>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</si>
  <si>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</si>
  <si>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</si>
  <si>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</si>
  <si>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</si>
  <si>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</si>
  <si>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</si>
  <si>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</si>
  <si>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</si>
  <si>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</si>
  <si>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</si>
  <si>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</si>
  <si>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</si>
  <si>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</si>
  <si>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</si>
  <si>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</si>
  <si>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</si>
  <si>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栾川山水文苑项目S1地块项目入户门制作及安装工程（含指纹锁密码锁）结算明细</t>
  </si>
  <si>
    <t>规格型号</t>
  </si>
  <si>
    <t>单位</t>
  </si>
  <si>
    <t>入户门数</t>
  </si>
  <si>
    <t>综合单价（元）</t>
  </si>
  <si>
    <t>合同内</t>
  </si>
  <si>
    <t>单扇入户门（外开）</t>
  </si>
  <si>
    <t>1、保温隔热安全户门
2、乙级防火门
3、尺寸1100*2100</t>
  </si>
  <si>
    <t>双开子母门（外开）</t>
  </si>
  <si>
    <t>1、保温隔热安全户门
2、乙级防火门
3、尺寸1200*2100</t>
  </si>
  <si>
    <t>双首层负一层入户门（外开）</t>
  </si>
  <si>
    <t>1、乙级防火门
2、尺寸1100*2100</t>
  </si>
  <si>
    <t>1、开门方式：刷卡、指纹、密码、钥匙开门
2、智能语音播报功能等</t>
  </si>
  <si>
    <t>小计</t>
  </si>
  <si>
    <t>合同外</t>
  </si>
  <si>
    <t>签证1</t>
  </si>
  <si>
    <t>20#内开门改为外开</t>
  </si>
  <si>
    <t>项</t>
  </si>
  <si>
    <t>签证2</t>
  </si>
  <si>
    <t>密码锁丢失</t>
  </si>
  <si>
    <t>分摊扣款</t>
  </si>
  <si>
    <t>详见扣款明细</t>
  </si>
  <si>
    <t>安装方式调整扣款</t>
  </si>
  <si>
    <t>安装改为明装</t>
  </si>
  <si>
    <t>樘</t>
  </si>
  <si>
    <t>经协商，扣减50元/樘</t>
  </si>
  <si>
    <t>合计</t>
  </si>
  <si>
    <t>最终结算</t>
  </si>
  <si>
    <t>甲方</t>
  </si>
  <si>
    <t>乙方</t>
  </si>
  <si>
    <t>栾川山水文苑项目s1地块1-3#、5-13#、15-20#楼入户门清单</t>
  </si>
  <si>
    <t>楼号</t>
  </si>
  <si>
    <t>规格尺寸</t>
  </si>
  <si>
    <t>入户门数（樘）</t>
  </si>
  <si>
    <t>负1</t>
  </si>
  <si>
    <t>1层</t>
  </si>
  <si>
    <t>标准层</t>
  </si>
  <si>
    <t>顶层</t>
  </si>
  <si>
    <t>1#</t>
  </si>
  <si>
    <t>HM1221</t>
  </si>
  <si>
    <t>2单元8层</t>
  </si>
  <si>
    <t>密码锁</t>
  </si>
  <si>
    <t>把</t>
  </si>
  <si>
    <t>2#</t>
  </si>
  <si>
    <t>FHM乙1121</t>
  </si>
  <si>
    <t>3单元8层</t>
  </si>
  <si>
    <t>3#</t>
  </si>
  <si>
    <t>FM乙1121</t>
  </si>
  <si>
    <t>5#</t>
  </si>
  <si>
    <t>6#</t>
  </si>
  <si>
    <t>2单元9层</t>
  </si>
  <si>
    <t>7#</t>
  </si>
  <si>
    <t>HFM乙1221</t>
  </si>
  <si>
    <t>设计修改</t>
  </si>
  <si>
    <t>8#</t>
  </si>
  <si>
    <t>HFM乙1121</t>
  </si>
  <si>
    <t>9#</t>
  </si>
  <si>
    <t>10#</t>
  </si>
  <si>
    <t>11#</t>
  </si>
  <si>
    <t>12#</t>
  </si>
  <si>
    <t>HM乙1121</t>
  </si>
  <si>
    <t>2单元13层</t>
  </si>
  <si>
    <t>13#</t>
  </si>
  <si>
    <t>FM甲1121</t>
  </si>
  <si>
    <t>15#</t>
  </si>
  <si>
    <t>FHM乙1221</t>
  </si>
  <si>
    <t>16#</t>
  </si>
  <si>
    <t>17#</t>
  </si>
  <si>
    <t>18#</t>
  </si>
  <si>
    <t>19#</t>
  </si>
  <si>
    <t>20#</t>
  </si>
  <si>
    <t>原样板间门</t>
  </si>
  <si>
    <t xml:space="preserve"> </t>
  </si>
  <si>
    <t>扣款明细表</t>
  </si>
  <si>
    <t>金额</t>
  </si>
  <si>
    <t>扣款内容</t>
  </si>
  <si>
    <t>派发单017（2022年年度零星合同结算（玺尊）合同编号047）</t>
  </si>
  <si>
    <t>派发单及确认单002（2023年玺尊9月份结算）</t>
  </si>
  <si>
    <t>派发单及确认单011（2023年玺尊11月份结算）</t>
  </si>
  <si>
    <t>派发单及确认单010（海南建虹085号合同12月）</t>
  </si>
  <si>
    <t>派发单及确认单026（玺尊2024年7月份结算）</t>
  </si>
  <si>
    <t>派发单及确认单020（海南建虹085号合同2024年5月）</t>
  </si>
  <si>
    <t>派发单及确认单025</t>
  </si>
  <si>
    <t>派发单及确认单028</t>
  </si>
  <si>
    <t>派发单及确认单002（海南建虹104号合同2024年8月）</t>
  </si>
  <si>
    <t>派发单及确认单006（海南建虹104号合同2024年10月）</t>
  </si>
  <si>
    <t>电梯外呼损坏及丢失</t>
  </si>
  <si>
    <t>派发单及确认单004（河南玺尊103号合同2024年10月）</t>
  </si>
  <si>
    <t>补种黄杨篱（西大门临时道路冲洗等原因泡死绿篱）</t>
  </si>
  <si>
    <t>派发单及确认单005（河南玺尊103号合同2024年10月）</t>
  </si>
  <si>
    <t>派发单及确认单009（河南玺尊103号合同2024年10月）</t>
  </si>
  <si>
    <t>派发单及确认单004（海南建虹104号合同2024年11月）</t>
  </si>
  <si>
    <t>临时电缆购买分摊表</t>
  </si>
  <si>
    <t>12#-2单元一层电梯外呼丢失费用分摊表</t>
  </si>
  <si>
    <t>密码锁丢失  签证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</si>
</sst>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#,##0.00&quot;元&quot;"/>
    <numFmt numFmtId="179" formatCode="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12"/>
      <name val="宋体"/>
      <charset val="134"/>
    </font>
    <font>
      <sz val="10"/>
      <color rgb="FF000000"/>
      <name val="微软雅黑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9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wrapText="1"/>
    </xf>
    <xf numFmtId="9" fontId="4" fillId="0" borderId="4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left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9" fontId="4" fillId="0" borderId="4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left" vertical="center" wrapText="1"/>
    </xf>
    <xf numFmtId="177" fontId="15" fillId="0" borderId="0" xfId="0" applyNumberFormat="1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justify" vertical="top" wrapText="1"/>
    </xf>
    <xf numFmtId="176" fontId="18" fillId="0" borderId="4" xfId="0" applyNumberFormat="1" applyFont="1" applyFill="1" applyBorder="1" applyAlignment="1">
      <alignment horizontal="justify" vertical="top" wrapText="1"/>
    </xf>
    <xf numFmtId="176" fontId="18" fillId="0" borderId="4" xfId="0" applyNumberFormat="1" applyFont="1" applyFill="1" applyBorder="1" applyAlignment="1">
      <alignment horizontal="center" vertical="top" wrapText="1"/>
    </xf>
    <xf numFmtId="177" fontId="18" fillId="0" borderId="4" xfId="0" applyNumberFormat="1" applyFont="1" applyFill="1" applyBorder="1" applyAlignment="1">
      <alignment horizontal="justify" vertical="top" wrapText="1"/>
    </xf>
    <xf numFmtId="178" fontId="18" fillId="0" borderId="4" xfId="0" applyNumberFormat="1" applyFont="1" applyFill="1" applyBorder="1" applyAlignment="1">
      <alignment horizontal="justify" vertical="top" wrapText="1"/>
    </xf>
    <xf numFmtId="177" fontId="15" fillId="0" borderId="4" xfId="0" applyNumberFormat="1" applyFont="1" applyFill="1" applyBorder="1" applyAlignment="1">
      <alignment horizontal="left" vertical="top" wrapText="1"/>
    </xf>
    <xf numFmtId="177" fontId="19" fillId="0" borderId="0" xfId="0" applyNumberFormat="1" applyFont="1" applyFill="1" applyAlignment="1">
      <alignment vertical="center" wrapText="1"/>
    </xf>
    <xf numFmtId="177" fontId="20" fillId="0" borderId="0" xfId="0" applyNumberFormat="1" applyFont="1" applyFill="1" applyAlignment="1">
      <alignment horizontal="left" vertical="center"/>
    </xf>
    <xf numFmtId="177" fontId="17" fillId="0" borderId="0" xfId="0" applyNumberFormat="1" applyFont="1" applyFill="1" applyAlignment="1">
      <alignment horizontal="justify" vertical="center"/>
    </xf>
    <xf numFmtId="177" fontId="1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vertical="center"/>
    </xf>
    <xf numFmtId="177" fontId="21" fillId="0" borderId="0" xfId="0" applyNumberFormat="1" applyFont="1" applyFill="1" applyBorder="1" applyAlignment="1">
      <alignment vertical="center"/>
    </xf>
    <xf numFmtId="177" fontId="21" fillId="0" borderId="0" xfId="0" applyNumberFormat="1" applyFont="1" applyFill="1" applyAlignment="1">
      <alignment vertical="center"/>
    </xf>
    <xf numFmtId="177" fontId="22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vertical="center" wrapText="1"/>
    </xf>
    <xf numFmtId="177" fontId="4" fillId="0" borderId="0" xfId="0" applyNumberFormat="1" applyFont="1" applyFill="1" applyAlignment="1">
      <alignment horizontal="left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7" fontId="23" fillId="0" borderId="4" xfId="0" applyNumberFormat="1" applyFont="1" applyFill="1" applyBorder="1" applyAlignment="1">
      <alignment horizontal="center" vertical="center" wrapText="1"/>
    </xf>
    <xf numFmtId="179" fontId="18" fillId="0" borderId="4" xfId="0" applyNumberFormat="1" applyFont="1" applyFill="1" applyBorder="1" applyAlignment="1">
      <alignment horizontal="center" vertical="center" wrapText="1"/>
    </xf>
    <xf numFmtId="177" fontId="0" fillId="0" borderId="4" xfId="22" applyNumberFormat="1" applyFont="1" applyFill="1" applyBorder="1" applyAlignment="1">
      <alignment vertical="center" wrapText="1"/>
    </xf>
    <xf numFmtId="177" fontId="0" fillId="0" borderId="4" xfId="22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2467;&#31639;\s1&#22320;&#22359;&#32467;&#31639;\20#&#27004;&#26679;&#26495;&#38388;&#32467;&#31639;\2024.4.1&#23665;&#27700;&#25991;&#33489;S1&#22320;&#22359;20&#21495;&#27004;&#19996;&#21333;&#20803;&#31934;&#35013;&#26679;&#26495;&#38388;&#32467;&#31639;&#65288;&#19987;&#2623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6827;&#24230;&#27454;\&#20837;&#25143;&#38376;\&#20837;&#25143;&#38376;&#25307;&#26631;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6827;&#24230;&#27454;\&#20837;&#25143;&#38376;\03&#12289;&#20215;&#26684;&#20998;&#26512;&#65288;&#26686;&#24029;&#23665;&#27700;&#25991;&#33489;&#39033;&#30446;S1&#22320;&#22359;&#39033;&#30446;&#20837;&#25143;&#38376;&#21046;&#20316;&#21450;&#23433;&#35013;&#24037;&#31243;&#65288;&#21547;&#25351;&#32441;&#38145;&#23494;&#30721;&#38145;&#6528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汇总表"/>
      <sheetName val="结算明细表"/>
      <sheetName val="户内精装修"/>
      <sheetName val="安装清单（结算）"/>
      <sheetName val="安装清单 (合同)"/>
      <sheetName val="计算底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清单"/>
      <sheetName val="Sheet2"/>
      <sheetName val="Sheet3"/>
    </sheetNames>
    <sheetDataSet>
      <sheetData sheetId="0" refreshError="1"/>
      <sheetData sheetId="1" refreshError="1">
        <row r="2">
          <cell r="D2" t="str">
            <v>规格尺寸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01、价格分析"/>
      <sheetName val="02、工程量统计"/>
    </sheetNames>
    <sheetDataSet>
      <sheetData sheetId="0"/>
      <sheetData sheetId="1"/>
      <sheetData sheetId="2">
        <row r="9">
          <cell r="E9" t="str">
            <v>樘</v>
          </cell>
        </row>
        <row r="10">
          <cell r="C10" t="str">
            <v>密码锁</v>
          </cell>
        </row>
        <row r="10">
          <cell r="E10" t="str">
            <v>把</v>
          </cell>
        </row>
        <row r="11">
          <cell r="E11" t="str">
            <v>樘</v>
          </cell>
        </row>
        <row r="18">
          <cell r="E18" t="str">
            <v>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M3" sqref="M3"/>
    </sheetView>
  </sheetViews>
  <sheetFormatPr defaultColWidth="9" defaultRowHeight="14.25" outlineLevelCol="5"/>
  <cols>
    <col min="1" max="1" width="7.25" style="71" customWidth="1"/>
    <col min="2" max="2" width="37.125" style="72" customWidth="1"/>
    <col min="3" max="3" width="8.875" style="71" customWidth="1"/>
    <col min="4" max="4" width="9.625" style="71" customWidth="1"/>
    <col min="5" max="5" width="13.75" style="72" customWidth="1"/>
    <col min="6" max="6" width="6.5" style="73" customWidth="1"/>
    <col min="7" max="16384" width="9" style="49"/>
  </cols>
  <sheetData>
    <row r="1" s="49" customFormat="1" ht="39" customHeight="1" spans="1:6">
      <c r="A1" s="74" t="s">
        <v>0</v>
      </c>
      <c r="B1" s="74"/>
      <c r="C1" s="74"/>
      <c r="D1" s="74"/>
      <c r="E1" s="74"/>
      <c r="F1" s="74"/>
    </row>
    <row r="2" s="49" customFormat="1" ht="30.75" customHeight="1" spans="1:6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</row>
    <row r="3" s="67" customFormat="1" ht="36" customHeight="1" spans="1:6">
      <c r="A3" s="76">
        <v>1</v>
      </c>
      <c r="B3" s="77" t="s">
        <v>7</v>
      </c>
      <c r="C3" s="78" t="s">
        <v>8</v>
      </c>
      <c r="D3" s="78" t="s">
        <v>9</v>
      </c>
      <c r="E3" s="77" t="s">
        <v>10</v>
      </c>
      <c r="F3" s="77"/>
    </row>
    <row r="4" s="67" customFormat="1" ht="27" customHeight="1" spans="1:6">
      <c r="A4" s="76">
        <v>2</v>
      </c>
      <c r="B4" s="77" t="s">
        <v>11</v>
      </c>
      <c r="C4" s="78" t="s">
        <v>8</v>
      </c>
      <c r="D4" s="78" t="s">
        <v>12</v>
      </c>
      <c r="E4" s="77" t="s">
        <v>10</v>
      </c>
      <c r="F4" s="77"/>
    </row>
    <row r="5" s="67" customFormat="1" ht="27" customHeight="1" spans="1:6">
      <c r="A5" s="76">
        <v>3</v>
      </c>
      <c r="B5" s="77" t="s">
        <v>13</v>
      </c>
      <c r="C5" s="78" t="s">
        <v>8</v>
      </c>
      <c r="D5" s="78" t="s">
        <v>14</v>
      </c>
      <c r="E5" s="77" t="s">
        <v>10</v>
      </c>
      <c r="F5" s="77"/>
    </row>
    <row r="6" s="67" customFormat="1" ht="27" customHeight="1" spans="1:6">
      <c r="A6" s="76">
        <v>4</v>
      </c>
      <c r="B6" s="77" t="s">
        <v>15</v>
      </c>
      <c r="C6" s="78" t="s">
        <v>8</v>
      </c>
      <c r="D6" s="78" t="s">
        <v>16</v>
      </c>
      <c r="E6" s="77" t="s">
        <v>10</v>
      </c>
      <c r="F6" s="77"/>
    </row>
    <row r="7" s="67" customFormat="1" ht="27" customHeight="1" spans="1:6">
      <c r="A7" s="76">
        <v>5</v>
      </c>
      <c r="B7" s="77" t="s">
        <v>17</v>
      </c>
      <c r="C7" s="78" t="s">
        <v>18</v>
      </c>
      <c r="D7" s="78" t="s">
        <v>19</v>
      </c>
      <c r="E7" s="77" t="s">
        <v>10</v>
      </c>
      <c r="F7" s="77"/>
    </row>
    <row r="8" s="67" customFormat="1" ht="27" customHeight="1" spans="1:6">
      <c r="A8" s="76">
        <v>6</v>
      </c>
      <c r="B8" s="77" t="s">
        <v>20</v>
      </c>
      <c r="C8" s="78" t="s">
        <v>8</v>
      </c>
      <c r="D8" s="78" t="s">
        <v>21</v>
      </c>
      <c r="E8" s="77" t="s">
        <v>10</v>
      </c>
      <c r="F8" s="77"/>
    </row>
    <row r="9" s="67" customFormat="1" ht="32.1" customHeight="1" spans="1:6">
      <c r="A9" s="76">
        <v>7</v>
      </c>
      <c r="B9" s="77" t="s">
        <v>22</v>
      </c>
      <c r="C9" s="78" t="s">
        <v>8</v>
      </c>
      <c r="D9" s="78" t="s">
        <v>23</v>
      </c>
      <c r="E9" s="77" t="s">
        <v>10</v>
      </c>
      <c r="F9" s="77"/>
    </row>
    <row r="10" s="67" customFormat="1" ht="32.1" customHeight="1" spans="1:6">
      <c r="A10" s="76">
        <v>8</v>
      </c>
      <c r="B10" s="77" t="s">
        <v>24</v>
      </c>
      <c r="C10" s="78" t="s">
        <v>8</v>
      </c>
      <c r="D10" s="78" t="s">
        <v>25</v>
      </c>
      <c r="E10" s="77" t="s">
        <v>10</v>
      </c>
      <c r="F10" s="77"/>
    </row>
    <row r="11" s="68" customFormat="1" ht="32.1" customHeight="1" spans="1:6">
      <c r="A11" s="76">
        <v>9</v>
      </c>
      <c r="B11" s="77" t="s">
        <v>26</v>
      </c>
      <c r="C11" s="78" t="s">
        <v>8</v>
      </c>
      <c r="D11" s="78" t="s">
        <v>27</v>
      </c>
      <c r="E11" s="77" t="s">
        <v>10</v>
      </c>
      <c r="F11" s="77"/>
    </row>
    <row r="12" s="69" customFormat="1" ht="32.1" customHeight="1" spans="1:6">
      <c r="A12" s="76">
        <v>10</v>
      </c>
      <c r="B12" s="77" t="s">
        <v>28</v>
      </c>
      <c r="C12" s="78" t="s">
        <v>29</v>
      </c>
      <c r="D12" s="78" t="s">
        <v>30</v>
      </c>
      <c r="E12" s="77" t="s">
        <v>10</v>
      </c>
      <c r="F12" s="77"/>
    </row>
    <row r="13" s="69" customFormat="1" ht="32.1" customHeight="1" spans="1:6">
      <c r="A13" s="76">
        <v>11</v>
      </c>
      <c r="B13" s="77" t="s">
        <v>31</v>
      </c>
      <c r="C13" s="78" t="s">
        <v>8</v>
      </c>
      <c r="D13" s="78" t="s">
        <v>32</v>
      </c>
      <c r="E13" s="77" t="s">
        <v>10</v>
      </c>
      <c r="F13" s="77"/>
    </row>
    <row r="14" s="69" customFormat="1" ht="32.1" customHeight="1" spans="1:6">
      <c r="A14" s="76">
        <v>12</v>
      </c>
      <c r="B14" s="77" t="s">
        <v>33</v>
      </c>
      <c r="C14" s="78" t="s">
        <v>8</v>
      </c>
      <c r="D14" s="78" t="s">
        <v>34</v>
      </c>
      <c r="E14" s="77" t="s">
        <v>10</v>
      </c>
      <c r="F14" s="77"/>
    </row>
    <row r="15" s="69" customFormat="1" ht="32.1" customHeight="1" spans="1:6">
      <c r="A15" s="76">
        <v>13</v>
      </c>
      <c r="B15" s="77" t="s">
        <v>35</v>
      </c>
      <c r="C15" s="78" t="s">
        <v>36</v>
      </c>
      <c r="D15" s="78" t="s">
        <v>37</v>
      </c>
      <c r="E15" s="77" t="s">
        <v>10</v>
      </c>
      <c r="F15" s="77"/>
    </row>
    <row r="16" s="69" customFormat="1" ht="32.1" customHeight="1" spans="1:6">
      <c r="A16" s="76">
        <v>14</v>
      </c>
      <c r="B16" s="77" t="s">
        <v>38</v>
      </c>
      <c r="C16" s="78" t="s">
        <v>8</v>
      </c>
      <c r="D16" s="78" t="s">
        <v>39</v>
      </c>
      <c r="E16" s="77" t="s">
        <v>10</v>
      </c>
      <c r="F16" s="77"/>
    </row>
    <row r="17" s="70" customFormat="1" ht="33" customHeight="1" spans="1:6">
      <c r="A17" s="76">
        <v>15</v>
      </c>
      <c r="B17" s="77" t="s">
        <v>40</v>
      </c>
      <c r="C17" s="78" t="s">
        <v>41</v>
      </c>
      <c r="D17" s="78" t="s">
        <v>42</v>
      </c>
      <c r="E17" s="77" t="s">
        <v>43</v>
      </c>
      <c r="F17" s="77"/>
    </row>
    <row r="18" s="70" customFormat="1" ht="33" customHeight="1" spans="1:6">
      <c r="A18" s="76">
        <v>16</v>
      </c>
      <c r="B18" s="77" t="s">
        <v>44</v>
      </c>
      <c r="C18" s="78" t="s">
        <v>45</v>
      </c>
      <c r="D18" s="78"/>
      <c r="E18" s="77"/>
      <c r="F18" s="77"/>
    </row>
    <row r="19" s="49" customFormat="1" ht="33.95" customHeight="1" spans="1:6">
      <c r="A19" s="79" t="s">
        <v>46</v>
      </c>
      <c r="B19" s="79"/>
      <c r="C19" s="79" t="s">
        <v>47</v>
      </c>
      <c r="D19" s="79"/>
      <c r="E19" s="79"/>
      <c r="F19" s="79"/>
    </row>
    <row r="20" s="49" customFormat="1" ht="26.1" customHeight="1" spans="1:6">
      <c r="A20" s="79"/>
      <c r="B20" s="79"/>
      <c r="C20" s="79"/>
      <c r="D20" s="79"/>
      <c r="E20" s="79"/>
      <c r="F20" s="79"/>
    </row>
    <row r="21" s="49" customFormat="1" spans="1:6">
      <c r="A21" s="71"/>
      <c r="B21" s="72"/>
      <c r="C21" s="71"/>
      <c r="D21" s="71"/>
      <c r="E21" s="72"/>
      <c r="F21" s="73"/>
    </row>
    <row r="22" s="49" customFormat="1" spans="1:6">
      <c r="A22" s="71"/>
      <c r="B22" s="72"/>
      <c r="C22" s="71"/>
      <c r="D22" s="71"/>
      <c r="E22" s="72"/>
      <c r="F22" s="73"/>
    </row>
    <row r="23" s="49" customFormat="1" spans="1:6">
      <c r="A23" s="71"/>
      <c r="B23" s="72"/>
      <c r="C23" s="71"/>
      <c r="D23" s="71"/>
      <c r="E23" s="72"/>
      <c r="F23" s="73"/>
    </row>
    <row r="24" s="49" customFormat="1" spans="1:6">
      <c r="A24" s="71"/>
      <c r="B24" s="72"/>
      <c r="C24" s="71"/>
      <c r="D24" s="71"/>
      <c r="E24" s="72"/>
      <c r="F24" s="73"/>
    </row>
    <row r="25" s="49" customFormat="1" spans="1:6">
      <c r="A25" s="71"/>
      <c r="B25" s="72"/>
      <c r="C25" s="71"/>
      <c r="D25" s="71"/>
      <c r="E25" s="72"/>
      <c r="F25" s="73"/>
    </row>
    <row r="26" s="49" customFormat="1" spans="1:6">
      <c r="A26" s="71"/>
      <c r="B26" s="72"/>
      <c r="C26" s="71"/>
      <c r="D26" s="71"/>
      <c r="E26" s="72"/>
      <c r="F26" s="73"/>
    </row>
    <row r="27" s="49" customFormat="1" spans="1:6">
      <c r="A27" s="71"/>
      <c r="B27" s="72"/>
      <c r="C27" s="71"/>
      <c r="D27" s="71"/>
      <c r="E27" s="72"/>
      <c r="F27" s="73"/>
    </row>
    <row r="28" s="49" customFormat="1" spans="1:6">
      <c r="A28" s="71"/>
      <c r="B28" s="72"/>
      <c r="C28" s="71"/>
      <c r="D28" s="71"/>
      <c r="E28" s="72"/>
      <c r="F28" s="73"/>
    </row>
    <row r="29" s="49" customFormat="1" spans="1:6">
      <c r="A29" s="71"/>
      <c r="B29" s="72"/>
      <c r="C29" s="71"/>
      <c r="D29" s="71"/>
      <c r="E29" s="72"/>
      <c r="F29" s="73"/>
    </row>
    <row r="30" s="49" customFormat="1" spans="1:6">
      <c r="A30" s="71"/>
      <c r="B30" s="72"/>
      <c r="C30" s="71"/>
      <c r="D30" s="71"/>
      <c r="E30" s="72"/>
      <c r="F30" s="73"/>
    </row>
    <row r="31" s="49" customFormat="1" spans="1:6">
      <c r="A31" s="71"/>
      <c r="B31" s="72"/>
      <c r="C31" s="71"/>
      <c r="D31" s="71"/>
      <c r="E31" s="72"/>
      <c r="F31" s="73"/>
    </row>
    <row r="32" s="49" customFormat="1" spans="1:6">
      <c r="A32" s="71"/>
      <c r="B32" s="72"/>
      <c r="C32" s="71"/>
      <c r="D32" s="71"/>
      <c r="E32" s="72"/>
      <c r="F32" s="73"/>
    </row>
    <row r="33" s="49" customFormat="1" spans="1:6">
      <c r="A33" s="71"/>
      <c r="B33" s="72"/>
      <c r="C33" s="71"/>
      <c r="D33" s="71"/>
      <c r="E33" s="72"/>
      <c r="F33" s="73"/>
    </row>
    <row r="34" s="49" customFormat="1" spans="1:6">
      <c r="A34" s="71"/>
      <c r="B34" s="72"/>
      <c r="C34" s="71"/>
      <c r="D34" s="71"/>
      <c r="E34" s="72"/>
      <c r="F34" s="73"/>
    </row>
    <row r="35" s="49" customFormat="1" ht="43.5" customHeight="1" spans="1:6">
      <c r="A35" s="71"/>
      <c r="B35" s="72"/>
      <c r="C35" s="71"/>
      <c r="D35" s="71"/>
      <c r="E35" s="72"/>
      <c r="F35" s="73"/>
    </row>
  </sheetData>
  <mergeCells count="3">
    <mergeCell ref="A1:F1"/>
    <mergeCell ref="A19:B20"/>
    <mergeCell ref="C19:F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4" sqref="A4:H4"/>
    </sheetView>
  </sheetViews>
  <sheetFormatPr defaultColWidth="9" defaultRowHeight="14.25" outlineLevelCol="7"/>
  <cols>
    <col min="1" max="1" width="10.125" style="49" customWidth="1"/>
    <col min="2" max="2" width="10.5" style="49" customWidth="1"/>
    <col min="3" max="3" width="4.5" style="49" customWidth="1"/>
    <col min="4" max="4" width="9.25" style="49" customWidth="1"/>
    <col min="5" max="5" width="10.625" style="49" customWidth="1"/>
    <col min="6" max="6" width="12" style="49" customWidth="1"/>
    <col min="7" max="7" width="12.75" style="49" customWidth="1"/>
    <col min="8" max="8" width="12.375" style="49" customWidth="1"/>
    <col min="9" max="16384" width="9" style="49"/>
  </cols>
  <sheetData>
    <row r="1" s="49" customFormat="1" ht="37.5" customHeight="1" spans="1:8">
      <c r="A1" s="51" t="s">
        <v>48</v>
      </c>
      <c r="B1" s="52"/>
      <c r="C1" s="52"/>
      <c r="D1" s="52"/>
      <c r="E1" s="52"/>
      <c r="F1" s="52"/>
      <c r="G1" s="52"/>
      <c r="H1" s="52"/>
    </row>
    <row r="2" s="49" customFormat="1" ht="31.9" customHeight="1" spans="1:8">
      <c r="A2" s="53" t="s">
        <v>49</v>
      </c>
      <c r="B2" s="53"/>
      <c r="C2" s="53"/>
      <c r="D2" s="53"/>
      <c r="E2" s="53"/>
      <c r="F2" s="53"/>
      <c r="G2" s="53"/>
      <c r="H2" s="53"/>
    </row>
    <row r="3" s="49" customFormat="1" ht="23.25" customHeight="1" spans="1:8">
      <c r="A3" s="53" t="s">
        <v>50</v>
      </c>
      <c r="B3" s="53"/>
      <c r="C3" s="53"/>
      <c r="D3" s="53"/>
      <c r="E3" s="53"/>
      <c r="F3" s="53"/>
      <c r="G3" s="53"/>
      <c r="H3" s="53"/>
    </row>
    <row r="4" s="49" customFormat="1" ht="25.5" customHeight="1" spans="1:8">
      <c r="A4" s="53" t="s">
        <v>51</v>
      </c>
      <c r="B4" s="53"/>
      <c r="C4" s="53"/>
      <c r="D4" s="53"/>
      <c r="E4" s="53"/>
      <c r="F4" s="53"/>
      <c r="G4" s="53"/>
      <c r="H4" s="53"/>
    </row>
    <row r="5" s="49" customFormat="1" ht="30" customHeight="1" spans="1:8">
      <c r="A5" s="54" t="s">
        <v>52</v>
      </c>
      <c r="B5" s="54"/>
      <c r="C5" s="54"/>
      <c r="D5" s="54"/>
      <c r="E5" s="54"/>
      <c r="F5" s="54"/>
      <c r="G5" s="54"/>
      <c r="H5" s="54"/>
    </row>
    <row r="6" s="50" customFormat="1" ht="24" customHeight="1" spans="1:8">
      <c r="A6" s="55" t="s">
        <v>1</v>
      </c>
      <c r="B6" s="55" t="s">
        <v>53</v>
      </c>
      <c r="C6" s="55"/>
      <c r="D6" s="55"/>
      <c r="E6" s="55" t="s">
        <v>54</v>
      </c>
      <c r="F6" s="55" t="s">
        <v>55</v>
      </c>
      <c r="G6" s="55" t="s">
        <v>56</v>
      </c>
      <c r="H6" s="55" t="s">
        <v>57</v>
      </c>
    </row>
    <row r="7" s="49" customFormat="1" ht="20.25" customHeight="1" spans="1:8">
      <c r="A7" s="56" t="s">
        <v>58</v>
      </c>
      <c r="B7" s="57" t="s">
        <v>59</v>
      </c>
      <c r="C7" s="57"/>
      <c r="D7" s="57"/>
      <c r="E7" s="58">
        <f>E8+E9+E10+E11</f>
        <v>0</v>
      </c>
      <c r="F7" s="58">
        <v>0</v>
      </c>
      <c r="G7" s="58">
        <f>G8+G9+G10+G11</f>
        <v>0</v>
      </c>
      <c r="H7" s="58">
        <f>H8+H102+H10+H9+H11+H12</f>
        <v>1514000</v>
      </c>
    </row>
    <row r="8" s="49" customFormat="1" ht="20.25" customHeight="1" spans="1:8">
      <c r="A8" s="59">
        <v>1.1</v>
      </c>
      <c r="B8" s="60" t="s">
        <v>60</v>
      </c>
      <c r="C8" s="60"/>
      <c r="D8" s="60"/>
      <c r="E8" s="58">
        <v>0</v>
      </c>
      <c r="F8" s="58">
        <v>0</v>
      </c>
      <c r="G8" s="58">
        <v>0</v>
      </c>
      <c r="H8" s="58">
        <f>结算明细!G8</f>
        <v>1552730</v>
      </c>
    </row>
    <row r="9" s="49" customFormat="1" ht="20.25" customHeight="1" spans="1:8">
      <c r="A9" s="59">
        <v>1.2</v>
      </c>
      <c r="B9" s="60" t="s">
        <v>61</v>
      </c>
      <c r="C9" s="60"/>
      <c r="D9" s="60"/>
      <c r="E9" s="58">
        <v>0</v>
      </c>
      <c r="F9" s="58">
        <v>0</v>
      </c>
      <c r="G9" s="58">
        <v>0</v>
      </c>
      <c r="H9" s="58"/>
    </row>
    <row r="10" s="49" customFormat="1" ht="20.25" customHeight="1" spans="1:8">
      <c r="A10" s="59">
        <v>1.3</v>
      </c>
      <c r="B10" s="60" t="s">
        <v>62</v>
      </c>
      <c r="C10" s="60"/>
      <c r="D10" s="60"/>
      <c r="E10" s="58">
        <v>0</v>
      </c>
      <c r="F10" s="58">
        <v>0</v>
      </c>
      <c r="G10" s="58">
        <v>0</v>
      </c>
      <c r="H10" s="58">
        <f>结算明细!G9</f>
        <v>12700</v>
      </c>
    </row>
    <row r="11" s="49" customFormat="1" ht="20.25" customHeight="1" spans="1:8">
      <c r="A11" s="59">
        <v>1.4</v>
      </c>
      <c r="B11" s="60" t="s">
        <v>63</v>
      </c>
      <c r="C11" s="60"/>
      <c r="D11" s="60"/>
      <c r="E11" s="58">
        <v>0</v>
      </c>
      <c r="F11" s="58">
        <v>0</v>
      </c>
      <c r="G11" s="58">
        <v>0</v>
      </c>
      <c r="H11" s="58">
        <f>结算明细!G12+结算明细!G13</f>
        <v>-51429.344</v>
      </c>
    </row>
    <row r="12" s="49" customFormat="1" ht="20.25" customHeight="1" spans="1:8">
      <c r="A12" s="59">
        <v>1.5</v>
      </c>
      <c r="B12" s="60" t="s">
        <v>64</v>
      </c>
      <c r="C12" s="60"/>
      <c r="D12" s="60"/>
      <c r="E12" s="60"/>
      <c r="F12" s="60"/>
      <c r="G12" s="60"/>
      <c r="H12" s="58">
        <f>结算明细!G15-结算明细!G14</f>
        <v>-0.655999999959022</v>
      </c>
    </row>
    <row r="13" s="49" customFormat="1" ht="20.25" customHeight="1" spans="1:8">
      <c r="A13" s="56" t="s">
        <v>65</v>
      </c>
      <c r="B13" s="57" t="s">
        <v>66</v>
      </c>
      <c r="C13" s="57"/>
      <c r="D13" s="57"/>
      <c r="E13" s="58">
        <v>0</v>
      </c>
      <c r="F13" s="58"/>
      <c r="G13" s="58">
        <v>0</v>
      </c>
      <c r="H13" s="58">
        <v>0</v>
      </c>
    </row>
    <row r="14" s="49" customFormat="1" ht="20.25" customHeight="1" spans="1:8">
      <c r="A14" s="59">
        <v>2.1</v>
      </c>
      <c r="B14" s="60" t="s">
        <v>67</v>
      </c>
      <c r="C14" s="60"/>
      <c r="D14" s="60"/>
      <c r="E14" s="58">
        <v>0</v>
      </c>
      <c r="F14" s="58"/>
      <c r="G14" s="58">
        <v>0</v>
      </c>
      <c r="H14" s="58">
        <v>0</v>
      </c>
    </row>
    <row r="15" s="49" customFormat="1" ht="20.25" customHeight="1" spans="1:8">
      <c r="A15" s="59">
        <v>2.2</v>
      </c>
      <c r="B15" s="60" t="s">
        <v>67</v>
      </c>
      <c r="C15" s="60"/>
      <c r="D15" s="60"/>
      <c r="E15" s="58">
        <v>0</v>
      </c>
      <c r="F15" s="58"/>
      <c r="G15" s="58">
        <v>0</v>
      </c>
      <c r="H15" s="58">
        <v>0</v>
      </c>
    </row>
    <row r="16" s="49" customFormat="1" ht="20.25" customHeight="1" spans="1:8">
      <c r="A16" s="56" t="s">
        <v>68</v>
      </c>
      <c r="B16" s="57" t="s">
        <v>69</v>
      </c>
      <c r="C16" s="57"/>
      <c r="D16" s="60" t="s">
        <v>70</v>
      </c>
      <c r="E16" s="61">
        <f>H7</f>
        <v>1514000</v>
      </c>
      <c r="F16" s="61"/>
      <c r="G16" s="61"/>
      <c r="H16" s="61"/>
    </row>
    <row r="17" s="49" customFormat="1" ht="20.25" customHeight="1" spans="1:8">
      <c r="A17" s="56"/>
      <c r="B17" s="57"/>
      <c r="C17" s="57"/>
      <c r="D17" s="60" t="s">
        <v>71</v>
      </c>
      <c r="E17" s="62">
        <f>E16</f>
        <v>1514000</v>
      </c>
      <c r="F17" s="62"/>
      <c r="G17" s="62"/>
      <c r="H17" s="62"/>
    </row>
    <row r="18" s="49" customFormat="1" ht="20.25" customHeight="1" spans="1:8">
      <c r="A18" s="56" t="s">
        <v>72</v>
      </c>
      <c r="B18" s="57" t="s">
        <v>73</v>
      </c>
      <c r="C18" s="57"/>
      <c r="D18" s="57"/>
      <c r="E18" s="58">
        <v>0</v>
      </c>
      <c r="F18" s="58"/>
      <c r="G18" s="58"/>
      <c r="H18" s="58"/>
    </row>
    <row r="19" s="49" customFormat="1" ht="20.25" customHeight="1" spans="1:8">
      <c r="A19" s="59">
        <v>4.1</v>
      </c>
      <c r="B19" s="60" t="s">
        <v>74</v>
      </c>
      <c r="C19" s="60"/>
      <c r="D19" s="60"/>
      <c r="E19" s="58">
        <v>0</v>
      </c>
      <c r="F19" s="58"/>
      <c r="G19" s="58"/>
      <c r="H19" s="58"/>
    </row>
    <row r="20" s="49" customFormat="1" ht="20.25" customHeight="1" spans="1:8">
      <c r="A20" s="59">
        <v>4.2</v>
      </c>
      <c r="B20" s="60" t="s">
        <v>75</v>
      </c>
      <c r="C20" s="60"/>
      <c r="D20" s="60"/>
      <c r="E20" s="58">
        <v>0</v>
      </c>
      <c r="F20" s="58"/>
      <c r="G20" s="58"/>
      <c r="H20" s="58"/>
    </row>
    <row r="21" s="49" customFormat="1" ht="20.25" customHeight="1" spans="1:8">
      <c r="A21" s="56" t="s">
        <v>76</v>
      </c>
      <c r="B21" s="57" t="s">
        <v>77</v>
      </c>
      <c r="C21" s="57"/>
      <c r="D21" s="57"/>
      <c r="E21" s="58">
        <v>0</v>
      </c>
      <c r="F21" s="58"/>
      <c r="G21" s="58"/>
      <c r="H21" s="58"/>
    </row>
    <row r="22" s="49" customFormat="1" ht="20.25" customHeight="1" spans="1:8">
      <c r="A22" s="59">
        <v>5.1</v>
      </c>
      <c r="B22" s="60" t="s">
        <v>78</v>
      </c>
      <c r="C22" s="60"/>
      <c r="D22" s="60"/>
      <c r="E22" s="60" t="s">
        <v>79</v>
      </c>
      <c r="F22" s="60"/>
      <c r="G22" s="60"/>
      <c r="H22" s="60"/>
    </row>
    <row r="23" s="49" customFormat="1" ht="20.25" customHeight="1" spans="1:8">
      <c r="A23" s="59">
        <v>5.2</v>
      </c>
      <c r="B23" s="60" t="s">
        <v>80</v>
      </c>
      <c r="C23" s="60"/>
      <c r="D23" s="60"/>
      <c r="E23" s="60" t="s">
        <v>79</v>
      </c>
      <c r="F23" s="60"/>
      <c r="G23" s="60"/>
      <c r="H23" s="60"/>
    </row>
    <row r="24" s="49" customFormat="1" ht="20.25" customHeight="1" spans="1:8">
      <c r="A24" s="56" t="s">
        <v>81</v>
      </c>
      <c r="B24" s="57" t="s">
        <v>82</v>
      </c>
      <c r="C24" s="60" t="s">
        <v>70</v>
      </c>
      <c r="D24" s="60"/>
      <c r="E24" s="61">
        <f>E16</f>
        <v>1514000</v>
      </c>
      <c r="F24" s="61"/>
      <c r="G24" s="61"/>
      <c r="H24" s="61"/>
    </row>
    <row r="25" s="49" customFormat="1" ht="20.25" customHeight="1" spans="1:8">
      <c r="A25" s="56"/>
      <c r="B25" s="57"/>
      <c r="C25" s="60" t="s">
        <v>71</v>
      </c>
      <c r="D25" s="60"/>
      <c r="E25" s="62">
        <f>E17</f>
        <v>1514000</v>
      </c>
      <c r="F25" s="62"/>
      <c r="G25" s="62"/>
      <c r="H25" s="62"/>
    </row>
    <row r="26" s="49" customFormat="1" ht="20.25" customHeight="1" spans="1:8">
      <c r="A26" s="56" t="s">
        <v>83</v>
      </c>
      <c r="B26" s="57" t="s">
        <v>84</v>
      </c>
      <c r="C26" s="60" t="s">
        <v>70</v>
      </c>
      <c r="D26" s="60"/>
      <c r="E26" s="61">
        <f>E24</f>
        <v>1514000</v>
      </c>
      <c r="F26" s="61"/>
      <c r="G26" s="61"/>
      <c r="H26" s="61"/>
    </row>
    <row r="27" s="49" customFormat="1" ht="20.25" customHeight="1" spans="1:8">
      <c r="A27" s="56"/>
      <c r="B27" s="57"/>
      <c r="C27" s="60" t="s">
        <v>71</v>
      </c>
      <c r="D27" s="60"/>
      <c r="E27" s="62">
        <f>E17</f>
        <v>1514000</v>
      </c>
      <c r="F27" s="62"/>
      <c r="G27" s="62"/>
      <c r="H27" s="62"/>
    </row>
    <row r="28" s="49" customFormat="1" spans="1:8">
      <c r="A28" s="63"/>
      <c r="B28" s="63"/>
      <c r="C28" s="63"/>
      <c r="D28" s="63"/>
      <c r="E28" s="63"/>
      <c r="F28" s="63"/>
      <c r="G28" s="63"/>
      <c r="H28" s="63"/>
    </row>
    <row r="29" s="49" customFormat="1" spans="1:8">
      <c r="A29" s="64" t="s">
        <v>85</v>
      </c>
      <c r="B29" s="64"/>
      <c r="C29" s="64"/>
      <c r="D29" s="64"/>
      <c r="E29" s="64"/>
      <c r="F29" s="64"/>
      <c r="G29" s="64"/>
      <c r="H29" s="64"/>
    </row>
    <row r="30" s="49" customFormat="1" spans="1:1">
      <c r="A30" s="65"/>
    </row>
    <row r="31" s="49" customFormat="1" spans="1:1">
      <c r="A31" s="65"/>
    </row>
    <row r="32" s="49" customFormat="1" spans="1:8">
      <c r="A32" s="64" t="s">
        <v>86</v>
      </c>
      <c r="B32" s="64"/>
      <c r="C32" s="64"/>
      <c r="D32" s="64"/>
      <c r="E32" s="64"/>
      <c r="F32" s="64"/>
      <c r="G32" s="64"/>
      <c r="H32" s="64"/>
    </row>
    <row r="33" s="49" customFormat="1" spans="1:1">
      <c r="A33" s="65"/>
    </row>
    <row r="34" s="49" customFormat="1" ht="27" customHeight="1" spans="1:8">
      <c r="A34" s="66"/>
      <c r="B34" s="66"/>
      <c r="C34" s="66"/>
      <c r="D34" s="66"/>
      <c r="E34" s="66"/>
      <c r="F34" s="66"/>
      <c r="G34" s="66"/>
      <c r="H34" s="66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3" sqref="G13"/>
    </sheetView>
  </sheetViews>
  <sheetFormatPr defaultColWidth="9" defaultRowHeight="14.25" outlineLevelCol="7"/>
  <cols>
    <col min="1" max="1" width="6.875" style="40" customWidth="1"/>
    <col min="2" max="2" width="26.625" style="39" customWidth="1"/>
    <col min="3" max="3" width="27.25" style="39" customWidth="1"/>
    <col min="4" max="4" width="7.125" style="40" customWidth="1"/>
    <col min="5" max="5" width="11.75" style="39" customWidth="1"/>
    <col min="6" max="6" width="13.5" style="39" customWidth="1"/>
    <col min="7" max="7" width="15.75" style="39" customWidth="1"/>
    <col min="8" max="8" width="21.375" style="39" customWidth="1"/>
    <col min="9" max="10" width="9" style="39"/>
    <col min="11" max="11" width="9.875" style="39" customWidth="1"/>
    <col min="12" max="16376" width="9" style="39"/>
  </cols>
  <sheetData>
    <row r="1" s="39" customFormat="1" ht="44.1" customHeight="1" spans="1:8">
      <c r="A1" s="25" t="s">
        <v>87</v>
      </c>
      <c r="B1" s="25"/>
      <c r="C1" s="25"/>
      <c r="D1" s="25"/>
      <c r="E1" s="25"/>
      <c r="F1" s="25"/>
      <c r="G1" s="25"/>
      <c r="H1" s="25"/>
    </row>
    <row r="2" s="40" customFormat="1" ht="28.5" spans="1:8">
      <c r="A2" s="26" t="s">
        <v>1</v>
      </c>
      <c r="B2" s="26" t="s">
        <v>88</v>
      </c>
      <c r="C2" s="26" t="str">
        <f>[2]清单!D2</f>
        <v>规格尺寸</v>
      </c>
      <c r="D2" s="26" t="s">
        <v>89</v>
      </c>
      <c r="E2" s="26" t="s">
        <v>90</v>
      </c>
      <c r="F2" s="26" t="s">
        <v>91</v>
      </c>
      <c r="G2" s="26" t="s">
        <v>56</v>
      </c>
      <c r="H2" s="26" t="s">
        <v>6</v>
      </c>
    </row>
    <row r="3" s="39" customFormat="1" ht="25" customHeight="1" spans="1:8">
      <c r="A3" s="26" t="s">
        <v>58</v>
      </c>
      <c r="B3" s="26" t="s">
        <v>92</v>
      </c>
      <c r="C3" s="26"/>
      <c r="D3" s="26"/>
      <c r="E3" s="26"/>
      <c r="F3" s="26"/>
      <c r="G3" s="26"/>
      <c r="H3" s="26"/>
    </row>
    <row r="4" s="39" customFormat="1" ht="42.75" spans="1:8">
      <c r="A4" s="41">
        <v>1</v>
      </c>
      <c r="B4" s="42" t="s">
        <v>93</v>
      </c>
      <c r="C4" s="38" t="s">
        <v>94</v>
      </c>
      <c r="D4" s="41" t="str">
        <f>'[3]02、工程量统计'!E11</f>
        <v>樘</v>
      </c>
      <c r="E4" s="41">
        <f>计算底稿!F52-E6</f>
        <v>519</v>
      </c>
      <c r="F4" s="43">
        <v>1130</v>
      </c>
      <c r="G4" s="41">
        <f t="shared" ref="G4:G7" si="0">F4*E4</f>
        <v>586470</v>
      </c>
      <c r="H4" s="42"/>
    </row>
    <row r="5" s="39" customFormat="1" ht="42.75" spans="1:8">
      <c r="A5" s="41">
        <v>2</v>
      </c>
      <c r="B5" s="42" t="s">
        <v>95</v>
      </c>
      <c r="C5" s="38" t="s">
        <v>96</v>
      </c>
      <c r="D5" s="41" t="str">
        <f>'[3]02、工程量统计'!E9</f>
        <v>樘</v>
      </c>
      <c r="E5" s="41">
        <f>计算底稿!F53</f>
        <v>276</v>
      </c>
      <c r="F5" s="43">
        <v>1350</v>
      </c>
      <c r="G5" s="41">
        <f t="shared" si="0"/>
        <v>372600</v>
      </c>
      <c r="H5" s="42"/>
    </row>
    <row r="6" s="39" customFormat="1" ht="28.5" spans="1:8">
      <c r="A6" s="41">
        <v>3</v>
      </c>
      <c r="B6" s="44" t="s">
        <v>97</v>
      </c>
      <c r="C6" s="38" t="s">
        <v>98</v>
      </c>
      <c r="D6" s="41" t="str">
        <f>'[3]02、工程量统计'!E18</f>
        <v>樘</v>
      </c>
      <c r="E6" s="41">
        <f>计算底稿!F38+计算底稿!F39+计算底稿!F35+计算底稿!F32+计算底稿!F29+计算底稿!F28+计算底稿!F25+计算底稿!F18+计算底稿!F15+计算底稿!F12+计算底稿!G43</f>
        <v>40</v>
      </c>
      <c r="F6" s="43">
        <v>1130</v>
      </c>
      <c r="G6" s="41">
        <f t="shared" si="0"/>
        <v>45200</v>
      </c>
      <c r="H6" s="42"/>
    </row>
    <row r="7" s="39" customFormat="1" ht="42.75" spans="1:8">
      <c r="A7" s="41">
        <v>4</v>
      </c>
      <c r="B7" s="42" t="str">
        <f>'[3]02、工程量统计'!C10</f>
        <v>密码锁</v>
      </c>
      <c r="C7" s="38" t="s">
        <v>99</v>
      </c>
      <c r="D7" s="41" t="str">
        <f>'[3]02、工程量统计'!E10</f>
        <v>把</v>
      </c>
      <c r="E7" s="41">
        <f>计算底稿!F51</f>
        <v>831</v>
      </c>
      <c r="F7" s="43">
        <v>660</v>
      </c>
      <c r="G7" s="41">
        <f t="shared" si="0"/>
        <v>548460</v>
      </c>
      <c r="H7" s="42"/>
    </row>
    <row r="8" s="39" customFormat="1" ht="22" customHeight="1" spans="1:8">
      <c r="A8" s="41"/>
      <c r="B8" s="42" t="s">
        <v>100</v>
      </c>
      <c r="C8" s="42"/>
      <c r="D8" s="41"/>
      <c r="E8" s="42"/>
      <c r="F8" s="45"/>
      <c r="G8" s="41">
        <f>SUM(G4:G7)</f>
        <v>1552730</v>
      </c>
      <c r="H8" s="42"/>
    </row>
    <row r="9" ht="22" customHeight="1" spans="1:8">
      <c r="A9" s="41" t="s">
        <v>65</v>
      </c>
      <c r="B9" s="42" t="s">
        <v>101</v>
      </c>
      <c r="C9" s="42"/>
      <c r="D9" s="41"/>
      <c r="E9" s="42"/>
      <c r="F9" s="42"/>
      <c r="G9" s="41">
        <f>G10+G11</f>
        <v>12700</v>
      </c>
      <c r="H9" s="46"/>
    </row>
    <row r="10" ht="22" customHeight="1" spans="1:8">
      <c r="A10" s="41"/>
      <c r="B10" s="42" t="s">
        <v>102</v>
      </c>
      <c r="C10" s="42" t="s">
        <v>103</v>
      </c>
      <c r="D10" s="41" t="s">
        <v>104</v>
      </c>
      <c r="E10" s="41">
        <v>1</v>
      </c>
      <c r="F10" s="41">
        <v>5000</v>
      </c>
      <c r="G10" s="41">
        <f>E10*F10</f>
        <v>5000</v>
      </c>
      <c r="H10" s="46"/>
    </row>
    <row r="11" ht="22" customHeight="1" spans="1:8">
      <c r="A11" s="41"/>
      <c r="B11" s="42" t="s">
        <v>105</v>
      </c>
      <c r="C11" s="42" t="s">
        <v>106</v>
      </c>
      <c r="D11" s="41" t="s">
        <v>104</v>
      </c>
      <c r="E11" s="41">
        <v>1</v>
      </c>
      <c r="F11" s="41">
        <v>7700</v>
      </c>
      <c r="G11" s="41">
        <f>E11*F11</f>
        <v>7700</v>
      </c>
      <c r="H11" s="46"/>
    </row>
    <row r="12" ht="22" customHeight="1" spans="1:8">
      <c r="A12" s="41" t="s">
        <v>68</v>
      </c>
      <c r="B12" s="42" t="s">
        <v>107</v>
      </c>
      <c r="C12" s="42" t="s">
        <v>108</v>
      </c>
      <c r="D12" s="41" t="s">
        <v>104</v>
      </c>
      <c r="E12" s="41">
        <v>1</v>
      </c>
      <c r="F12" s="47">
        <f>-扣款明细!C21</f>
        <v>-9679.344</v>
      </c>
      <c r="G12" s="47">
        <f>E12*F12</f>
        <v>-9679.344</v>
      </c>
      <c r="H12" s="46"/>
    </row>
    <row r="13" ht="22" customHeight="1" spans="1:8">
      <c r="A13" s="41" t="s">
        <v>72</v>
      </c>
      <c r="B13" s="42" t="s">
        <v>109</v>
      </c>
      <c r="C13" s="42" t="s">
        <v>110</v>
      </c>
      <c r="D13" s="41" t="s">
        <v>111</v>
      </c>
      <c r="E13" s="41">
        <f>计算底稿!F52+计算底稿!F53</f>
        <v>835</v>
      </c>
      <c r="F13" s="47">
        <f>-50</f>
        <v>-50</v>
      </c>
      <c r="G13" s="47">
        <f>E13*F13</f>
        <v>-41750</v>
      </c>
      <c r="H13" s="48" t="s">
        <v>112</v>
      </c>
    </row>
    <row r="14" ht="22" customHeight="1" spans="1:8">
      <c r="A14" s="41" t="s">
        <v>76</v>
      </c>
      <c r="B14" s="42" t="s">
        <v>113</v>
      </c>
      <c r="C14" s="42"/>
      <c r="D14" s="41"/>
      <c r="E14" s="41"/>
      <c r="F14" s="41"/>
      <c r="G14" s="47">
        <f>G12+G9+G8+G13</f>
        <v>1514000.656</v>
      </c>
      <c r="H14" s="46"/>
    </row>
    <row r="15" ht="22" customHeight="1" spans="1:8">
      <c r="A15" s="41" t="s">
        <v>81</v>
      </c>
      <c r="B15" s="42" t="s">
        <v>114</v>
      </c>
      <c r="C15" s="42"/>
      <c r="D15" s="41"/>
      <c r="E15" s="41"/>
      <c r="F15" s="41"/>
      <c r="G15" s="41">
        <v>1514000</v>
      </c>
      <c r="H15" s="46"/>
    </row>
    <row r="16" spans="2:6">
      <c r="B16" s="39" t="s">
        <v>115</v>
      </c>
      <c r="F16" s="39" t="s">
        <v>116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4.25"/>
  <cols>
    <col min="1" max="1" width="5.5" style="24" customWidth="1"/>
    <col min="2" max="2" width="5.875" style="24" customWidth="1"/>
    <col min="3" max="3" width="15.25" style="24" customWidth="1"/>
    <col min="4" max="4" width="22.75" style="24" customWidth="1"/>
    <col min="5" max="5" width="6.875" style="24" customWidth="1"/>
    <col min="6" max="10" width="15.875" style="24" customWidth="1"/>
    <col min="11" max="11" width="21.5" style="24" customWidth="1"/>
    <col min="12" max="12" width="23.25" style="24" customWidth="1"/>
    <col min="13" max="16384" width="9" style="24"/>
  </cols>
  <sheetData>
    <row r="1" s="24" customFormat="1" ht="39" customHeight="1" spans="1:11">
      <c r="A1" s="25" t="s">
        <v>117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="24" customFormat="1" ht="39" customHeight="1" spans="1:11">
      <c r="A2" s="26" t="s">
        <v>1</v>
      </c>
      <c r="B2" s="27" t="s">
        <v>118</v>
      </c>
      <c r="C2" s="26" t="s">
        <v>88</v>
      </c>
      <c r="D2" s="26" t="s">
        <v>119</v>
      </c>
      <c r="E2" s="26" t="s">
        <v>89</v>
      </c>
      <c r="F2" s="26" t="s">
        <v>120</v>
      </c>
      <c r="G2" s="26" t="s">
        <v>121</v>
      </c>
      <c r="H2" s="26" t="s">
        <v>122</v>
      </c>
      <c r="I2" s="26" t="s">
        <v>123</v>
      </c>
      <c r="J2" s="26" t="s">
        <v>124</v>
      </c>
      <c r="K2" s="26" t="s">
        <v>6</v>
      </c>
    </row>
    <row r="3" s="24" customFormat="1" ht="63" customHeight="1" spans="1:11">
      <c r="A3" s="28">
        <v>1</v>
      </c>
      <c r="B3" s="28" t="s">
        <v>125</v>
      </c>
      <c r="C3" s="26" t="s">
        <v>126</v>
      </c>
      <c r="D3" s="29" t="s">
        <v>96</v>
      </c>
      <c r="E3" s="26" t="s">
        <v>111</v>
      </c>
      <c r="F3" s="30">
        <f t="shared" ref="F3:F7" si="0">G3+H3+I3+J3</f>
        <v>32</v>
      </c>
      <c r="G3" s="26"/>
      <c r="H3" s="26">
        <f>2*2</f>
        <v>4</v>
      </c>
      <c r="I3" s="26">
        <f>2*2*6</f>
        <v>24</v>
      </c>
      <c r="J3" s="26">
        <f>2*2</f>
        <v>4</v>
      </c>
      <c r="K3" s="26" t="s">
        <v>127</v>
      </c>
    </row>
    <row r="4" s="24" customFormat="1" ht="60.95" customHeight="1" spans="1:11">
      <c r="A4" s="31"/>
      <c r="B4" s="31"/>
      <c r="C4" s="26" t="s">
        <v>128</v>
      </c>
      <c r="D4" s="29" t="s">
        <v>99</v>
      </c>
      <c r="E4" s="26" t="s">
        <v>129</v>
      </c>
      <c r="F4" s="30">
        <f t="shared" ref="F4:F8" si="1">F3</f>
        <v>32</v>
      </c>
      <c r="G4" s="26"/>
      <c r="H4" s="26"/>
      <c r="I4" s="26"/>
      <c r="J4" s="26"/>
      <c r="K4" s="26"/>
    </row>
    <row r="5" s="24" customFormat="1" ht="54" customHeight="1" spans="1:12">
      <c r="A5" s="28">
        <v>2</v>
      </c>
      <c r="B5" s="28" t="s">
        <v>130</v>
      </c>
      <c r="C5" s="26" t="s">
        <v>131</v>
      </c>
      <c r="D5" s="29" t="s">
        <v>94</v>
      </c>
      <c r="E5" s="26" t="s">
        <v>111</v>
      </c>
      <c r="F5" s="30">
        <f t="shared" si="0"/>
        <v>48</v>
      </c>
      <c r="G5" s="26"/>
      <c r="H5" s="26">
        <f>2*3</f>
        <v>6</v>
      </c>
      <c r="I5" s="26">
        <f>2*3*6</f>
        <v>36</v>
      </c>
      <c r="J5" s="26">
        <f>2*3</f>
        <v>6</v>
      </c>
      <c r="K5" s="26" t="s">
        <v>132</v>
      </c>
      <c r="L5" s="37"/>
    </row>
    <row r="6" s="24" customFormat="1" ht="54" customHeight="1" spans="1:11">
      <c r="A6" s="31"/>
      <c r="B6" s="31"/>
      <c r="C6" s="26" t="s">
        <v>128</v>
      </c>
      <c r="D6" s="29" t="s">
        <v>99</v>
      </c>
      <c r="E6" s="26" t="s">
        <v>129</v>
      </c>
      <c r="F6" s="30">
        <f t="shared" si="1"/>
        <v>48</v>
      </c>
      <c r="G6" s="26"/>
      <c r="H6" s="26"/>
      <c r="I6" s="26"/>
      <c r="J6" s="26"/>
      <c r="K6" s="38"/>
    </row>
    <row r="7" s="24" customFormat="1" ht="56.1" customHeight="1" spans="1:12">
      <c r="A7" s="28">
        <v>3</v>
      </c>
      <c r="B7" s="28" t="s">
        <v>133</v>
      </c>
      <c r="C7" s="26" t="s">
        <v>134</v>
      </c>
      <c r="D7" s="29" t="s">
        <v>94</v>
      </c>
      <c r="E7" s="26" t="s">
        <v>111</v>
      </c>
      <c r="F7" s="30">
        <f t="shared" si="0"/>
        <v>48</v>
      </c>
      <c r="G7" s="26"/>
      <c r="H7" s="26">
        <f>2*3</f>
        <v>6</v>
      </c>
      <c r="I7" s="26">
        <f>2*3*6</f>
        <v>36</v>
      </c>
      <c r="J7" s="26">
        <f>2*3</f>
        <v>6</v>
      </c>
      <c r="K7" s="26" t="s">
        <v>132</v>
      </c>
      <c r="L7" s="37"/>
    </row>
    <row r="8" s="24" customFormat="1" ht="56.1" customHeight="1" spans="1:11">
      <c r="A8" s="31"/>
      <c r="B8" s="31"/>
      <c r="C8" s="26" t="s">
        <v>128</v>
      </c>
      <c r="D8" s="29" t="s">
        <v>99</v>
      </c>
      <c r="E8" s="26" t="s">
        <v>129</v>
      </c>
      <c r="F8" s="30">
        <f t="shared" si="1"/>
        <v>48</v>
      </c>
      <c r="G8" s="26"/>
      <c r="H8" s="26"/>
      <c r="I8" s="26"/>
      <c r="J8" s="26"/>
      <c r="K8" s="38"/>
    </row>
    <row r="9" s="24" customFormat="1" ht="50.1" customHeight="1" spans="1:12">
      <c r="A9" s="28">
        <v>4</v>
      </c>
      <c r="B9" s="28" t="s">
        <v>135</v>
      </c>
      <c r="C9" s="26" t="s">
        <v>126</v>
      </c>
      <c r="D9" s="29" t="s">
        <v>96</v>
      </c>
      <c r="E9" s="26" t="s">
        <v>111</v>
      </c>
      <c r="F9" s="30">
        <f t="shared" ref="F9:F12" si="2">G9+H9+I9+J9</f>
        <v>32</v>
      </c>
      <c r="G9" s="26"/>
      <c r="H9" s="26">
        <f>2*2</f>
        <v>4</v>
      </c>
      <c r="I9" s="26">
        <f>2*2*6</f>
        <v>24</v>
      </c>
      <c r="J9" s="26">
        <f>2*2</f>
        <v>4</v>
      </c>
      <c r="K9" s="26" t="s">
        <v>127</v>
      </c>
      <c r="L9" s="37"/>
    </row>
    <row r="10" s="24" customFormat="1" ht="50.1" customHeight="1" spans="1:11">
      <c r="A10" s="31"/>
      <c r="B10" s="32"/>
      <c r="C10" s="26" t="s">
        <v>128</v>
      </c>
      <c r="D10" s="29" t="s">
        <v>99</v>
      </c>
      <c r="E10" s="26" t="s">
        <v>129</v>
      </c>
      <c r="F10" s="30">
        <f>F9</f>
        <v>32</v>
      </c>
      <c r="G10" s="26"/>
      <c r="H10" s="26"/>
      <c r="I10" s="26"/>
      <c r="J10" s="26"/>
      <c r="K10" s="26"/>
    </row>
    <row r="11" s="24" customFormat="1" ht="42.95" customHeight="1" spans="1:11">
      <c r="A11" s="28">
        <v>5</v>
      </c>
      <c r="B11" s="28" t="s">
        <v>136</v>
      </c>
      <c r="C11" s="26" t="s">
        <v>126</v>
      </c>
      <c r="D11" s="29" t="s">
        <v>96</v>
      </c>
      <c r="E11" s="26" t="s">
        <v>111</v>
      </c>
      <c r="F11" s="30">
        <f t="shared" si="2"/>
        <v>36</v>
      </c>
      <c r="G11" s="26"/>
      <c r="H11" s="26">
        <f>2*2</f>
        <v>4</v>
      </c>
      <c r="I11" s="26">
        <f>2*2*7</f>
        <v>28</v>
      </c>
      <c r="J11" s="26">
        <f>2*2</f>
        <v>4</v>
      </c>
      <c r="K11" s="26" t="s">
        <v>137</v>
      </c>
    </row>
    <row r="12" s="24" customFormat="1" ht="42.95" customHeight="1" spans="1:12">
      <c r="A12" s="32"/>
      <c r="B12" s="32"/>
      <c r="C12" s="26" t="s">
        <v>134</v>
      </c>
      <c r="D12" s="29" t="s">
        <v>98</v>
      </c>
      <c r="E12" s="26" t="s">
        <v>111</v>
      </c>
      <c r="F12" s="33">
        <f t="shared" si="2"/>
        <v>4</v>
      </c>
      <c r="G12" s="26">
        <f>2*2</f>
        <v>4</v>
      </c>
      <c r="H12" s="26"/>
      <c r="I12" s="26"/>
      <c r="J12" s="26"/>
      <c r="K12" s="26"/>
      <c r="L12" s="37"/>
    </row>
    <row r="13" s="24" customFormat="1" ht="39" customHeight="1" spans="1:11">
      <c r="A13" s="31"/>
      <c r="B13" s="31"/>
      <c r="C13" s="26" t="s">
        <v>128</v>
      </c>
      <c r="D13" s="29" t="s">
        <v>99</v>
      </c>
      <c r="E13" s="26" t="s">
        <v>129</v>
      </c>
      <c r="F13" s="30">
        <f>F11+F12</f>
        <v>40</v>
      </c>
      <c r="G13" s="26"/>
      <c r="H13" s="26"/>
      <c r="I13" s="26"/>
      <c r="J13" s="26"/>
      <c r="K13" s="26"/>
    </row>
    <row r="14" s="24" customFormat="1" ht="45" customHeight="1" spans="1:12">
      <c r="A14" s="28">
        <v>6</v>
      </c>
      <c r="B14" s="28" t="s">
        <v>138</v>
      </c>
      <c r="C14" s="26" t="s">
        <v>139</v>
      </c>
      <c r="D14" s="29" t="s">
        <v>96</v>
      </c>
      <c r="E14" s="26" t="s">
        <v>111</v>
      </c>
      <c r="F14" s="30">
        <f t="shared" ref="F14:F18" si="3">G14+H14+I14+J14</f>
        <v>32</v>
      </c>
      <c r="G14" s="26"/>
      <c r="H14" s="26">
        <v>4</v>
      </c>
      <c r="I14" s="26">
        <f>4*6</f>
        <v>24</v>
      </c>
      <c r="J14" s="26">
        <v>4</v>
      </c>
      <c r="K14" s="26" t="s">
        <v>127</v>
      </c>
      <c r="L14" s="37"/>
    </row>
    <row r="15" s="24" customFormat="1" ht="45" customHeight="1" spans="1:12">
      <c r="A15" s="32"/>
      <c r="B15" s="32"/>
      <c r="C15" s="34" t="s">
        <v>134</v>
      </c>
      <c r="D15" s="29" t="s">
        <v>98</v>
      </c>
      <c r="E15" s="26" t="s">
        <v>111</v>
      </c>
      <c r="F15" s="33">
        <f t="shared" si="3"/>
        <v>4</v>
      </c>
      <c r="G15" s="26">
        <v>4</v>
      </c>
      <c r="H15" s="26"/>
      <c r="I15" s="26"/>
      <c r="J15" s="26"/>
      <c r="K15" s="26" t="s">
        <v>140</v>
      </c>
      <c r="L15" s="37"/>
    </row>
    <row r="16" s="24" customFormat="1" ht="45" customHeight="1" spans="1:11">
      <c r="A16" s="31"/>
      <c r="B16" s="31"/>
      <c r="C16" s="26" t="s">
        <v>128</v>
      </c>
      <c r="D16" s="29" t="s">
        <v>99</v>
      </c>
      <c r="E16" s="26" t="s">
        <v>129</v>
      </c>
      <c r="F16" s="30">
        <f>F14+F15</f>
        <v>36</v>
      </c>
      <c r="G16" s="26"/>
      <c r="H16" s="26"/>
      <c r="I16" s="26"/>
      <c r="J16" s="26"/>
      <c r="K16" s="26"/>
    </row>
    <row r="17" s="24" customFormat="1" ht="45" customHeight="1" spans="1:12">
      <c r="A17" s="28">
        <v>7</v>
      </c>
      <c r="B17" s="28" t="s">
        <v>141</v>
      </c>
      <c r="C17" s="26" t="s">
        <v>142</v>
      </c>
      <c r="D17" s="29" t="s">
        <v>94</v>
      </c>
      <c r="E17" s="26" t="s">
        <v>111</v>
      </c>
      <c r="F17" s="30">
        <f t="shared" si="3"/>
        <v>32</v>
      </c>
      <c r="G17" s="26"/>
      <c r="H17" s="26">
        <v>4</v>
      </c>
      <c r="I17" s="26">
        <f>4*6</f>
        <v>24</v>
      </c>
      <c r="J17" s="26">
        <v>4</v>
      </c>
      <c r="K17" s="26" t="s">
        <v>127</v>
      </c>
      <c r="L17" s="37"/>
    </row>
    <row r="18" s="24" customFormat="1" ht="45" customHeight="1" spans="1:12">
      <c r="A18" s="32"/>
      <c r="B18" s="32"/>
      <c r="C18" s="26" t="s">
        <v>134</v>
      </c>
      <c r="D18" s="29" t="s">
        <v>98</v>
      </c>
      <c r="E18" s="26" t="s">
        <v>111</v>
      </c>
      <c r="F18" s="33">
        <f t="shared" si="3"/>
        <v>4</v>
      </c>
      <c r="G18" s="26">
        <v>4</v>
      </c>
      <c r="H18" s="26"/>
      <c r="I18" s="26"/>
      <c r="J18" s="26"/>
      <c r="K18" s="26"/>
      <c r="L18" s="37"/>
    </row>
    <row r="19" s="24" customFormat="1" ht="51.95" customHeight="1" spans="1:11">
      <c r="A19" s="31"/>
      <c r="B19" s="32"/>
      <c r="C19" s="26" t="s">
        <v>128</v>
      </c>
      <c r="D19" s="29" t="s">
        <v>99</v>
      </c>
      <c r="E19" s="26" t="s">
        <v>129</v>
      </c>
      <c r="F19" s="30">
        <f>F17+F18</f>
        <v>36</v>
      </c>
      <c r="G19" s="26"/>
      <c r="H19" s="26"/>
      <c r="I19" s="26"/>
      <c r="J19" s="26"/>
      <c r="K19" s="26"/>
    </row>
    <row r="20" s="24" customFormat="1" ht="42" customHeight="1" spans="1:12">
      <c r="A20" s="28">
        <v>8</v>
      </c>
      <c r="B20" s="28" t="s">
        <v>143</v>
      </c>
      <c r="C20" s="26" t="s">
        <v>126</v>
      </c>
      <c r="D20" s="29" t="s">
        <v>96</v>
      </c>
      <c r="E20" s="26" t="s">
        <v>111</v>
      </c>
      <c r="F20" s="30">
        <f t="shared" ref="F20:F25" si="4">G20+H20+I20+J20</f>
        <v>36</v>
      </c>
      <c r="G20" s="26"/>
      <c r="H20" s="26">
        <v>4</v>
      </c>
      <c r="I20" s="26">
        <f>4*7</f>
        <v>28</v>
      </c>
      <c r="J20" s="26">
        <v>4</v>
      </c>
      <c r="K20" s="26" t="s">
        <v>137</v>
      </c>
      <c r="L20" s="37"/>
    </row>
    <row r="21" s="24" customFormat="1" ht="50.1" customHeight="1" spans="1:11">
      <c r="A21" s="31"/>
      <c r="B21" s="31"/>
      <c r="C21" s="26" t="s">
        <v>128</v>
      </c>
      <c r="D21" s="29" t="s">
        <v>99</v>
      </c>
      <c r="E21" s="26" t="s">
        <v>129</v>
      </c>
      <c r="F21" s="30">
        <f>F20</f>
        <v>36</v>
      </c>
      <c r="G21" s="26"/>
      <c r="H21" s="26"/>
      <c r="I21" s="26"/>
      <c r="J21" s="26"/>
      <c r="K21" s="26"/>
    </row>
    <row r="22" s="24" customFormat="1" ht="51" customHeight="1" spans="1:12">
      <c r="A22" s="28">
        <v>9</v>
      </c>
      <c r="B22" s="28" t="s">
        <v>144</v>
      </c>
      <c r="C22" s="26" t="s">
        <v>142</v>
      </c>
      <c r="D22" s="29" t="s">
        <v>94</v>
      </c>
      <c r="E22" s="26" t="s">
        <v>111</v>
      </c>
      <c r="F22" s="30">
        <f t="shared" si="4"/>
        <v>32</v>
      </c>
      <c r="G22" s="26"/>
      <c r="H22" s="26">
        <v>4</v>
      </c>
      <c r="I22" s="26">
        <f>4*6</f>
        <v>24</v>
      </c>
      <c r="J22" s="26">
        <v>4</v>
      </c>
      <c r="K22" s="26" t="s">
        <v>127</v>
      </c>
      <c r="L22" s="37"/>
    </row>
    <row r="23" s="24" customFormat="1" ht="51.95" customHeight="1" spans="1:11">
      <c r="A23" s="31"/>
      <c r="B23" s="32"/>
      <c r="C23" s="26" t="s">
        <v>128</v>
      </c>
      <c r="D23" s="29" t="s">
        <v>99</v>
      </c>
      <c r="E23" s="26" t="s">
        <v>129</v>
      </c>
      <c r="F23" s="30">
        <f>F22</f>
        <v>32</v>
      </c>
      <c r="G23" s="26"/>
      <c r="H23" s="26"/>
      <c r="I23" s="26"/>
      <c r="J23" s="26"/>
      <c r="K23" s="26"/>
    </row>
    <row r="24" s="24" customFormat="1" ht="45.95" customHeight="1" spans="1:12">
      <c r="A24" s="28">
        <v>10</v>
      </c>
      <c r="B24" s="28" t="s">
        <v>145</v>
      </c>
      <c r="C24" s="26" t="s">
        <v>126</v>
      </c>
      <c r="D24" s="29" t="s">
        <v>96</v>
      </c>
      <c r="E24" s="26" t="s">
        <v>111</v>
      </c>
      <c r="F24" s="30">
        <f t="shared" si="4"/>
        <v>36</v>
      </c>
      <c r="G24" s="26"/>
      <c r="H24" s="26">
        <v>4</v>
      </c>
      <c r="I24" s="26">
        <f>4*7</f>
        <v>28</v>
      </c>
      <c r="J24" s="26">
        <v>4</v>
      </c>
      <c r="K24" s="26" t="s">
        <v>137</v>
      </c>
      <c r="L24" s="37"/>
    </row>
    <row r="25" s="24" customFormat="1" ht="45.95" customHeight="1" spans="1:11">
      <c r="A25" s="32"/>
      <c r="B25" s="32"/>
      <c r="C25" s="26" t="s">
        <v>134</v>
      </c>
      <c r="D25" s="29" t="s">
        <v>98</v>
      </c>
      <c r="E25" s="26" t="s">
        <v>111</v>
      </c>
      <c r="F25" s="33">
        <f t="shared" si="4"/>
        <v>4</v>
      </c>
      <c r="G25" s="26">
        <f>2*2</f>
        <v>4</v>
      </c>
      <c r="H25" s="26"/>
      <c r="I25" s="26"/>
      <c r="J25" s="26"/>
      <c r="K25" s="26"/>
    </row>
    <row r="26" s="24" customFormat="1" ht="45.95" customHeight="1" spans="1:11">
      <c r="A26" s="31"/>
      <c r="B26" s="31"/>
      <c r="C26" s="26" t="s">
        <v>128</v>
      </c>
      <c r="D26" s="29" t="s">
        <v>99</v>
      </c>
      <c r="E26" s="26" t="s">
        <v>129</v>
      </c>
      <c r="F26" s="30">
        <f>F24+F25</f>
        <v>40</v>
      </c>
      <c r="G26" s="26"/>
      <c r="H26" s="26"/>
      <c r="I26" s="26"/>
      <c r="J26" s="26"/>
      <c r="K26" s="26"/>
    </row>
    <row r="27" s="24" customFormat="1" ht="50.1" customHeight="1" spans="1:12">
      <c r="A27" s="28">
        <v>11</v>
      </c>
      <c r="B27" s="28" t="s">
        <v>146</v>
      </c>
      <c r="C27" s="26" t="s">
        <v>147</v>
      </c>
      <c r="D27" s="29" t="s">
        <v>94</v>
      </c>
      <c r="E27" s="26" t="s">
        <v>111</v>
      </c>
      <c r="F27" s="30">
        <f>G27+H27+I27+J27</f>
        <v>52</v>
      </c>
      <c r="G27" s="26"/>
      <c r="H27" s="26">
        <v>4</v>
      </c>
      <c r="I27" s="26">
        <f>4*11</f>
        <v>44</v>
      </c>
      <c r="J27" s="26">
        <v>4</v>
      </c>
      <c r="K27" s="26" t="s">
        <v>148</v>
      </c>
      <c r="L27" s="37"/>
    </row>
    <row r="28" s="24" customFormat="1" ht="42" customHeight="1" spans="1:13">
      <c r="A28" s="32"/>
      <c r="B28" s="32"/>
      <c r="C28" s="26" t="s">
        <v>134</v>
      </c>
      <c r="D28" s="29" t="s">
        <v>98</v>
      </c>
      <c r="E28" s="26" t="s">
        <v>111</v>
      </c>
      <c r="F28" s="33">
        <f t="shared" ref="F27:F29" si="5">G28+H28+I28+J28</f>
        <v>2</v>
      </c>
      <c r="G28" s="26">
        <v>2</v>
      </c>
      <c r="H28" s="26"/>
      <c r="I28" s="26"/>
      <c r="J28" s="26"/>
      <c r="K28" s="26"/>
      <c r="L28" s="37"/>
      <c r="M28" s="37"/>
    </row>
    <row r="29" s="24" customFormat="1" ht="42" customHeight="1" spans="1:13">
      <c r="A29" s="32"/>
      <c r="B29" s="32"/>
      <c r="C29" s="26" t="s">
        <v>134</v>
      </c>
      <c r="D29" s="29" t="s">
        <v>98</v>
      </c>
      <c r="E29" s="26" t="s">
        <v>111</v>
      </c>
      <c r="F29" s="33">
        <f t="shared" si="5"/>
        <v>2</v>
      </c>
      <c r="G29" s="26">
        <v>2</v>
      </c>
      <c r="H29" s="26"/>
      <c r="I29" s="26"/>
      <c r="J29" s="26"/>
      <c r="K29" s="26"/>
      <c r="L29" s="37"/>
      <c r="M29" s="37"/>
    </row>
    <row r="30" s="24" customFormat="1" ht="54" customHeight="1" spans="1:11">
      <c r="A30" s="31"/>
      <c r="B30" s="31"/>
      <c r="C30" s="26" t="s">
        <v>128</v>
      </c>
      <c r="D30" s="29" t="s">
        <v>99</v>
      </c>
      <c r="E30" s="26" t="s">
        <v>129</v>
      </c>
      <c r="F30" s="30">
        <f>F27+F28+F29</f>
        <v>56</v>
      </c>
      <c r="G30" s="26"/>
      <c r="H30" s="26"/>
      <c r="I30" s="26"/>
      <c r="J30" s="26"/>
      <c r="K30" s="26"/>
    </row>
    <row r="31" s="24" customFormat="1" ht="41.1" customHeight="1" spans="1:11">
      <c r="A31" s="28">
        <v>12</v>
      </c>
      <c r="B31" s="30" t="s">
        <v>149</v>
      </c>
      <c r="C31" s="26" t="s">
        <v>139</v>
      </c>
      <c r="D31" s="29" t="s">
        <v>96</v>
      </c>
      <c r="E31" s="26" t="s">
        <v>111</v>
      </c>
      <c r="F31" s="30">
        <f t="shared" ref="F31:F35" si="6">G31+H31+I31+J31</f>
        <v>36</v>
      </c>
      <c r="G31" s="26"/>
      <c r="H31" s="26">
        <v>4</v>
      </c>
      <c r="I31" s="26">
        <f>4*7</f>
        <v>28</v>
      </c>
      <c r="J31" s="26">
        <v>4</v>
      </c>
      <c r="K31" s="26" t="s">
        <v>137</v>
      </c>
    </row>
    <row r="32" s="24" customFormat="1" ht="45" customHeight="1" spans="1:12">
      <c r="A32" s="32"/>
      <c r="B32" s="30"/>
      <c r="C32" s="34" t="s">
        <v>150</v>
      </c>
      <c r="D32" s="29" t="s">
        <v>98</v>
      </c>
      <c r="E32" s="26" t="s">
        <v>111</v>
      </c>
      <c r="F32" s="33">
        <f t="shared" si="6"/>
        <v>4</v>
      </c>
      <c r="G32" s="26">
        <f>2*2</f>
        <v>4</v>
      </c>
      <c r="H32" s="26"/>
      <c r="I32" s="26"/>
      <c r="J32" s="26"/>
      <c r="K32" s="26"/>
      <c r="L32" s="37"/>
    </row>
    <row r="33" s="24" customFormat="1" ht="50.1" customHeight="1" spans="1:11">
      <c r="A33" s="31"/>
      <c r="B33" s="30"/>
      <c r="C33" s="26" t="s">
        <v>128</v>
      </c>
      <c r="D33" s="29" t="s">
        <v>99</v>
      </c>
      <c r="E33" s="26" t="s">
        <v>129</v>
      </c>
      <c r="F33" s="30">
        <f>F31+F32</f>
        <v>40</v>
      </c>
      <c r="G33" s="26"/>
      <c r="H33" s="26"/>
      <c r="I33" s="26"/>
      <c r="J33" s="26"/>
      <c r="K33" s="26"/>
    </row>
    <row r="34" s="24" customFormat="1" ht="50.1" customHeight="1" spans="1:12">
      <c r="A34" s="28">
        <v>13</v>
      </c>
      <c r="B34" s="26" t="s">
        <v>151</v>
      </c>
      <c r="C34" s="26" t="s">
        <v>152</v>
      </c>
      <c r="D34" s="29" t="s">
        <v>96</v>
      </c>
      <c r="E34" s="26" t="s">
        <v>111</v>
      </c>
      <c r="F34" s="30">
        <f t="shared" si="6"/>
        <v>36</v>
      </c>
      <c r="G34" s="26"/>
      <c r="H34" s="26">
        <v>4</v>
      </c>
      <c r="I34" s="26">
        <f>4*7</f>
        <v>28</v>
      </c>
      <c r="J34" s="26">
        <v>4</v>
      </c>
      <c r="K34" s="26" t="s">
        <v>137</v>
      </c>
      <c r="L34" s="37"/>
    </row>
    <row r="35" s="24" customFormat="1" ht="50.1" customHeight="1" spans="1:11">
      <c r="A35" s="32"/>
      <c r="B35" s="26"/>
      <c r="C35" s="26" t="s">
        <v>134</v>
      </c>
      <c r="D35" s="29" t="s">
        <v>98</v>
      </c>
      <c r="E35" s="26" t="s">
        <v>111</v>
      </c>
      <c r="F35" s="33">
        <f t="shared" si="6"/>
        <v>4</v>
      </c>
      <c r="G35" s="26">
        <v>4</v>
      </c>
      <c r="H35" s="26"/>
      <c r="I35" s="26"/>
      <c r="J35" s="26"/>
      <c r="K35" s="26"/>
    </row>
    <row r="36" s="24" customFormat="1" ht="50.1" customHeight="1" spans="1:11">
      <c r="A36" s="31"/>
      <c r="B36" s="26"/>
      <c r="C36" s="26" t="s">
        <v>128</v>
      </c>
      <c r="D36" s="29" t="s">
        <v>99</v>
      </c>
      <c r="E36" s="26" t="s">
        <v>129</v>
      </c>
      <c r="F36" s="30">
        <f>F34+F35</f>
        <v>40</v>
      </c>
      <c r="G36" s="26"/>
      <c r="H36" s="26"/>
      <c r="I36" s="26"/>
      <c r="J36" s="26"/>
      <c r="K36" s="26"/>
    </row>
    <row r="37" s="24" customFormat="1" ht="50.1" customHeight="1" spans="1:12">
      <c r="A37" s="28">
        <v>14</v>
      </c>
      <c r="B37" s="26" t="s">
        <v>153</v>
      </c>
      <c r="C37" s="26" t="s">
        <v>142</v>
      </c>
      <c r="D37" s="29" t="s">
        <v>94</v>
      </c>
      <c r="E37" s="26" t="s">
        <v>111</v>
      </c>
      <c r="F37" s="30">
        <f t="shared" ref="F37:F41" si="7">G37+H37+I37+J37</f>
        <v>104</v>
      </c>
      <c r="G37" s="26"/>
      <c r="H37" s="26">
        <v>8</v>
      </c>
      <c r="I37" s="26">
        <f>8*11</f>
        <v>88</v>
      </c>
      <c r="J37" s="26">
        <v>8</v>
      </c>
      <c r="K37" s="26" t="s">
        <v>148</v>
      </c>
      <c r="L37" s="37"/>
    </row>
    <row r="38" s="24" customFormat="1" ht="50.1" customHeight="1" spans="1:11">
      <c r="A38" s="32"/>
      <c r="B38" s="26"/>
      <c r="C38" s="26" t="s">
        <v>134</v>
      </c>
      <c r="D38" s="29" t="s">
        <v>98</v>
      </c>
      <c r="E38" s="26" t="s">
        <v>111</v>
      </c>
      <c r="F38" s="33">
        <f t="shared" si="7"/>
        <v>2</v>
      </c>
      <c r="G38" s="26">
        <v>2</v>
      </c>
      <c r="H38" s="26"/>
      <c r="I38" s="26"/>
      <c r="J38" s="26"/>
      <c r="K38" s="26"/>
    </row>
    <row r="39" s="24" customFormat="1" ht="50.1" customHeight="1" spans="1:13">
      <c r="A39" s="32"/>
      <c r="B39" s="26"/>
      <c r="C39" s="26" t="s">
        <v>134</v>
      </c>
      <c r="D39" s="29" t="s">
        <v>98</v>
      </c>
      <c r="E39" s="26" t="s">
        <v>111</v>
      </c>
      <c r="F39" s="35">
        <f>G39</f>
        <v>6</v>
      </c>
      <c r="G39" s="26">
        <v>6</v>
      </c>
      <c r="H39" s="26"/>
      <c r="I39" s="26"/>
      <c r="J39" s="26"/>
      <c r="K39" s="26"/>
      <c r="L39" s="37"/>
      <c r="M39" s="37"/>
    </row>
    <row r="40" s="24" customFormat="1" ht="50.1" customHeight="1" spans="1:11">
      <c r="A40" s="31"/>
      <c r="B40" s="26"/>
      <c r="C40" s="26" t="s">
        <v>128</v>
      </c>
      <c r="D40" s="29" t="s">
        <v>99</v>
      </c>
      <c r="E40" s="26" t="s">
        <v>129</v>
      </c>
      <c r="F40" s="36">
        <f>F37+F38+F39</f>
        <v>112</v>
      </c>
      <c r="G40" s="26"/>
      <c r="H40" s="26"/>
      <c r="I40" s="26"/>
      <c r="J40" s="26"/>
      <c r="K40" s="26"/>
    </row>
    <row r="41" s="24" customFormat="1" ht="50.1" customHeight="1" spans="1:12">
      <c r="A41" s="28">
        <v>15</v>
      </c>
      <c r="B41" s="28" t="s">
        <v>154</v>
      </c>
      <c r="C41" s="26" t="s">
        <v>147</v>
      </c>
      <c r="D41" s="29" t="s">
        <v>94</v>
      </c>
      <c r="E41" s="26" t="s">
        <v>111</v>
      </c>
      <c r="F41" s="36">
        <f t="shared" si="7"/>
        <v>51</v>
      </c>
      <c r="G41" s="26"/>
      <c r="H41" s="26">
        <v>3</v>
      </c>
      <c r="I41" s="26">
        <f t="shared" ref="I41:I45" si="8">4*11</f>
        <v>44</v>
      </c>
      <c r="J41" s="26">
        <v>4</v>
      </c>
      <c r="K41" s="26" t="s">
        <v>148</v>
      </c>
      <c r="L41" s="37"/>
    </row>
    <row r="42" s="24" customFormat="1" ht="50.1" customHeight="1" spans="1:11">
      <c r="A42" s="31"/>
      <c r="B42" s="31"/>
      <c r="C42" s="26" t="s">
        <v>128</v>
      </c>
      <c r="D42" s="29" t="s">
        <v>99</v>
      </c>
      <c r="E42" s="26" t="s">
        <v>129</v>
      </c>
      <c r="F42" s="36">
        <f t="shared" ref="F42:F46" si="9">F41</f>
        <v>51</v>
      </c>
      <c r="G42" s="26"/>
      <c r="H42" s="26"/>
      <c r="I42" s="26"/>
      <c r="J42" s="26"/>
      <c r="K42" s="26"/>
    </row>
    <row r="43" s="24" customFormat="1" ht="50.1" customHeight="1" spans="1:12">
      <c r="A43" s="28">
        <v>16</v>
      </c>
      <c r="B43" s="28" t="s">
        <v>155</v>
      </c>
      <c r="C43" s="26" t="s">
        <v>147</v>
      </c>
      <c r="D43" s="29" t="s">
        <v>94</v>
      </c>
      <c r="E43" s="26" t="s">
        <v>111</v>
      </c>
      <c r="F43" s="26">
        <f t="shared" ref="F43:F47" si="10">G43+H43+I43+J43</f>
        <v>56</v>
      </c>
      <c r="G43" s="26">
        <v>4</v>
      </c>
      <c r="H43" s="26">
        <v>4</v>
      </c>
      <c r="I43" s="26">
        <f t="shared" si="8"/>
        <v>44</v>
      </c>
      <c r="J43" s="26">
        <v>4</v>
      </c>
      <c r="K43" s="26" t="s">
        <v>148</v>
      </c>
      <c r="L43" s="37"/>
    </row>
    <row r="44" s="24" customFormat="1" ht="50.1" customHeight="1" spans="1:11">
      <c r="A44" s="31"/>
      <c r="B44" s="31"/>
      <c r="C44" s="26" t="s">
        <v>128</v>
      </c>
      <c r="D44" s="29" t="s">
        <v>99</v>
      </c>
      <c r="E44" s="26" t="s">
        <v>129</v>
      </c>
      <c r="F44" s="26">
        <v>52</v>
      </c>
      <c r="G44" s="26"/>
      <c r="H44" s="26"/>
      <c r="I44" s="26"/>
      <c r="J44" s="26"/>
      <c r="K44" s="26"/>
    </row>
    <row r="45" s="24" customFormat="1" ht="50.1" customHeight="1" spans="1:12">
      <c r="A45" s="28">
        <v>17</v>
      </c>
      <c r="B45" s="28" t="s">
        <v>156</v>
      </c>
      <c r="C45" s="26" t="s">
        <v>147</v>
      </c>
      <c r="D45" s="29" t="s">
        <v>94</v>
      </c>
      <c r="E45" s="26" t="s">
        <v>111</v>
      </c>
      <c r="F45" s="26">
        <f t="shared" si="10"/>
        <v>52</v>
      </c>
      <c r="G45" s="26"/>
      <c r="H45" s="26">
        <v>4</v>
      </c>
      <c r="I45" s="26">
        <f t="shared" si="8"/>
        <v>44</v>
      </c>
      <c r="J45" s="26">
        <v>4</v>
      </c>
      <c r="K45" s="26" t="s">
        <v>148</v>
      </c>
      <c r="L45" s="37"/>
    </row>
    <row r="46" s="24" customFormat="1" ht="50.1" customHeight="1" spans="1:11">
      <c r="A46" s="31"/>
      <c r="B46" s="31"/>
      <c r="C46" s="26" t="s">
        <v>128</v>
      </c>
      <c r="D46" s="29" t="s">
        <v>99</v>
      </c>
      <c r="E46" s="26" t="s">
        <v>129</v>
      </c>
      <c r="F46" s="26">
        <f t="shared" si="9"/>
        <v>52</v>
      </c>
      <c r="G46" s="26"/>
      <c r="H46" s="26"/>
      <c r="I46" s="26"/>
      <c r="J46" s="26"/>
      <c r="K46" s="26"/>
    </row>
    <row r="47" s="24" customFormat="1" ht="50.1" customHeight="1" spans="1:12">
      <c r="A47" s="28">
        <v>18</v>
      </c>
      <c r="B47" s="28" t="s">
        <v>157</v>
      </c>
      <c r="C47" s="26" t="s">
        <v>147</v>
      </c>
      <c r="D47" s="29" t="s">
        <v>94</v>
      </c>
      <c r="E47" s="26" t="s">
        <v>111</v>
      </c>
      <c r="F47" s="26">
        <f>G47+H47+I47+J47</f>
        <v>50</v>
      </c>
      <c r="G47" s="26"/>
      <c r="H47" s="26">
        <v>2</v>
      </c>
      <c r="I47" s="26">
        <f>4*11</f>
        <v>44</v>
      </c>
      <c r="J47" s="26">
        <v>4</v>
      </c>
      <c r="K47" s="26" t="s">
        <v>148</v>
      </c>
      <c r="L47" s="37"/>
    </row>
    <row r="48" s="24" customFormat="1" ht="51.95" customHeight="1" spans="1:11">
      <c r="A48" s="31"/>
      <c r="B48" s="31"/>
      <c r="C48" s="26" t="s">
        <v>128</v>
      </c>
      <c r="D48" s="29" t="s">
        <v>99</v>
      </c>
      <c r="E48" s="26" t="s">
        <v>129</v>
      </c>
      <c r="F48" s="26">
        <f>F47</f>
        <v>50</v>
      </c>
      <c r="G48" s="26"/>
      <c r="H48" s="26"/>
      <c r="I48" s="26"/>
      <c r="J48" s="26"/>
      <c r="K48" s="26"/>
    </row>
    <row r="49" s="24" customFormat="1" ht="54" customHeight="1" spans="1:11">
      <c r="A49" s="26"/>
      <c r="B49" s="26" t="s">
        <v>158</v>
      </c>
      <c r="C49" s="26" t="s">
        <v>147</v>
      </c>
      <c r="D49" s="29" t="s">
        <v>94</v>
      </c>
      <c r="E49" s="26" t="s">
        <v>111</v>
      </c>
      <c r="F49" s="26">
        <v>-2</v>
      </c>
      <c r="G49" s="26"/>
      <c r="H49" s="26"/>
      <c r="I49" s="26"/>
      <c r="J49" s="26"/>
      <c r="K49" s="26" t="s">
        <v>159</v>
      </c>
    </row>
    <row r="50" ht="48" customHeight="1" spans="1:11">
      <c r="A50" s="26"/>
      <c r="B50" s="26"/>
      <c r="C50" s="26" t="s">
        <v>128</v>
      </c>
      <c r="D50" s="29" t="s">
        <v>99</v>
      </c>
      <c r="E50" s="26" t="s">
        <v>129</v>
      </c>
      <c r="F50" s="26">
        <v>-2</v>
      </c>
      <c r="G50" s="26"/>
      <c r="H50" s="26"/>
      <c r="I50" s="26"/>
      <c r="J50" s="26"/>
      <c r="K50" s="26"/>
    </row>
    <row r="51" ht="30" customHeight="1" spans="1:11">
      <c r="A51" s="26"/>
      <c r="B51" s="26" t="s">
        <v>113</v>
      </c>
      <c r="C51" s="26" t="s">
        <v>128</v>
      </c>
      <c r="D51" s="26"/>
      <c r="E51" s="26" t="s">
        <v>129</v>
      </c>
      <c r="F51" s="26">
        <f>F4+F6+F8+F10+F13+F16+F19+F21+F23+F26+F30+F33+F36+F40+F42+F44+F46+F48+F50</f>
        <v>831</v>
      </c>
      <c r="G51" s="26"/>
      <c r="H51" s="26"/>
      <c r="I51" s="26"/>
      <c r="J51" s="26"/>
      <c r="K51" s="26"/>
    </row>
    <row r="52" ht="42" customHeight="1" spans="1:11">
      <c r="A52" s="26"/>
      <c r="B52" s="26"/>
      <c r="C52" s="26" t="s">
        <v>147</v>
      </c>
      <c r="D52" s="29" t="s">
        <v>94</v>
      </c>
      <c r="E52" s="26" t="s">
        <v>111</v>
      </c>
      <c r="F52" s="26">
        <f>F49+F47+F45+F43+F41+F39+F38+F37+F35+F32+F29+F28+F27+F25+F22+F18+F17+F15+F12+F7+F5</f>
        <v>559</v>
      </c>
      <c r="G52" s="26"/>
      <c r="H52" s="26"/>
      <c r="I52" s="26"/>
      <c r="J52" s="26"/>
      <c r="K52" s="26"/>
    </row>
    <row r="53" ht="41" customHeight="1" spans="1:11">
      <c r="A53" s="26"/>
      <c r="B53" s="26"/>
      <c r="C53" s="26" t="s">
        <v>152</v>
      </c>
      <c r="D53" s="29" t="s">
        <v>96</v>
      </c>
      <c r="E53" s="26" t="s">
        <v>111</v>
      </c>
      <c r="F53" s="26">
        <f>F34+F31+F24+F20+F14+F11+F9+F3</f>
        <v>276</v>
      </c>
      <c r="G53" s="26"/>
      <c r="H53" s="26"/>
      <c r="I53" s="26"/>
      <c r="J53" s="26"/>
      <c r="K53" s="26"/>
    </row>
  </sheetData>
  <autoFilter xmlns:etc="http://www.wps.cn/officeDocument/2017/etCustomData" ref="A2:O53" etc:filterBottomFollowUsedRange="0">
    <extLst/>
  </autoFilter>
  <mergeCells count="38">
    <mergeCell ref="A1:K1"/>
    <mergeCell ref="L1:O1"/>
    <mergeCell ref="A3:A4"/>
    <mergeCell ref="A5:A6"/>
    <mergeCell ref="A7:A8"/>
    <mergeCell ref="A9:A10"/>
    <mergeCell ref="A11:A13"/>
    <mergeCell ref="A14:A16"/>
    <mergeCell ref="A17:A19"/>
    <mergeCell ref="A20:A21"/>
    <mergeCell ref="A22:A23"/>
    <mergeCell ref="A24:A26"/>
    <mergeCell ref="A27:A30"/>
    <mergeCell ref="A31:A33"/>
    <mergeCell ref="A34:A36"/>
    <mergeCell ref="A37:A40"/>
    <mergeCell ref="A41:A42"/>
    <mergeCell ref="A43:A44"/>
    <mergeCell ref="A45:A46"/>
    <mergeCell ref="A47:A48"/>
    <mergeCell ref="B3:B4"/>
    <mergeCell ref="B5:B6"/>
    <mergeCell ref="B7:B8"/>
    <mergeCell ref="B9:B10"/>
    <mergeCell ref="B11:B13"/>
    <mergeCell ref="B14:B16"/>
    <mergeCell ref="B17:B19"/>
    <mergeCell ref="B20:B21"/>
    <mergeCell ref="B22:B23"/>
    <mergeCell ref="B24:B26"/>
    <mergeCell ref="B27:B30"/>
    <mergeCell ref="B31:B33"/>
    <mergeCell ref="B34:B36"/>
    <mergeCell ref="B37:B40"/>
    <mergeCell ref="B41:B42"/>
    <mergeCell ref="B43:B44"/>
    <mergeCell ref="B45:B46"/>
    <mergeCell ref="B47:B4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4" workbookViewId="0">
      <selection activeCell="C16" sqref="C16"/>
    </sheetView>
  </sheetViews>
  <sheetFormatPr defaultColWidth="9" defaultRowHeight="13.5" outlineLevelCol="3"/>
  <cols>
    <col min="2" max="2" width="56.25" customWidth="1"/>
    <col min="3" max="3" width="18.875" style="1" customWidth="1"/>
    <col min="4" max="4" width="28.875" customWidth="1"/>
    <col min="5" max="5" width="35.125" customWidth="1"/>
  </cols>
  <sheetData>
    <row r="1" ht="31" customHeight="1" spans="1:4">
      <c r="A1" s="2" t="s">
        <v>160</v>
      </c>
      <c r="B1" s="3"/>
      <c r="C1" s="3"/>
      <c r="D1" s="4"/>
    </row>
    <row r="2" ht="24" customHeight="1" spans="1:4">
      <c r="A2" s="5" t="s">
        <v>1</v>
      </c>
      <c r="B2" s="6" t="s">
        <v>2</v>
      </c>
      <c r="C2" s="7" t="s">
        <v>161</v>
      </c>
      <c r="D2" s="8" t="s">
        <v>162</v>
      </c>
    </row>
    <row r="3" ht="23" customHeight="1" spans="1:4">
      <c r="A3" s="7">
        <v>1</v>
      </c>
      <c r="B3" s="9" t="s">
        <v>163</v>
      </c>
      <c r="C3" s="10">
        <v>774.27</v>
      </c>
      <c r="D3" s="11"/>
    </row>
    <row r="4" ht="23" customHeight="1" spans="1:4">
      <c r="A4" s="7">
        <v>2</v>
      </c>
      <c r="B4" s="12" t="s">
        <v>164</v>
      </c>
      <c r="C4" s="7">
        <v>782.4</v>
      </c>
      <c r="D4" s="11"/>
    </row>
    <row r="5" ht="23" customHeight="1" spans="1:4">
      <c r="A5" s="7">
        <v>3</v>
      </c>
      <c r="B5" s="12" t="s">
        <v>165</v>
      </c>
      <c r="C5" s="7">
        <v>964.224</v>
      </c>
      <c r="D5" s="13"/>
    </row>
    <row r="6" ht="23" customHeight="1" spans="1:4">
      <c r="A6" s="7">
        <v>4</v>
      </c>
      <c r="B6" s="9" t="s">
        <v>166</v>
      </c>
      <c r="C6" s="7">
        <v>483.312</v>
      </c>
      <c r="D6" s="13"/>
    </row>
    <row r="7" ht="23" customHeight="1" spans="1:4">
      <c r="A7" s="7">
        <v>5</v>
      </c>
      <c r="B7" s="9" t="s">
        <v>167</v>
      </c>
      <c r="C7" s="7">
        <v>62.4</v>
      </c>
      <c r="D7" s="14"/>
    </row>
    <row r="8" ht="23" customHeight="1" spans="1:4">
      <c r="A8" s="7">
        <v>6</v>
      </c>
      <c r="B8" s="12" t="s">
        <v>168</v>
      </c>
      <c r="C8" s="15">
        <v>112.2</v>
      </c>
      <c r="D8" s="14"/>
    </row>
    <row r="9" ht="23" customHeight="1" spans="1:4">
      <c r="A9" s="7">
        <v>7</v>
      </c>
      <c r="B9" s="9" t="s">
        <v>169</v>
      </c>
      <c r="C9" s="16">
        <v>320.4</v>
      </c>
      <c r="D9" s="17"/>
    </row>
    <row r="10" ht="23" customHeight="1" spans="1:4">
      <c r="A10" s="7">
        <v>8</v>
      </c>
      <c r="B10" s="9" t="s">
        <v>170</v>
      </c>
      <c r="C10" s="7">
        <v>265.8</v>
      </c>
      <c r="D10" s="7"/>
    </row>
    <row r="11" ht="23" customHeight="1" spans="1:4">
      <c r="A11" s="7">
        <v>9</v>
      </c>
      <c r="B11" s="12" t="s">
        <v>171</v>
      </c>
      <c r="C11" s="7">
        <v>271.2</v>
      </c>
      <c r="D11" s="13"/>
    </row>
    <row r="12" ht="23" customHeight="1" spans="1:4">
      <c r="A12" s="7">
        <v>10</v>
      </c>
      <c r="B12" s="9" t="s">
        <v>172</v>
      </c>
      <c r="C12" s="7">
        <v>961.2</v>
      </c>
      <c r="D12" s="18"/>
    </row>
    <row r="13" ht="23" customHeight="1" spans="1:4">
      <c r="A13" s="7">
        <v>11</v>
      </c>
      <c r="B13" s="19" t="s">
        <v>173</v>
      </c>
      <c r="C13" s="7">
        <v>150</v>
      </c>
      <c r="D13" s="18"/>
    </row>
    <row r="14" ht="31" customHeight="1" spans="1:4">
      <c r="A14" s="7">
        <v>12</v>
      </c>
      <c r="B14" s="9" t="s">
        <v>174</v>
      </c>
      <c r="C14" s="7">
        <v>108.408</v>
      </c>
      <c r="D14" s="18" t="s">
        <v>175</v>
      </c>
    </row>
    <row r="15" ht="23" customHeight="1" spans="1:4">
      <c r="A15" s="7">
        <v>13</v>
      </c>
      <c r="B15" s="9" t="s">
        <v>176</v>
      </c>
      <c r="C15" s="7">
        <v>1553.4</v>
      </c>
      <c r="D15" s="18"/>
    </row>
    <row r="16" ht="23" customHeight="1" spans="1:4">
      <c r="A16" s="7">
        <v>14</v>
      </c>
      <c r="B16" s="12" t="s">
        <v>177</v>
      </c>
      <c r="C16" s="20">
        <v>803.52</v>
      </c>
      <c r="D16" s="20"/>
    </row>
    <row r="17" ht="23" customHeight="1" spans="1:4">
      <c r="A17" s="7">
        <v>15</v>
      </c>
      <c r="B17" s="12" t="s">
        <v>178</v>
      </c>
      <c r="C17" s="7">
        <v>317.4</v>
      </c>
      <c r="D17" s="18"/>
    </row>
    <row r="18" ht="23" customHeight="1" spans="1:4">
      <c r="A18" s="7">
        <v>16</v>
      </c>
      <c r="B18" s="12" t="s">
        <v>179</v>
      </c>
      <c r="C18" s="7">
        <v>850</v>
      </c>
      <c r="D18" s="18"/>
    </row>
    <row r="19" ht="23" customHeight="1" spans="1:4">
      <c r="A19" s="7">
        <v>17</v>
      </c>
      <c r="B19" s="21" t="s">
        <v>180</v>
      </c>
      <c r="C19" s="22">
        <v>150</v>
      </c>
      <c r="D19" s="23"/>
    </row>
    <row r="20" ht="23" customHeight="1" spans="1:4">
      <c r="A20" s="7">
        <v>18</v>
      </c>
      <c r="B20" s="21" t="s">
        <v>181</v>
      </c>
      <c r="C20" s="22">
        <v>749.21</v>
      </c>
      <c r="D20" s="23"/>
    </row>
    <row r="21" ht="23" customHeight="1" spans="1:4">
      <c r="A21" s="7">
        <v>19</v>
      </c>
      <c r="B21" s="21" t="s">
        <v>113</v>
      </c>
      <c r="C21" s="22">
        <f>SUM(C3:C20)</f>
        <v>9679.344</v>
      </c>
      <c r="D21" s="2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结算汇总表</vt:lpstr>
      <vt:lpstr>结算明细</vt:lpstr>
      <vt:lpstr>计算底稿</vt:lpstr>
      <vt:lpstr>扣款明细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磊子</cp:lastModifiedBy>
  <dcterms:created xsi:type="dcterms:W3CDTF">2022-12-12T00:39:00Z</dcterms:created>
  <dcterms:modified xsi:type="dcterms:W3CDTF">2025-09-16T03:25:45Z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CB54D8735F31427F94119AE74333D704</vt:lpwstr>
  </property>
  <property fmtid="{D5CDD505-2E9C-101B-9397-08002B2CF9AE}" pid="3" name="KSOProductBuildVer">
    <vt:lpwstr>2052-12.1.0.18912</vt:lpwstr>
  </property>
</Properties>
</file>