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17" activeTab="1"/>
  </bookViews>
  <sheets>
    <sheet name="报价说明" sheetId="12" r:id="rId1"/>
    <sheet name="结算汇总表" sheetId="16" r:id="rId2"/>
    <sheet name="签证变更汇总表" sheetId="17" r:id="rId3"/>
    <sheet name="变更明细" sheetId="18" r:id="rId4"/>
    <sheet name="签证明细" sheetId="19" r:id="rId5"/>
    <sheet name="合同清单" sheetId="20" r:id="rId6"/>
    <sheet name="电子围栏" sheetId="13" state="hidden" r:id="rId7"/>
  </sheets>
  <definedNames>
    <definedName name="_xlnm._FilterDatabase" localSheetId="3" hidden="1">变更明细!$A$2:$R$84</definedName>
    <definedName name="_xlnm._FilterDatabase" localSheetId="5" hidden="1">合同清单!$A$3:$P$144</definedName>
    <definedName name="_xlnm.Print_Area" localSheetId="3">变更明细!$A$1:$Q$84</definedName>
    <definedName name="_xlnm.Print_Area" localSheetId="4">签证明细!$A$1:$Q$87</definedName>
    <definedName name="_xlnm.Print_Titles" localSheetId="5">合同清单!$1:$4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C3" authorId="0">
      <text>
        <r>
          <rPr>
            <b/>
            <sz val="9"/>
            <rFont val="宋体"/>
            <charset val="134"/>
          </rPr>
          <t>Administrator:</t>
        </r>
        <r>
          <rPr>
            <sz val="9"/>
            <rFont val="宋体"/>
            <charset val="134"/>
          </rPr>
          <t xml:space="preserve">
投标单位需填写所选用品牌及型号等相关信息</t>
        </r>
      </text>
    </comment>
    <comment ref="U5" authorId="0">
      <text>
        <r>
          <rPr>
            <b/>
            <sz val="9"/>
            <rFont val="宋体"/>
            <charset val="134"/>
          </rPr>
          <t>Administrator:</t>
        </r>
        <r>
          <rPr>
            <sz val="9"/>
            <rFont val="宋体"/>
            <charset val="134"/>
          </rPr>
          <t xml:space="preserve">
按实填写税率
</t>
        </r>
      </text>
    </comment>
  </commentList>
</comments>
</file>

<file path=xl/sharedStrings.xml><?xml version="1.0" encoding="utf-8"?>
<sst xmlns="http://schemas.openxmlformats.org/spreadsheetml/2006/main" count="1716" uniqueCount="650">
  <si>
    <t>工程量清单报价说明</t>
  </si>
  <si>
    <t>一、工程概况:</t>
  </si>
  <si>
    <t>工程概况:栾川山水文苑S1地块智能化工程（不含东大门智能化设备部分，含整个地块的系统调试）。</t>
  </si>
  <si>
    <t>其他事项：
（1）施工现场的实际情况：投标单位自行勘察。
（2）交通运输情况：投标单位自行勘察。
（3）自然地理条件及环境保护要求：见招标文件中合同条款。
（4）施工工期：见招标文件/合同文件。
（5）水电接口：甲方现场协调水电接驳点，自行接驳、水电费在综合单价内已包括。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</si>
  <si>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</si>
  <si>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</si>
  <si>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郑州市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</si>
  <si>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</si>
  <si>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投标人应仔细检查投标总报价各部分的金额合计应等于总金额。</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</si>
  <si>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</si>
  <si>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</si>
  <si>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增值税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</si>
  <si>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</si>
  <si>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</si>
  <si>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本清单工程量依据招标文件、招标图纸计算，采用含增值税综合单价格式报价，增值税率在投标报价报价表中单独列出，计入投标总报价。增值税税率若发生调整时按不含增值税单价不变的原则进行调整单价和总价；</t>
  </si>
  <si>
    <t>四、其他计价说明</t>
  </si>
  <si>
    <t>不含机房空调、等电位接地箱。</t>
  </si>
  <si>
    <t>室外弱电箱内交换机统一按24口，室外弱电箱与岗亭设备机柜合用。</t>
  </si>
  <si>
    <t>室外主管网采用七孔梅花管七孔 32*2.2mm，支管采用PVC20，POE供电线路用PVC25。</t>
  </si>
  <si>
    <t>电井对讲DJ箱内电源，每8户设计1个，多余8户的，增加1个。</t>
  </si>
  <si>
    <t>可视对讲系统地下单体入口、首层主入口均设置单元门口机（可人脸识别），首层楼梯入口设置门禁一体机。</t>
  </si>
  <si>
    <t>可视对讲系统配线按系统图计入，户内紧急报警按钮按图全部施工到位。</t>
  </si>
  <si>
    <t>IC卡按每户三张计入。</t>
  </si>
  <si>
    <t>西门车库入口旁边增设门禁系统。</t>
  </si>
  <si>
    <t>不含东大门智能化设备部分，含整个地块的系统调试。</t>
  </si>
  <si>
    <t>含户内可燃气体报警器及配线施工。</t>
  </si>
  <si>
    <t>以下内容为空白。</t>
  </si>
  <si>
    <t>栾川山水文苑项目S1地块项目智能化工程施工合同
结算汇总表</t>
  </si>
  <si>
    <t xml:space="preserve">合同编号：LCS1-JA-069                              合同金额：1565000 元 </t>
  </si>
  <si>
    <t>合同名称：栾川山水文苑项目S1地块项目智能化工程施工合同</t>
  </si>
  <si>
    <t>甲    方：栾川县浩德颐康文旅有限公司</t>
  </si>
  <si>
    <t>乙    方：广州宝露智能科技有限公司</t>
  </si>
  <si>
    <t>序号</t>
  </si>
  <si>
    <t>项目名称</t>
  </si>
  <si>
    <t>土建（元）</t>
  </si>
  <si>
    <t>安装（元）</t>
  </si>
  <si>
    <t>合计（元）</t>
  </si>
  <si>
    <t>总计（元）</t>
  </si>
  <si>
    <t>一</t>
  </si>
  <si>
    <t>结算金额</t>
  </si>
  <si>
    <t>合同价</t>
  </si>
  <si>
    <t>变更</t>
  </si>
  <si>
    <t>签证</t>
  </si>
  <si>
    <t>协商优惠金额</t>
  </si>
  <si>
    <t>二</t>
  </si>
  <si>
    <t>其他费用合计</t>
  </si>
  <si>
    <t>扣减税差</t>
  </si>
  <si>
    <t>三</t>
  </si>
  <si>
    <t>工程结算金额</t>
  </si>
  <si>
    <t>（小写）</t>
  </si>
  <si>
    <t>（大写）</t>
  </si>
  <si>
    <t>四</t>
  </si>
  <si>
    <t>应扣甲供材合计</t>
  </si>
  <si>
    <t>甲供材料一</t>
  </si>
  <si>
    <t>甲供材料二</t>
  </si>
  <si>
    <t>五</t>
  </si>
  <si>
    <t>应扣水电费合计</t>
  </si>
  <si>
    <t>水费</t>
  </si>
  <si>
    <t>电费</t>
  </si>
  <si>
    <t>六</t>
  </si>
  <si>
    <t>工程最终付款金额</t>
  </si>
  <si>
    <t>七</t>
  </si>
  <si>
    <t>工程最终发票金额</t>
  </si>
  <si>
    <t xml:space="preserve">    甲方代表：                         乙方代表：</t>
  </si>
  <si>
    <t xml:space="preserve">    日期：                             日期：</t>
  </si>
  <si>
    <t>栾川山水文苑项目S1地块项目智能化工程
签证变更汇总表</t>
  </si>
  <si>
    <t>变更名称</t>
  </si>
  <si>
    <t>含税工程造价（元）</t>
  </si>
  <si>
    <t>备注</t>
  </si>
  <si>
    <t>设计变更合计</t>
  </si>
  <si>
    <t>扣减部分小计</t>
  </si>
  <si>
    <t>西门和东门汇聚箱原有部分摄像机变更汇聚箱扣减工程量</t>
  </si>
  <si>
    <t>三台监控接入点移位管路变更</t>
  </si>
  <si>
    <t>原智能专网系统配置光纤收发器取消</t>
  </si>
  <si>
    <t>合同内未安装工程量清单</t>
  </si>
  <si>
    <t>新增部分小计</t>
  </si>
  <si>
    <t>因室外poe监控摄像机线路超长，为满足功能需求，新增加室外汇聚箱2套。</t>
  </si>
  <si>
    <t>新增围墙摄像机设备，增加监控立杆，增加硬盘录像机</t>
  </si>
  <si>
    <t>优化室外管网、新增8号楼西侧主管网管路和过路手孔井，新增围墙摄像机管线</t>
  </si>
  <si>
    <t>西门口和东门口各新增设备</t>
  </si>
  <si>
    <t>新增光模块</t>
  </si>
  <si>
    <t>16号楼增加室内报警及相应线路报警工程</t>
  </si>
  <si>
    <t>16号楼地下车库单元门口主机更改位置、增加20号楼1层室内分机等工程</t>
  </si>
  <si>
    <t>签证合计</t>
  </si>
  <si>
    <t>栾川山水文苑S1地块1#3#5#号楼负一层单元对讲主机更改位置签证变更工程量</t>
  </si>
  <si>
    <t>栾川山水文苑S1地块5号楼东侧非机动车车棚增加监控签证变更工程量</t>
  </si>
  <si>
    <t>栾川山水文苑S1地块各楼栋单元门口单元人脸识别主机及室内可视对讲分机更换签证变更工程量</t>
  </si>
  <si>
    <t>栾川山水文苑S1地块园林智慧灯杆和售楼部采购设备签证变更工程量</t>
  </si>
  <si>
    <t>非机动车棚出入口签证变更工程量</t>
  </si>
  <si>
    <t>栾川山水文苑S7地块项目22#一层，二层共三户样板间，样板公区的智能化线缆敷设及设备安装施工</t>
  </si>
  <si>
    <t>设计变更+签证（一+二）</t>
  </si>
  <si>
    <t>栾川山水文苑项目S1地块项目智能化工程
变更明细表</t>
  </si>
  <si>
    <t>工程项目名称</t>
  </si>
  <si>
    <t>工程内容</t>
  </si>
  <si>
    <t>单位</t>
  </si>
  <si>
    <t>工程量
g</t>
  </si>
  <si>
    <t>其中：各子项构成（元）</t>
  </si>
  <si>
    <t>含税综合单价(元)
f=(a+b+c+d+e)</t>
  </si>
  <si>
    <t>合价(元)=g*f</t>
  </si>
  <si>
    <t>品牌型号</t>
  </si>
  <si>
    <t>人工费
a</t>
  </si>
  <si>
    <t>主材费</t>
  </si>
  <si>
    <t>其中主材单价</t>
  </si>
  <si>
    <t>其中主材损耗率</t>
  </si>
  <si>
    <t>机械、辅材及其他c</t>
  </si>
  <si>
    <t>管理费及利润
d=(a+b+c)*费率</t>
  </si>
  <si>
    <t>税金
e=(a+b+c+d)*费率</t>
  </si>
  <si>
    <t>b=x*（1+y）</t>
  </si>
  <si>
    <t>x</t>
  </si>
  <si>
    <t>y</t>
  </si>
  <si>
    <t>图纸优化扣减小计</t>
  </si>
  <si>
    <t>视频监控系统</t>
  </si>
  <si>
    <t>UTP5E</t>
  </si>
  <si>
    <t>1.名称：UTP5E
2.规格、型号：UTP5E
3.敷设方式：穿管、桥架内敷设
4.含相关配件,未详尽处满足图纸设计、满足相关规范要求</t>
  </si>
  <si>
    <t>m</t>
  </si>
  <si>
    <t>爱谱华顿</t>
  </si>
  <si>
    <t>西门和东门汇聚箱原有部分摄像机变更汇聚箱扣减工程量。</t>
  </si>
  <si>
    <t>综合管网系统</t>
  </si>
  <si>
    <t>PVC20</t>
  </si>
  <si>
    <t>1.名称：穿线管
2.规格、型号：PVC20
3.敷设方式：室外埋地敷设
4.含相关配件,未详尽处满足图纸设计、满足相关规范要求</t>
  </si>
  <si>
    <t>国优</t>
  </si>
  <si>
    <t>挖沟槽土方</t>
  </si>
  <si>
    <t>1.名称:土方的开挖
2.含穿线管、配电箱基础、监控杆基础、手孔井等土方</t>
  </si>
  <si>
    <t>m3</t>
  </si>
  <si>
    <t>定制</t>
  </si>
  <si>
    <t>回填方</t>
  </si>
  <si>
    <t>1.名称:土方的回填
2.含穿线管、配电箱基础、监控杆基础、手孔井等土方</t>
  </si>
  <si>
    <t>原光纤收发器设备</t>
  </si>
  <si>
    <t>光纤收发器组</t>
  </si>
  <si>
    <t>1.名称：光纤收发器组
2.规格、型号：单口百兆,单模双纤,含2根光纤跳线、1根UTP5E跳线
3.安装方式：地库弱电设备箱DK、室外弱电箱内、电井汇聚弱电设备箱HJ
4.含相关配件,相关调试，未详尽处满足图纸设计、满足相关规范要求</t>
  </si>
  <si>
    <t>套</t>
  </si>
  <si>
    <t>原智能专网系统配置光纤收发器</t>
  </si>
  <si>
    <t>1.名称：光纤收发器组
2.规格、型号：16槽位机架式机箱,含千兆光纤收发器
3.安装方式：消防控制室机柜内安装
4.含相关配件,相关调试，未详尽处满足图纸设计、满足相关规范要求</t>
  </si>
  <si>
    <t>组</t>
  </si>
  <si>
    <t>16槽位机架式机箱</t>
  </si>
  <si>
    <t>原智能专网系统配置光纤收发器机框</t>
  </si>
  <si>
    <t>红外半球网络摄像机</t>
  </si>
  <si>
    <t>1.名称：红外半球网络摄像机
2.规格、型号：200万像素,支持H.265,支持DC12供电,含POE分离器
3.安装方式：吸顶安装
4.含支架、相关配件,相关调试，未详尽处满足图纸设计、满足相关规范要求</t>
  </si>
  <si>
    <t>个</t>
  </si>
  <si>
    <t>海康威视</t>
  </si>
  <si>
    <t>DS-IPC-T12HV3-IA(POE)</t>
  </si>
  <si>
    <t>红外枪型网络摄像机</t>
  </si>
  <si>
    <t>1.名称：红外枪型网络摄像机
2.规格、型号：200万像素,支持H.265,支持DC12供电,含支架,含POE分离器
3.安装方式：距地+2.8米壁挂安装/吊装/立杆安装
4.含支架、相关配件,相关调试，未详尽处满足图纸设计、满足相关规范要求</t>
  </si>
  <si>
    <t>DS-IPC-B12HV3-IA/POE</t>
  </si>
  <si>
    <t>电梯轿厢专用摄像机</t>
  </si>
  <si>
    <t>1.名称：电梯轿厢专用摄像机
2.规格、型号：200万像素,支持H.265,含电源
3.安装方式：电梯轿厢内吸顶安装
4.含支架、相关配件,相关调试，未详尽处满足图纸设计、满足相关规范要求</t>
  </si>
  <si>
    <t>IP同轴转发器</t>
  </si>
  <si>
    <t>1.名称：IP同轴转发器
2.规格、型号：BNC转RJ45
3.安装方式：电梯轿顶/电梯机房安装
4.含相关配件,相关调试，未详尽处满足图纸设计、满足相关规范要求</t>
  </si>
  <si>
    <t>无线网桥</t>
  </si>
  <si>
    <t>门禁一体机</t>
  </si>
  <si>
    <t>1.名称：门禁一体机
2.规格、型号：支持刷卡、密码开锁
3.安装方式：底边距地+1.4米壁挂安装
4.含相关配件,相关调试，未详尽处满足图纸设计、满足相关规范要求</t>
  </si>
  <si>
    <t>安居宝</t>
  </si>
  <si>
    <t>AJB-MJ21A</t>
  </si>
  <si>
    <t>单元门口机合同93台，签证76台</t>
  </si>
  <si>
    <t>开门按钮</t>
  </si>
  <si>
    <t>1.名称：开门按钮
2.规格、型号：86型
3.安装方式：底边距地+1.4米壁挂安装
4.含相关配件,相关调试，未详尽处满足图纸设计、满足相关规范要求</t>
  </si>
  <si>
    <t>单门磁力锁</t>
  </si>
  <si>
    <t>1.名称：单门磁力锁
2.规格、型号：280kg
3.安装方式：门框上方安装
4.含相关配件,相关调试，未详尽处满足图纸设计、满足相关规范要求</t>
  </si>
  <si>
    <t>双门磁力锁</t>
  </si>
  <si>
    <t>1.名称：双门磁力锁
2.规格、型号：2*280kg
3.安装方式：门框上方安装
4.含相关配件,相关调试，未详尽处满足图纸设计、满足相关规范要求</t>
  </si>
  <si>
    <t>5号楼首层双锁变单锁
1#楼负一层单锁变双锁
16#楼负二层西单元东侧取消一个单锁</t>
  </si>
  <si>
    <t>单元门口机</t>
  </si>
  <si>
    <t>1.名称：单元门口机
2.规格、型号：4.3"彩色可视支持刷卡、密码、二维码、人脸识别开锁
3.安装方式：底边距地+1.4米壁挂安装
4.含相关配件,相关调试，未详尽处满足图纸设计、满足相关规范要求</t>
  </si>
  <si>
    <t xml:space="preserve">AJB-ZJ15AACR(AM）IP </t>
  </si>
  <si>
    <t>双口网络插座</t>
  </si>
  <si>
    <t>1.名称：双口网络插座
2.规格、型号：86型,双口,含2个六类网络模块
3.安装方式：消防控制室内壁挂安装
4.含相关配件,相关调试，未详尽处满足图纸设计、满足相关规范要求</t>
  </si>
  <si>
    <t>阻水UTP5E</t>
  </si>
  <si>
    <t>1.名称：阻水UTP5E
2.规格、型号：阻水UTP5E
3.敷设方式：穿管、桥架内敷设
4.含相关配件,未详尽处满足图纸设计、满足相关规范要求</t>
  </si>
  <si>
    <t>1.名称：UTP5E（含跳线）
2.规格、型号：UTP5E
3.敷设方式：穿管、桥架内敷设
4.含相关配件,未详尽处满足图纸设计、满足相关规范要求</t>
  </si>
  <si>
    <t>RVV4*1.0</t>
  </si>
  <si>
    <t>1.名称：RVV4*1.0
2.规格、型号：RVV4*1.0
3.敷设方式：穿管、桥架内敷设
4.含相关配件,未详尽处满足图纸设计、满足相关规范要求</t>
  </si>
  <si>
    <t>RVV2*1.0</t>
  </si>
  <si>
    <t>1.名称：RVV2*1.0
2.规格、型号：RVV2*1.0
3.敷设方式：穿管、桥架内敷设
4.含相关配件,未详尽处满足图纸设计、满足相关规范要求</t>
  </si>
  <si>
    <t>USB插头面板</t>
  </si>
  <si>
    <t>1.名称：USB插头面板
2.规格、型号：室外防雨型,最大输出功率100W
3.安装方式：充电桩立柱上安装
4.未详尽处满足图纸设计、满足相关规范要求</t>
  </si>
  <si>
    <t>新增太阳能灭蚊灯</t>
  </si>
  <si>
    <t>/</t>
  </si>
  <si>
    <t>图纸优化新增小计</t>
  </si>
  <si>
    <t>智能化设备网络</t>
  </si>
  <si>
    <t>地库弱电设备箱DK</t>
  </si>
  <si>
    <t>1.名称：地库弱电设备箱DK
2.规格、型号：500*600*200mm,含插排
3.安装方式：地下车库壁挂安装
4.含相关配件,相关调试，未详尽处满足图纸设计、满足相关规范要求</t>
  </si>
  <si>
    <t>台</t>
  </si>
  <si>
    <t>岗亭壁挂</t>
  </si>
  <si>
    <t>百兆POE交换机</t>
  </si>
  <si>
    <t>1.名称：百兆POE交换机
2.规格、型号：16个百兆PoE电口+1个千兆上行电口+1个上行千兆Combo口,支持POE+
3.安装方式：地库弱电设备箱DK
4.含相关配件,相关调试，未详尽处满足图纸设计、满足相关规范要求</t>
  </si>
  <si>
    <t>优力普</t>
  </si>
  <si>
    <t>UP319CG</t>
  </si>
  <si>
    <r>
      <rPr>
        <sz val="10"/>
        <rFont val="宋体"/>
        <charset val="134"/>
      </rPr>
      <t xml:space="preserve">千兆汇聚交换机
</t>
    </r>
    <r>
      <rPr>
        <sz val="10"/>
        <color rgb="FFFF0000"/>
        <rFont val="宋体"/>
        <charset val="134"/>
      </rPr>
      <t>参考S716口百兆电口+2个千兆电口价格</t>
    </r>
  </si>
  <si>
    <t>1.名称：千兆汇聚交换机
2.规格、型号：8个千兆电口+2个上行千兆SFP光插槽全网管二层交换机
3.安装方式：地库弱电设备箱DK
4.含相关配件,相关调试，未详尽处满足图纸设计、满足相关规范要求</t>
  </si>
  <si>
    <t>RZ-S3110-2F</t>
  </si>
  <si>
    <t>光纤熔接盒</t>
  </si>
  <si>
    <t>1.名称：光纤熔接盒
2.规格、型号：8口,含尾纤、耦合器、熔接
3.安装方式：地库弱电设备箱DK、室外弱电箱内、电井汇聚弱电设备箱HJ
4.含相关配件,相关调试，未详尽处满足图纸设计、满足相关规范要求</t>
  </si>
  <si>
    <t>6芯单模光纤</t>
  </si>
  <si>
    <t>1.名称：6芯单模光纤（含跳线）
2.规格、型号：6芯单模光纤
3.敷设方式：穿管、桥架内敷设
4.含相关配件,未详尽处满足图纸设计、满足相关规范要求</t>
  </si>
  <si>
    <t>BYJ-2.5</t>
  </si>
  <si>
    <t>1.名称：BYJ-2.5
2.规格、型号：BYJ-2.5
3.敷设方式：穿管、桥架内敷设
4.含相关配件,未详尽处满足图纸设计、满足相关规范要求</t>
  </si>
  <si>
    <t>周界监控摄像机</t>
  </si>
  <si>
    <t>海康</t>
  </si>
  <si>
    <t>DS-2CD2T26FALYUJ-BLXHB+DS-1292ZJ</t>
  </si>
  <si>
    <t>新增围墙摄像机工程量</t>
  </si>
  <si>
    <t>周界相机立杆</t>
  </si>
  <si>
    <t>1.5米周界相机立杆、含基础</t>
  </si>
  <si>
    <t>国产</t>
  </si>
  <si>
    <t>摄像机电源</t>
  </si>
  <si>
    <t>12V3A</t>
  </si>
  <si>
    <t>一台周界相机线路超长增加电源单独供电</t>
  </si>
  <si>
    <t>监控立杆</t>
  </si>
  <si>
    <t>1.名称：监控立杆
2.规格、型号：定焦杆高度3.0米,球型摄像专用杆高度为3.5米，含地笼基础安装等
3.安装方式：室外安装
4.含相关配件,未详尽处满足图纸设计、满足相关规范要求</t>
  </si>
  <si>
    <t>园区部分摄像机未确定详细安装方式，需增加监控立杆安装工程量。</t>
  </si>
  <si>
    <t>硬盘录像机</t>
  </si>
  <si>
    <t>1.名称：硬盘录像机
2.规格、型号：16路4盘位,支持H.265,支持报警接入、支持手机远程查看、配4T硬盘、带双网口;
3.安装方式：消防控制室设备机柜内安装
4.含相关配件,相关调试，未详尽处满足图纸设计、满足相关规范要求</t>
  </si>
  <si>
    <t>DS-7916N-R4</t>
  </si>
  <si>
    <t>新增周界相机中心接入硬盘录像机</t>
  </si>
  <si>
    <t>西门和东门汇聚箱原有部分摄像机变更汇聚箱变更工程量及新增围墙摄像机增加工程量。</t>
  </si>
  <si>
    <t>一台周界相机线路超长增加电源线工程量</t>
  </si>
  <si>
    <t>可视对讲管理系统</t>
  </si>
  <si>
    <t>对讲系统图与平面图不对应，需增加单元人脸识别主机供电电源线</t>
  </si>
  <si>
    <t>手孔井</t>
  </si>
  <si>
    <t>1.名称：手孔井
2.规格、型号：600*600*800mm(长*宽*深)
3.安装方式：室外园区内施工
4.未详尽处满足图纸设计、满足相关规范要求</t>
  </si>
  <si>
    <t>座</t>
  </si>
  <si>
    <t>优化室外管网、新增8号楼西侧主管网管路和过路手孔井</t>
  </si>
  <si>
    <t>七孔梅花管</t>
  </si>
  <si>
    <t>1.名称：七孔梅花管
2.规格、型号：七孔 32*2.2mm
3.敷设方式：室外埋地敷设
4.含相关配件,未详尽处满足图纸设计、满足相关规范要求</t>
  </si>
  <si>
    <t>新增围墙摄像机管路及优化监控位置变更管路相应工程量</t>
  </si>
  <si>
    <t>PVC25</t>
  </si>
  <si>
    <t>1.名称：穿线管
2.规格、型号：PVC25
3.敷设方式：室外埋地敷设
4.含相关配件,未详尽处满足图纸设计、满足相关规范要求</t>
  </si>
  <si>
    <t>西大门新增设备</t>
  </si>
  <si>
    <t>区口机</t>
  </si>
  <si>
    <t>AJB一/J20AAlP</t>
  </si>
  <si>
    <t>西门口和东门口各新增一台区口机</t>
  </si>
  <si>
    <t>西门口新增一台开门按钮</t>
  </si>
  <si>
    <t>西门口新增两台半球摄像机</t>
  </si>
  <si>
    <t>西门口新增两套枪式摄像机</t>
  </si>
  <si>
    <t>区口机、摄像机信号线</t>
  </si>
  <si>
    <t>区口机、摄像机信号线、按钮线</t>
  </si>
  <si>
    <t>光纤收发器改光模块方案</t>
  </si>
  <si>
    <t>千兆光模块</t>
  </si>
  <si>
    <t>1.名称：千兆光模块
2.规格、型号：SFP-GE-LX-SM1310-D,单模双纤,含2根光纤跳线、1根UTP5E跳线
3.安装方式：地库弱电设备箱DK、室外弱电箱内、电井汇聚弱电设备箱HJ
4.含相关配件,相关调试，未详尽处满足图纸设计、满足相关规范要求</t>
  </si>
  <si>
    <t>千兆单模</t>
  </si>
  <si>
    <t>原光纤收发器设备更换光模块新增设备</t>
  </si>
  <si>
    <t>紧急报警按钮</t>
  </si>
  <si>
    <t>1.名称：紧急报警按钮
2.规格、型号：86型,手动钥匙复位
3.安装方式：底边距地+1.0米墙上嵌装(可视对讲分机下方)
4.含相关配件,相关调试，未详尽处满足图纸设计、满足相关规范要求</t>
  </si>
  <si>
    <t>合同单价</t>
  </si>
  <si>
    <t>RVV2*0.5</t>
  </si>
  <si>
    <t>1.名称：RVV2*0.5
2.规格、型号：RVV2*0.5
3.敷设方式：穿管敷设
4.含相关配件,未详尽处满足图纸设计、满足相关规范要求</t>
  </si>
  <si>
    <t>室内分机</t>
  </si>
  <si>
    <t>1.名称：室内对讲分机
2.规格、型号：7"彩色可视,4防区报警接入
3.安装方式：底边距地+1.3米壁挂安装
4.含相关配件,相关调试，未详尽处满足图纸设计、满足相关规范要求</t>
  </si>
  <si>
    <r>
      <rPr>
        <sz val="9"/>
        <color rgb="FF000000"/>
        <rFont val="宋体"/>
        <charset val="134"/>
      </rPr>
      <t xml:space="preserve"> </t>
    </r>
    <r>
      <rPr>
        <sz val="9"/>
        <color rgb="FF000000"/>
        <rFont val="宋体"/>
        <charset val="134"/>
      </rPr>
      <t>安居宝</t>
    </r>
  </si>
  <si>
    <r>
      <rPr>
        <sz val="9"/>
        <color rgb="FF000000"/>
        <rFont val="宋体"/>
        <charset val="134"/>
      </rPr>
      <t xml:space="preserve"> </t>
    </r>
    <r>
      <rPr>
        <sz val="9"/>
        <color rgb="FF000000"/>
        <rFont val="宋体"/>
        <charset val="134"/>
      </rPr>
      <t>AJB_SZ19B</t>
    </r>
  </si>
  <si>
    <t>已确定的约谈单价</t>
  </si>
  <si>
    <t>双方协商</t>
  </si>
  <si>
    <t>人工费</t>
  </si>
  <si>
    <t>墙面切槽及恢复（混凝土墙）（不含墙面乳胶漆）</t>
  </si>
  <si>
    <t>PVC管</t>
  </si>
  <si>
    <t>1.名称：穿线管
2.规格、型号：PVC25
3.敷设方式：室内墙面、地面敷设
4.含相关配件,未详尽处满足图纸设计、满足相关规范要求</t>
  </si>
  <si>
    <t>米</t>
  </si>
  <si>
    <t>1.名称：穿线管
2.规格、型号：PVC20
3.敷设方式：室内墙面、地面敷设
4.含相关配件,未详尽处满足图纸设计、满足相关规范要求</t>
  </si>
  <si>
    <t>JDG管</t>
  </si>
  <si>
    <t>1.名称：穿线管
2.规格、型号：JDG25
3.敷设方式：地库明敷设
4.含相关配件,未详尽处满足图纸设计、满足相关规范要求</t>
  </si>
  <si>
    <t>JDG25</t>
  </si>
  <si>
    <t>签证约谈单价</t>
  </si>
  <si>
    <t>86底盒</t>
  </si>
  <si>
    <t>1.名称：镀锌86底盒
2.规格、型号：86*86*50
3.敷设方式：墙面明、暗敷
4.含相关配件,未详尽处满足图纸设计、满足相关规范要求</t>
  </si>
  <si>
    <t>栾川山水文苑项目S1地块项目智能化工程
签证明细表</t>
  </si>
  <si>
    <t>栾川山水文苑S1地块1#3#5#号楼负一层单元对讲主机更改位置签证变更工程量清单</t>
  </si>
  <si>
    <t>合同单价执行</t>
  </si>
  <si>
    <t>预埋86底盒</t>
  </si>
  <si>
    <t>双方约谈价</t>
  </si>
  <si>
    <t>墙面切槽及恢复(混凝土墙）</t>
  </si>
  <si>
    <t>合计</t>
  </si>
  <si>
    <t>最终优惠价</t>
  </si>
  <si>
    <t>栾川山水文苑S1地块5号楼东侧非机动车车棚增加监控签证变更工程量清单</t>
  </si>
  <si>
    <t>红外枪型网 络摄像机</t>
  </si>
  <si>
    <t>1.名称：红外枪型网络摄像机
2.规格、型号：200万像素，支持H.265,支持DC12供电，含支 架，含POE分离器
3.安装方式：距地+2.8米壁挂安装/吊装/立杆安装
4.含支架、相关配件，相关调试，未详尽处满足图纸设计、满 足相关规范要求</t>
  </si>
  <si>
    <t>围墙立杆</t>
  </si>
  <si>
    <t>铝合金材质，管直径28MM，高度50CM</t>
  </si>
  <si>
    <t>交换机</t>
  </si>
  <si>
    <t>5口百兆</t>
  </si>
  <si>
    <t xml:space="preserve">UP310HV4  </t>
  </si>
  <si>
    <t>DC12v5a</t>
  </si>
  <si>
    <t>1.名称：UTP5E
2.规格、型号：UTP5E
3.敷设方式：穿管、桥架内敷设
4.含相关配件，未详尽处满足图纸设计、满足相关规范要求</t>
  </si>
  <si>
    <t>1.名称：RVV2*1.0
2.规格、型号：RVV2*1.0
3.敷设方式：穿管、桥架内敷设
4.含相关配件，未详尽处满足图纸设计、满足相关规范要求</t>
  </si>
  <si>
    <t>1.名称：穿线管
2.规格、型号：PVC25
3.敷设方式：室外埋地敷设
4.含相关配件，未详尽处满足图纸设计、满足相关规范要求</t>
  </si>
  <si>
    <t>1.名称：土方的开挖 2.含穿线管土方</t>
  </si>
  <si>
    <t>栾川山水文苑S1地块各楼栋单元门口单元人脸识别主机及室内可视对讲分机更换签证变更工程量清单</t>
  </si>
  <si>
    <t>1.名称：单元门口机
2.规格、型号：7"触摸屏、镜面款彩色可视支持刷卡、密码、二维码、人脸识别开锁
3.安装方式：底边距地+1.4米壁挂安装
4.含相关配件,相关调试，未详尽处满足图纸设计、满足相关规范要求</t>
  </si>
  <si>
    <t>AJB一ZJ20AAlP</t>
  </si>
  <si>
    <t>室内对讲分机</t>
  </si>
  <si>
    <t>AJB-SZ13AD-8</t>
  </si>
  <si>
    <t>栾川山水文苑S1地块园林智慧灯杆和售楼部采购设备签证变更工程量清单</t>
  </si>
  <si>
    <t>智慧灯杆系统</t>
  </si>
  <si>
    <t>4米智慧庭院灯</t>
  </si>
  <si>
    <t>灯杆总高度4m，主杆2米，100*200mm方管，厚度4mm；底座1.6m，300*350方管，厚度4mm；法兰500*500，厚度16mm；灯杆内外热镀锌，喷塑。30W光源，飞利浦芯片，茂硕电源。</t>
  </si>
  <si>
    <t>根</t>
  </si>
  <si>
    <t>博思维</t>
  </si>
  <si>
    <t>LED信息发布系统</t>
  </si>
  <si>
    <t>显示屏需采用户外高亮度模组拼装，进口芯片
P4.86全彩显示(效果超过普通P3)，尺寸480*960mm  最佳视距≥4M图像视频播放，显示户外防水P65，工作温度:-40℃-85℃可远程发布图文及影视广告及实现环境监测实时采集数据投屏显示。</t>
  </si>
  <si>
    <t>单灯控制器</t>
  </si>
  <si>
    <t>单灯调光、可视线远程云平台控制开关、报故障，调整功率等等。</t>
  </si>
  <si>
    <t>环境监测</t>
  </si>
  <si>
    <t>环境实时采集设备六合一，温度+湿度+噪声+pm2.5 +pm10+光照</t>
  </si>
  <si>
    <t>核心网关</t>
  </si>
  <si>
    <t>供电220V输入，1个千兆SFP光口，8个千兆RJ45网口，
1路RS485和Console共用一个接口，支持 RJ45 Console 调试接口支持设备平台管理</t>
  </si>
  <si>
    <t>弱电通讯机箱</t>
  </si>
  <si>
    <t>定制600*600*450mm，电气安装轨道、空气开关、漏电开关、防雷浪涌、导轨式插座、接线端子、电源、熔纤设备</t>
  </si>
  <si>
    <t>管线</t>
  </si>
  <si>
    <t>网线、4芯单模光缆、电源线</t>
  </si>
  <si>
    <t>项</t>
  </si>
  <si>
    <t>小计</t>
  </si>
  <si>
    <t>售楼部采购设备</t>
  </si>
  <si>
    <t>AJB_SZ19B</t>
  </si>
  <si>
    <t>约谈后价格</t>
  </si>
  <si>
    <t>高空抛物枪型网络摄像机</t>
  </si>
  <si>
    <t>1.名称：高空抛物枪型网络摄像机
2.规格、型号：200万像素,支持H.265,支持DC12供电,含支架,含POE分离器
3.安装方式：距地+2.8米壁挂安装/吊装/立杆安装
4.含支架、相关配件,相关调试，未详尽处满足图纸设计、满足相关规范要求</t>
  </si>
  <si>
    <t>电子巡更系统</t>
  </si>
  <si>
    <t>巡更点</t>
  </si>
  <si>
    <t>1.名称：巡更点
2.规格、型号：离线式, 含夜光标签
3.安装方式：距地+1.3米壁装
4.含相关配件,相关调试，未详尽处满足图纸设计、满足相关规范要求</t>
  </si>
  <si>
    <t>蓝卡</t>
  </si>
  <si>
    <t>BLC-30</t>
  </si>
  <si>
    <t>巡更棒</t>
  </si>
  <si>
    <t>1.名称：巡更棒
2.规格、型号：USB通讯,存储记录5000条
3.安装方式：手持
4.未详尽处满足图纸设计、满足相关规范要求</t>
  </si>
  <si>
    <t>BP-2012S</t>
  </si>
  <si>
    <t>电子巡更管理软件</t>
  </si>
  <si>
    <t>1、名称：电子巡更管理软件（系统配套）</t>
  </si>
  <si>
    <t>V6.10.25（含通讯底座BS-1000）</t>
  </si>
  <si>
    <t>周界防范系统</t>
  </si>
  <si>
    <t>四线制电子围栏</t>
  </si>
  <si>
    <t>1.名称：四线制电子围栏
2.规格、型号：四线制,含终端杆、中间杆、合金线、警示牌、绝缘子、收紧器、避雷器等；警示牌间距约10米一个，电子围栏端头之前距离为5米
3.安装方式：围墙上安装
4.含相关配件,相关调试，未详尽处满足图纸设计、满足相关规范要求</t>
  </si>
  <si>
    <t>广拓</t>
  </si>
  <si>
    <t>一米以内围栏综合单价</t>
  </si>
  <si>
    <t>声光报警器</t>
  </si>
  <si>
    <t>1.名称：声光报警器
2.规格、型号：详见图纸设计
3.安装方式：围墙/消防控制室设置
4.含相关配件,相关调试，未详尽处满足图纸设计、满足相关规范要求</t>
  </si>
  <si>
    <t>JD-02</t>
  </si>
  <si>
    <t>背景音乐系统</t>
  </si>
  <si>
    <t>景观音箱</t>
  </si>
  <si>
    <t>1.名称：景观音箱
2.规格、型号：额定功率15W
3.安装方式：室外落地安装
4.含相关配件,相关调试，未详尽处满足图纸设计、满足相关规范要求</t>
  </si>
  <si>
    <t>TKOKO</t>
  </si>
  <si>
    <t>S-501</t>
  </si>
  <si>
    <t>非机动车棚出入口签证变更工程量清单</t>
  </si>
  <si>
    <t>立柱式开门按钮</t>
  </si>
  <si>
    <t>280KG（含配套L支架）</t>
  </si>
  <si>
    <t>电动闭门器</t>
  </si>
  <si>
    <t>侧装曲臂式、平开90度</t>
  </si>
  <si>
    <t>地库墙壁预留管开孔（DN110）</t>
  </si>
  <si>
    <t>管道施工</t>
  </si>
  <si>
    <t>车场道闸防砸雷达</t>
  </si>
  <si>
    <t>雷达含电源</t>
  </si>
  <si>
    <t>富士</t>
  </si>
  <si>
    <t>栾川山水文苑项目S7地块项目智能化工程对讲设备报价</t>
  </si>
  <si>
    <t>把</t>
  </si>
  <si>
    <t>2*280kg</t>
  </si>
  <si>
    <t>86型</t>
  </si>
  <si>
    <t>报警按钮</t>
  </si>
  <si>
    <t>86型,手动钥匙复位</t>
  </si>
  <si>
    <t>一户三个按钮</t>
  </si>
  <si>
    <t>半球摄像机</t>
  </si>
  <si>
    <t>DS-IPC-T12HV3-IA</t>
  </si>
  <si>
    <t>线材</t>
  </si>
  <si>
    <t>CAT5E</t>
  </si>
  <si>
    <t>RVV2×0.5</t>
  </si>
  <si>
    <t>RVV4×1.0</t>
  </si>
  <si>
    <t>RVV2×1.0</t>
  </si>
  <si>
    <t>栾川山水文苑项目S1地块项目智能化工程清单与计价表</t>
  </si>
  <si>
    <t xml:space="preserve"> y</t>
  </si>
  <si>
    <t>消防控制室设备</t>
  </si>
  <si>
    <t>光纤配线架</t>
  </si>
  <si>
    <t>1.名称：光纤配线架
2.规格、型号：72芯,机架式
3.安装方式：消防控制室机柜内安装
4.含相关配件,相关调试，未详尽处满足图纸设计、满足相关规范要求</t>
  </si>
  <si>
    <t>核心交换机</t>
  </si>
  <si>
    <t>1.名称：核心交换机
2.规格、型号：模块化三层,24个千兆电口,48个千兆光口
3.安装方式：消防控制室机柜内安装
4.含相关配件,相关调试，未详尽处满足图纸设计、满足相关规范要求</t>
  </si>
  <si>
    <t>RZ7000-3P-SC</t>
  </si>
  <si>
    <t>UPS</t>
  </si>
  <si>
    <t>1.名称：UPS
2.规格、型号：20kVA/1h,含主机、电池、电池柜
3.安装方式：消防控制室机柜内安装
4.含相关配件,相关调试，未详尽处满足图纸设计、满足相关规范要求</t>
  </si>
  <si>
    <t>山特</t>
  </si>
  <si>
    <t>20kVA</t>
  </si>
  <si>
    <t>UPS配电箱</t>
  </si>
  <si>
    <t>1.名称：UPS配电箱
2.规格、型号：详见图纸设计
3.安装方式：消防控制室内安装
4.含相关配件,相关调试，未详尽处满足图纸设计、满足相关规范要求</t>
  </si>
  <si>
    <t>操作台</t>
  </si>
  <si>
    <t>1.名称：操作台
2.规格、型号：4联
3.安装方式：消防控制室落地安装
4.含相关配件,相关调试，未详尽处满足图纸设计、满足相关规范要求</t>
  </si>
  <si>
    <t>4联操作台</t>
  </si>
  <si>
    <t>电视墙</t>
  </si>
  <si>
    <t>1.名称：电视墙
2.规格、型号：9孔、定制
3.安装方式：消防控制室落地安装
4.含相关配件,相关调试，未详尽处满足图纸设计、满足相关规范要求</t>
  </si>
  <si>
    <t>面</t>
  </si>
  <si>
    <t>电脑</t>
  </si>
  <si>
    <t>1.名称：电脑
2.规格、型号：I7处理器/8G内存/1T硬盘/21.5英寸显示
3.安装方式：停车场系统需要在岗亭单独电脑控制，门禁，一卡通，背景音乐合用，消防控制室和视频监控合用
4.含相关配件,相关调试，未详尽处满足图纸设计、满足相关规范要求</t>
  </si>
  <si>
    <t>联想</t>
  </si>
  <si>
    <t>服务器机柜</t>
  </si>
  <si>
    <t>1.名称：服务器机柜
2.规格、型号：600*800*2000mm,含PDU、托盘
3.安装方式：消防控制室落地安装
4.含相关配件,相关调试，未详尽处满足图纸设计、满足相关规范要求</t>
  </si>
  <si>
    <t>42U服务器机柜</t>
  </si>
  <si>
    <t>汇聚机柜</t>
  </si>
  <si>
    <t>1.名称：汇聚机柜
2.规格、型号：600*600*2000mm,含PDU、托盘
3.安装方式：消防控制室落地安装
4.含相关配件,相关调试，未详尽处满足图纸设计、满足相关规范要求</t>
  </si>
  <si>
    <t>42U机柜</t>
  </si>
  <si>
    <t>小计（元）</t>
  </si>
  <si>
    <t>室外弱电防水设备箱</t>
  </si>
  <si>
    <t>1.名称：室外弱电防水设备箱
2.规格、型号：400*500*300mm,不锈钢,含混凝土底座、插排
3.安装方式：室外落地安装
4.含相关配件,相关调试，未详尽处满足图纸设计、满足相关规范要求</t>
  </si>
  <si>
    <t>汇聚弱电设备箱HJ</t>
  </si>
  <si>
    <t>1.名称：汇聚弱电设备箱HJ
2.规格、型号：12U壁挂式,含插排
3.安装方式：电井内壁挂安装
4.含相关配件,相关调试，未详尽处满足图纸设计、满足相关规范要求</t>
  </si>
  <si>
    <t>对讲弱电设备箱DJ</t>
  </si>
  <si>
    <t>1.名称：对讲弱电设备箱DJ
2.规格、型号：400*500*200mm,含插排
3.安装方式：电井内壁挂安装
4.含相关配件,相关调试，未详尽处满足图纸设计、满足相关规范要求</t>
  </si>
  <si>
    <t>POE数字网络分配器</t>
  </si>
  <si>
    <t>1.名称：POE数字网络分配器
2.规格、型号：下行:8个百兆电口;上行:1个千兆电口;支持POE
3.安装方式：电井对讲弱电设备箱DJ
4.含相关配件,相关调试，未详尽处满足图纸设计、满足相关规范要求</t>
  </si>
  <si>
    <t xml:space="preserve">UP310D  </t>
  </si>
  <si>
    <t>POE 数字网络分配器</t>
  </si>
  <si>
    <t>POE 数字网络分配器，12 个百兆电口</t>
  </si>
  <si>
    <t>UNP-S2019P-1G1C</t>
  </si>
  <si>
    <t>1.名称：百兆POE交换机
2.规格、型号：24个百兆电口,2个千兆上行光口,支持POE+
3.安装方式：地库弱电设备箱DK、室外弱电箱、16#电井内
4.含相关配件,相关调试，未详尽处满足图纸设计、满足相关规范要求</t>
  </si>
  <si>
    <t xml:space="preserve">UNP-S2028P-2C  </t>
  </si>
  <si>
    <t>百兆交换机(汇聚)</t>
  </si>
  <si>
    <t>1.名称：百兆交换机(汇聚)
2.规格、型号：24个百兆电口,2个千兆上行光口,带2千兆复用电口,管理型
3.安装方式：电井汇聚弱电设备箱HJ
4.含相关配件,相关调试，未详尽处满足图纸设计、满足相关规范要求</t>
  </si>
  <si>
    <t xml:space="preserve">RZ-S3130-2C2F  </t>
  </si>
  <si>
    <t>1.名称：百兆POE交换机
2.规格、型号：8个百兆电口,支持POE+
3.安装方式：电井汇聚弱电设备箱HJ
4.含相关配件,相关调试，未详尽处满足图纸设计、满足相关规范要求</t>
  </si>
  <si>
    <t>YJY3*4</t>
  </si>
  <si>
    <t>1.名称：电缆
2.规格、型号：YJY3*4
3.敷设方式：穿管、桥架内敷设
4.含相关配件,未详尽处满足图纸设计、满足相关规范要求</t>
  </si>
  <si>
    <t>POE交换机电源</t>
  </si>
  <si>
    <t>1.名称：POE交换机电源
2.规格、型号：输入电压:AC220V,输出电流:3A,功率:60W 
3.安装方式：电井内DJ箱内安装
4.含相关配件,相关调试，未详尽处满足图纸设计、满足相关规范要求</t>
  </si>
  <si>
    <t>森鸿</t>
  </si>
  <si>
    <t>对讲主机电源</t>
  </si>
  <si>
    <t>1.名称：对讲主机电源
2.规格、型号：对讲设备配套
3.安装方式：电井内HJ箱内安装
4.含相关配件,相关调试，未详尽处满足图纸设计、满足相关规范要求</t>
  </si>
  <si>
    <t>小耳朵</t>
  </si>
  <si>
    <t>可视对讲管理中心机</t>
  </si>
  <si>
    <t>1.名称：可视对讲管理中心机
2.规格、型号：支持对讲、监视、呼叫记录及事件查询等功能
3.安装方式：消防控制室操作台上安装
4.含相关配件,相关调试，未详尽处满足图纸设计、满足相关规范要求</t>
  </si>
  <si>
    <t>AJB-GL10ACBIP</t>
  </si>
  <si>
    <t>发卡器</t>
  </si>
  <si>
    <t>1.名称：发卡器
2.规格、型号：IC卡发卡
3.安装方式：物业管理用房设置
4.含相关配件,相关调试，未详尽处满足图纸设计、满足相关规范要求</t>
  </si>
  <si>
    <t>AJB-MJ10BR(AM)B</t>
  </si>
  <si>
    <t>IC卡</t>
  </si>
  <si>
    <t>1、名称：IC卡
2、含相关配件,未详尽处满足图纸设计、满足相关规范要求</t>
  </si>
  <si>
    <t>张</t>
  </si>
  <si>
    <t>UTP6</t>
  </si>
  <si>
    <t>1.名称：UTP6
2.规格、型号：UTP6
3.敷设方式：穿管、桥架内敷设
4.含相关配件,未详尽处满足图纸设计、满足相关规范要求</t>
  </si>
  <si>
    <t>可视对讲管理软件</t>
  </si>
  <si>
    <t>1、名称：可视对讲管理软件（系统配套）</t>
  </si>
  <si>
    <t>管理服务器</t>
  </si>
  <si>
    <t>1.名称：管理服务器
2.规格、型号：操作系统:Windows Embeded Standard 7/Linux操作系统/4G内存
3.安装方式：消防控制室设备机柜内安装
4.含相关配件,相关调试，未详尽处满足图纸设计、满足相关规范要求</t>
  </si>
  <si>
    <t>DS-VE22S-B(标配)/3482</t>
  </si>
  <si>
    <t>1.名称：硬盘录像机
2.规格、型号：64路16盘位,支持H.265,支持报警接入,配4T硬盘
3.安装方式：消防控制室设备机柜内安装
4.含相关配件,相关调试，未详尽处满足图纸设计、满足相关规范要求</t>
  </si>
  <si>
    <t>DS-8664N-I16</t>
  </si>
  <si>
    <t>解码器</t>
  </si>
  <si>
    <t>1.名称：解码器
2.规格、型号：16路HDMI输出,支持H.265
3.安装方式：消防控制室内安装
4.含相关配件,相关调试，未详尽处满足图纸设计、满足相关规范要求</t>
  </si>
  <si>
    <t>DS-6A16UD</t>
  </si>
  <si>
    <t>液晶拼接屏</t>
  </si>
  <si>
    <t>1.名称：液晶拼接屏
2.规格、型号：46英寸, 分辨率1920X1080
3.安装方式：电视墙上安装
4.含相关配件,相关调试，未详尽处满足图纸设计、满足相关规范要求</t>
  </si>
  <si>
    <t>DS-VW46/L35</t>
  </si>
  <si>
    <t>JDG20</t>
  </si>
  <si>
    <t>1.名称：穿线管
2.规格、型号：JDG20
3.敷设方式：地库明敷设
4.含相关配件,未详尽处满足图纸设计、满足相关规范要求</t>
  </si>
  <si>
    <t>视频监控管理软件</t>
  </si>
  <si>
    <t>1、名称：视频监控管理软件（系统配套）</t>
  </si>
  <si>
    <t>标配</t>
  </si>
  <si>
    <t>DZWL-Gato</t>
  </si>
  <si>
    <t>单防区电子围栏主机</t>
  </si>
  <si>
    <t>1.名称：单防区电子围栏主机
2.规格、型号：单防区,网络型,配套防水设备箱
3.安装方式：围墙上壁挂安装
4.含相关配件,相关调试，未详尽处满足图纸设计、满足相关规范要求</t>
  </si>
  <si>
    <t>G5S121</t>
  </si>
  <si>
    <t>网络报警主机</t>
  </si>
  <si>
    <t>1.名称：网络报警主机
2.规格、型号：网络型,液晶显示
3.安装方式：消防控制室操作台上安装
4.含相关配件,相关调试，未详尽处满足图纸设计、满足相关规范要求</t>
  </si>
  <si>
    <t>MK100i</t>
  </si>
  <si>
    <t>视频联动模块</t>
  </si>
  <si>
    <t>1.名称：视频联动模块
2.规格、型号：配套
3.安装方式：消防控制室机柜内安装
4.含相关配件,相关调试，未详尽处满足图纸设计、满足相关规范要求</t>
  </si>
  <si>
    <t>AM003-16A</t>
  </si>
  <si>
    <t>YJY3*2.5</t>
  </si>
  <si>
    <t>1.名称：电缆
2.规格、型号：YJY3*2.5
3.敷设方式：穿管、桥架内敷设
4.含相关配件,未详尽处满足图纸设计、满足相关规范要求</t>
  </si>
  <si>
    <t>周界防范管理软件</t>
  </si>
  <si>
    <t>1、名称：周界防范管理软件（系统配套）</t>
  </si>
  <si>
    <t>电梯五方对讲系统</t>
  </si>
  <si>
    <t>RVVP4*1.0</t>
  </si>
  <si>
    <t>1.名称：RVVP4*1.0
2.规格、型号：RVVP4*1.0
3.敷设方式：穿管、桥架内敷设
4.含相关配件,未详尽处满足图纸设计、满足相关规范要求</t>
  </si>
  <si>
    <t>八</t>
  </si>
  <si>
    <t>停车场管理系统</t>
  </si>
  <si>
    <t>车牌识别一体机</t>
  </si>
  <si>
    <t>1.名称：车牌识别一体机
2.规格、型号：200万像素,LED显示,语音提示
3.安装方式：室外落地安装
4.含相关配件,相关调试，未详尽处满足图纸设计、满足相关规范要求</t>
  </si>
  <si>
    <t>FJC-TX28M</t>
  </si>
  <si>
    <t>道闸</t>
  </si>
  <si>
    <t>1.名称：道闸
2.规格、型号：广告栏
3.安装方式：室外落地安装
4.含相关配件,相关调试，未详尽处满足图纸设计、满足相关规范要求</t>
  </si>
  <si>
    <t>FJC-D418K</t>
  </si>
  <si>
    <t>手动控制按钮</t>
  </si>
  <si>
    <t>1.名称：手动控制按钮
2.规格、型号：起/停/落三键
3.安装方式：岗亭/门卫室内安装
4.含相关配件,相关调试，未详尽处满足图纸设计、满足相关规范要求</t>
  </si>
  <si>
    <t>无线遥控器</t>
  </si>
  <si>
    <t>1.名称：无线遥控器
2.规格、型号：起杆、落杆,含接收器
3.安装方式：手持
4.含相关配件,相关调试，未详尽处满足图纸设计、满足相关规范要求</t>
  </si>
  <si>
    <t>停车场管理软件</t>
  </si>
  <si>
    <t>1、名称：停车场管理软件（系统配套）</t>
  </si>
  <si>
    <t>九</t>
  </si>
  <si>
    <t>功率放大器</t>
  </si>
  <si>
    <t>1.名称：功率放大器
2.规格、型号：定压,额定功率240W
3.安装方式：消防控制室设置
4.含相关配件,相关调试，未详尽处满足图纸设计、满足相关规范要求</t>
  </si>
  <si>
    <t>AP-600P</t>
  </si>
  <si>
    <t>前置放大器</t>
  </si>
  <si>
    <t>1.名称：前置放大器
2.规格、型号：5路话筒输入、3路辅助线路输入
3.安装方式：消防控制室设置
4.含相关配件,相关调试，未详尽处满足图纸设计、满足相关规范要求</t>
  </si>
  <si>
    <t>AP-9811P</t>
  </si>
  <si>
    <t>广播话筒</t>
  </si>
  <si>
    <t>1.名称：广播话筒
2.规格、型号：鹅颈式
3.安装方式：消防控制室操作台上放置
4.含相关配件,相关调试，未详尽处满足图纸设计、满足相关规范要求</t>
  </si>
  <si>
    <t>MC-200</t>
  </si>
  <si>
    <t>MP3播放器</t>
  </si>
  <si>
    <t>1.名称：MP3播放器
2.规格、型号：支持CD、MP3等多种格式音源播放
3.安装方式：消防控制室设置
4.含相关配件,相关调试，未详尽处满足图纸设计、满足相关规范要求</t>
  </si>
  <si>
    <t>AP-DV</t>
  </si>
  <si>
    <t>电源时序器</t>
  </si>
  <si>
    <t>1.名称：电源时序器
2.规格、型号：8路电源输出,每路输出AC220V(10A)
3.安装方式：消防控制室设置
4.含相关配件,相关调试，未详尽处满足图纸设计、满足相关规范要求</t>
  </si>
  <si>
    <t>AP-9828S</t>
  </si>
  <si>
    <t>RVVS2*2.5</t>
  </si>
  <si>
    <t>1.名称：RVVS2*2.5
2.规格、型号：RVVS2*2.5
3.敷设方式：穿管、桥架内敷设
4.含相关配件,未详尽处满足图纸设计、满足相关规范要求</t>
  </si>
  <si>
    <t>十</t>
  </si>
  <si>
    <t>信息发布系统</t>
  </si>
  <si>
    <t>室外LED屏</t>
  </si>
  <si>
    <t>1.名称：室外LED屏
2.规格、型号：P6,1152mm*1728mm（屏体净尺寸）,含钢构、装饰、配套播放设备
3.安装方式：室外落地安装
4.含相关配件,相关调试，未详尽处满足图纸设计、满足相关规范要求</t>
  </si>
  <si>
    <t>强力巨彩</t>
  </si>
  <si>
    <t>P6</t>
  </si>
  <si>
    <t>专用光纤收发器</t>
  </si>
  <si>
    <t>1.名称：专用光纤收发器
2.规格、型号：室外LED屏配套
3.安装方式：物业管理用房/弱电设备箱内安装
4.含相关配件,相关调试，未详尽处满足图纸设计、满足相关规范要求</t>
  </si>
  <si>
    <t>4芯单模光纤</t>
  </si>
  <si>
    <t>1.名称：4芯单模光纤（含跳线）
2.规格、型号：4芯单模光纤
3.敷设方式：穿管、桥架内敷设
4.含相关配件,未详尽处满足图纸设计、满足相关规范要求</t>
  </si>
  <si>
    <t>YJY3*6</t>
  </si>
  <si>
    <t>1.名称：电缆
2.规格、型号：YJY3*6
3.敷设方式：穿管、桥架内敷设
4.含相关配件,未详尽处满足图纸设计、满足相关规范要求</t>
  </si>
  <si>
    <t>信息发布管理软件</t>
  </si>
  <si>
    <t>1、名称：信息发布管理软件（系统配套）</t>
  </si>
  <si>
    <t>高科</t>
  </si>
  <si>
    <t>十一</t>
  </si>
  <si>
    <t>一卡通系统</t>
  </si>
  <si>
    <t>1.名称：发卡器
2.规格、型号：各系统单独配置
3.安装方式：物业管理用房设置
4.含相关配件,相关调试，未详尽处满足图纸设计、满足相关规范要求</t>
  </si>
  <si>
    <t>一卡通系统管理软件</t>
  </si>
  <si>
    <t>1、名称：一卡通系统管理软件（系统配套）</t>
  </si>
  <si>
    <t>十二</t>
  </si>
  <si>
    <t>弱电桥架与综合管网</t>
  </si>
  <si>
    <t>人孔井</t>
  </si>
  <si>
    <t>1.名称：人孔井
2.规格、型号：1000*900*1400mm(长*宽*深)
3.安装方式：室外园区内施工
4.未详尽处满足图纸设计、满足相关规范要求</t>
  </si>
  <si>
    <t>套管</t>
  </si>
  <si>
    <t>1.名称:过路钢套管
2.规格：SC125
3.未详尽处满足图纸设计、满足相关规范要求</t>
  </si>
  <si>
    <t>十三</t>
  </si>
  <si>
    <t>USB系统</t>
  </si>
  <si>
    <t>十四</t>
  </si>
  <si>
    <t>太阳能灭蚊灯系统</t>
  </si>
  <si>
    <t>十五</t>
  </si>
  <si>
    <t>各系统接入浩德物业管理平台的软件开发费用</t>
  </si>
  <si>
    <t>十六</t>
  </si>
  <si>
    <t>十七</t>
  </si>
  <si>
    <t>最终优惠价（元）</t>
  </si>
  <si>
    <t>注：1.综合单价中包含：人工费、材料费、机械费、措施费、安全文明施工费、扬尘治理增加费、疫情增加费、规费、管理费、利润、税金(增值税专用发票)、风险、调试、材料检测检验费等一切与之相关全部费用。
    2.若投标人对清单存在疑问，请在招标文件约定的期限内提出，经招标人确认后补发或修改此项清单。若无异议，本次清单无论是否存在缺项、漏项、工程量偏差，均视为乙方已综合考虑在固定合同总价内。</t>
  </si>
  <si>
    <t>安装招标清单</t>
  </si>
  <si>
    <t>工程名称：广州市文化艺术村项目大区智能化工程</t>
  </si>
  <si>
    <t>品牌及型号</t>
  </si>
  <si>
    <t>规格、参数</t>
  </si>
  <si>
    <t>项目特征描述</t>
  </si>
  <si>
    <t>计量单位</t>
  </si>
  <si>
    <t>工程量</t>
  </si>
  <si>
    <t>综合单价</t>
  </si>
  <si>
    <t>金额（元）</t>
  </si>
  <si>
    <t>合价</t>
  </si>
  <si>
    <t>不含税</t>
  </si>
  <si>
    <t>含税</t>
  </si>
  <si>
    <t>人工费B</t>
  </si>
  <si>
    <t>主材（含损耗）C</t>
  </si>
  <si>
    <t>辅材及机械费D</t>
  </si>
  <si>
    <t>管理费E</t>
  </si>
  <si>
    <t>利润J</t>
  </si>
  <si>
    <t>核算</t>
  </si>
  <si>
    <t>主材</t>
  </si>
  <si>
    <t>安装</t>
  </si>
  <si>
    <t>税金</t>
  </si>
  <si>
    <t>核算合计</t>
  </si>
  <si>
    <t>品牌</t>
  </si>
  <si>
    <t>型号</t>
  </si>
  <si>
    <t>A1=B+C+D+E+J</t>
  </si>
  <si>
    <t>A2=A1*__%</t>
  </si>
  <si>
    <t>%</t>
  </si>
  <si>
    <t>前端设备</t>
  </si>
  <si>
    <t>四线制智能型脉冲主机（双防区）</t>
  </si>
  <si>
    <t>双防区脉冲主机
双防区， 硬件接口电路;IC端口通过高速光耦隔离;独立电源隔离;总线通讯;掉电记忆：心跳机制；电源保护</t>
  </si>
  <si>
    <t>1.设备安装
2.系统调试
3.完成设备安装的其他一切相关工程内容及材料费用，其他未尽事宜详见设计图纸说明及相关规范要求</t>
  </si>
  <si>
    <t>艾礼安</t>
  </si>
  <si>
    <t>AN-EF/B4-IP</t>
  </si>
  <si>
    <t>双防区报警模块</t>
  </si>
  <si>
    <t>联动模块，联动继电器端口不低于32；继电器类型为弱电；可级联，级联不低于128端口</t>
  </si>
  <si>
    <t>RS485</t>
  </si>
  <si>
    <t>蓄电池</t>
  </si>
  <si>
    <t>配套UPS电源</t>
  </si>
  <si>
    <t>AL-12V/4.5</t>
  </si>
  <si>
    <t>防雨箱</t>
  </si>
  <si>
    <t>IP66</t>
  </si>
  <si>
    <t>AN-FYX</t>
  </si>
  <si>
    <t>声光报警灯</t>
  </si>
  <si>
    <t>声光报警器
声压：110±3 db,15W</t>
  </si>
  <si>
    <t>AL-629J</t>
  </si>
  <si>
    <t>终端杆</t>
  </si>
  <si>
    <t>铝合金</t>
  </si>
  <si>
    <t>AN-ZDG04T</t>
  </si>
  <si>
    <t>中间承力杆</t>
  </si>
  <si>
    <t>AN-CLG04T</t>
  </si>
  <si>
    <t>承力杆防雨帽</t>
  </si>
  <si>
    <t>塑料</t>
  </si>
  <si>
    <t>AN-CLF01</t>
  </si>
  <si>
    <t>中间过线杆</t>
  </si>
  <si>
    <t>AN-GXG04T</t>
  </si>
  <si>
    <t>中间过线杆防雨帽</t>
  </si>
  <si>
    <t>AN-GXF01</t>
  </si>
  <si>
    <t>终端杆绝缘子</t>
  </si>
  <si>
    <t>AN-ZDJ01</t>
  </si>
  <si>
    <t>终端绝缘子固定夹</t>
  </si>
  <si>
    <t>中间承力杆固定件</t>
  </si>
  <si>
    <t>AN-CLJ01</t>
  </si>
  <si>
    <t>半球型承力杆绝缘子</t>
  </si>
  <si>
    <t>AN-ZDJ02</t>
  </si>
  <si>
    <t>中间过线杆固定件</t>
  </si>
  <si>
    <t>AN-GXT01</t>
  </si>
  <si>
    <t>螺旋型中间杆绝缘子</t>
  </si>
  <si>
    <t>AN-GXJ01</t>
  </si>
  <si>
    <t>万向底座</t>
  </si>
  <si>
    <t>AN-DZ02</t>
  </si>
  <si>
    <t>线－线连接器</t>
  </si>
  <si>
    <t>一进一出</t>
  </si>
  <si>
    <t>AN-XX</t>
  </si>
  <si>
    <t>收紧器</t>
  </si>
  <si>
    <t>围栏警示牌</t>
  </si>
  <si>
    <t>黄底黑字，双面显示带挂钩</t>
  </si>
  <si>
    <t>AN-JSP02</t>
  </si>
  <si>
    <t>合金线18＃</t>
  </si>
  <si>
    <t>7股</t>
  </si>
  <si>
    <t>AN-B20#</t>
  </si>
  <si>
    <t>高压绝缘线</t>
  </si>
  <si>
    <t>AN-GYX</t>
  </si>
  <si>
    <t>避雷器</t>
  </si>
  <si>
    <t>配套提供</t>
  </si>
  <si>
    <t>AN-BLQ</t>
  </si>
  <si>
    <t>避雷器固定件</t>
  </si>
  <si>
    <t>定制五金件</t>
  </si>
  <si>
    <t>接地角铁</t>
  </si>
  <si>
    <t>膨胀螺栓</t>
  </si>
  <si>
    <t>管理中心</t>
  </si>
  <si>
    <t>管理软件</t>
  </si>
  <si>
    <t>配套报警软件</t>
  </si>
  <si>
    <t>1.设备/软件安装
2.系统调试
3.完成设备/软件安装的其他一切相关工程内容及材料费用，其他未尽事宜详见设计图纸说明及相关规范要求</t>
  </si>
  <si>
    <t>AL-2008G</t>
  </si>
  <si>
    <t>键盘控制器</t>
  </si>
  <si>
    <t>中文液晶显示，486总线输入，一体化键盘，配套提供</t>
  </si>
  <si>
    <t>AN-EF/A8-IP</t>
  </si>
  <si>
    <t>总线联动器</t>
  </si>
  <si>
    <t>8路</t>
  </si>
  <si>
    <t>AN-LDQ-16</t>
  </si>
  <si>
    <t>网络转换器</t>
  </si>
  <si>
    <t>光纤收发器</t>
  </si>
  <si>
    <t>单模一光4电</t>
  </si>
  <si>
    <t>管线材</t>
  </si>
  <si>
    <t>电源线</t>
  </si>
  <si>
    <t>RVV3*4mm²</t>
  </si>
  <si>
    <t>1.线缆敷设
2.系统调试
3.完成线缆敷设的其他一切相关工程内容及材料费用，其他未尽事宜详见设计图纸说明及相关规范要求</t>
  </si>
  <si>
    <t>RVV3*2.5mm²</t>
  </si>
  <si>
    <t>信号线</t>
  </si>
  <si>
    <t>RVVP2*1.0mm²</t>
  </si>
  <si>
    <t>接地线</t>
  </si>
  <si>
    <t>BV6mm²</t>
  </si>
  <si>
    <t>Φ25</t>
  </si>
  <si>
    <t>1.线管敷设
2.系统调试
3.完成线管敷设的其他一切相关工程内容及材料费用，其他未尽事宜详见设计图纸说明及相关规范要求</t>
  </si>
  <si>
    <t>优化</t>
  </si>
  <si>
    <t>4芯光纤</t>
  </si>
  <si>
    <t>8芯光纤</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</si>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</sst>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_ * #,##0.00_ ;_ * \-#,##0.00_ ;_ * &quot;-&quot;_ ;_ @_ "/>
    <numFmt numFmtId="179" formatCode="0.00_);[Red]\(0.00\)"/>
    <numFmt numFmtId="180" formatCode="#,##0.00&quot;元&quot;"/>
    <numFmt numFmtId="181" formatCode="[DBNum2][$RMB]General;[Red][DBNum2][$RMB]General"/>
  </numFmts>
  <fonts count="76">
    <font>
      <sz val="10"/>
      <name val="Arial"/>
      <charset val="1"/>
    </font>
    <font>
      <sz val="9"/>
      <color theme="1"/>
      <name val="宋体"/>
      <charset val="134"/>
      <scheme val="minor"/>
    </font>
    <font>
      <sz val="10"/>
      <color theme="1"/>
      <name val="SimSun"/>
      <charset val="134"/>
    </font>
    <font>
      <b/>
      <sz val="9"/>
      <color theme="1"/>
      <name val="宋体"/>
      <charset val="134"/>
      <scheme val="minor"/>
    </font>
    <font>
      <b/>
      <sz val="20"/>
      <name val="宋体"/>
      <charset val="134"/>
    </font>
    <font>
      <sz val="10"/>
      <name val="宋体"/>
      <charset val="134"/>
    </font>
    <font>
      <sz val="10"/>
      <color rgb="FFFF0000"/>
      <name val="宋体"/>
      <charset val="134"/>
    </font>
    <font>
      <b/>
      <sz val="10"/>
      <name val="SimSun"/>
      <charset val="134"/>
    </font>
    <font>
      <sz val="10"/>
      <name val="SimSun"/>
      <charset val="134"/>
    </font>
    <font>
      <sz val="10"/>
      <color theme="1"/>
      <name val="宋体"/>
      <charset val="134"/>
    </font>
    <font>
      <b/>
      <sz val="10"/>
      <name val="宋体"/>
      <charset val="134"/>
    </font>
    <font>
      <b/>
      <sz val="10"/>
      <color rgb="FFFF0000"/>
      <name val="宋体"/>
      <charset val="134"/>
    </font>
    <font>
      <sz val="10"/>
      <name val="宋体"/>
      <charset val="1"/>
    </font>
    <font>
      <b/>
      <sz val="10"/>
      <name val="宋体"/>
      <charset val="1"/>
    </font>
    <font>
      <sz val="10"/>
      <color rgb="FF000000"/>
      <name val="宋体"/>
      <charset val="134"/>
    </font>
    <font>
      <b/>
      <sz val="10"/>
      <color theme="1"/>
      <name val="宋体"/>
      <charset val="134"/>
    </font>
    <font>
      <sz val="12"/>
      <name val="宋体"/>
      <charset val="134"/>
    </font>
    <font>
      <b/>
      <sz val="18"/>
      <color theme="1"/>
      <name val="宋体"/>
      <charset val="134"/>
    </font>
    <font>
      <sz val="9"/>
      <color rgb="FF000000"/>
      <name val="宋体"/>
      <charset val="134"/>
    </font>
    <font>
      <b/>
      <sz val="9"/>
      <color rgb="FF000000"/>
      <name val="宋体"/>
      <charset val="134"/>
    </font>
    <font>
      <sz val="10"/>
      <color theme="1"/>
      <name val="Microsoft YaHei"/>
      <charset val="134"/>
    </font>
    <font>
      <b/>
      <sz val="10"/>
      <color theme="1"/>
      <name val="Microsoft YaHei"/>
      <charset val="134"/>
    </font>
    <font>
      <sz val="10"/>
      <color theme="1"/>
      <name val="宋体"/>
      <charset val="134"/>
      <scheme val="minor"/>
    </font>
    <font>
      <b/>
      <sz val="18"/>
      <color rgb="FF000000"/>
      <name val="宋体"/>
      <charset val="1"/>
    </font>
    <font>
      <sz val="10"/>
      <color rgb="FF000000"/>
      <name val="宋体"/>
      <charset val="1"/>
    </font>
    <font>
      <b/>
      <sz val="18"/>
      <name val="宋体"/>
      <charset val="134"/>
    </font>
    <font>
      <b/>
      <sz val="10"/>
      <color rgb="FF000000"/>
      <name val="宋体"/>
      <charset val="134"/>
    </font>
    <font>
      <b/>
      <sz val="10"/>
      <color rgb="FF000000"/>
      <name val="宋体"/>
      <charset val="1"/>
    </font>
    <font>
      <sz val="12"/>
      <color theme="1"/>
      <name val="宋体"/>
      <charset val="134"/>
    </font>
    <font>
      <sz val="11"/>
      <color theme="1"/>
      <name val="宋体"/>
      <charset val="134"/>
    </font>
    <font>
      <b/>
      <sz val="12"/>
      <name val="宋体"/>
      <charset val="134"/>
    </font>
    <font>
      <b/>
      <sz val="11"/>
      <name val="宋体"/>
      <charset val="134"/>
    </font>
    <font>
      <b/>
      <sz val="12"/>
      <color theme="1"/>
      <name val="宋体"/>
      <charset val="134"/>
    </font>
    <font>
      <b/>
      <sz val="11"/>
      <color theme="1"/>
      <name val="宋体"/>
      <charset val="134"/>
    </font>
    <font>
      <b/>
      <sz val="10"/>
      <name val="Microsoft YaHei"/>
      <charset val="134"/>
    </font>
    <font>
      <sz val="10"/>
      <color rgb="FF000000"/>
      <name val="Microsoft YaHei"/>
      <charset val="134"/>
    </font>
    <font>
      <sz val="10"/>
      <name val="Microsoft YaHei"/>
      <charset val="134"/>
    </font>
    <font>
      <sz val="11"/>
      <color theme="1"/>
      <name val="宋体"/>
      <charset val="134"/>
      <scheme val="minor"/>
    </font>
    <font>
      <b/>
      <sz val="11"/>
      <color rgb="FF000000"/>
      <name val="宋体"/>
      <charset val="134"/>
    </font>
    <font>
      <sz val="9"/>
      <color theme="1"/>
      <name val="宋体"/>
      <charset val="134"/>
    </font>
    <font>
      <b/>
      <sz val="16"/>
      <color rgb="FF000000"/>
      <name val="宋体"/>
      <charset val="134"/>
    </font>
    <font>
      <b/>
      <sz val="12"/>
      <color rgb="FF000000"/>
      <name val="宋体"/>
      <charset val="134"/>
    </font>
    <font>
      <sz val="12"/>
      <color rgb="FF000000"/>
      <name val="宋体"/>
      <charset val="134"/>
    </font>
    <font>
      <b/>
      <sz val="14"/>
      <name val="楷体_GB2312"/>
      <charset val="134"/>
    </font>
    <font>
      <sz val="12"/>
      <name val="楷体_GB2312"/>
      <charset val="134"/>
    </font>
    <font>
      <b/>
      <sz val="11"/>
      <name val="楷体_GB2312"/>
      <charset val="134"/>
    </font>
    <font>
      <b/>
      <sz val="10.5"/>
      <name val="楷体_GB2312"/>
      <charset val="134"/>
    </font>
    <font>
      <sz val="10.5"/>
      <name val="楷体_GB2312"/>
      <charset val="134"/>
    </font>
    <font>
      <sz val="10"/>
      <name val="Times New Roman"/>
      <charset val="0"/>
    </font>
    <font>
      <b/>
      <sz val="12"/>
      <name val="楷体_GB2312"/>
      <charset val="134"/>
    </font>
    <font>
      <b/>
      <sz val="16"/>
      <name val="楷体_GB2312"/>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新細明體"/>
      <charset val="134"/>
    </font>
    <font>
      <sz val="11"/>
      <color indexed="8"/>
      <name val="宋体"/>
      <charset val="134"/>
    </font>
    <font>
      <sz val="12"/>
      <name val="Times New Roman"/>
      <charset val="134"/>
    </font>
    <font>
      <b/>
      <sz val="9"/>
      <name val="宋体"/>
      <charset val="134"/>
    </font>
    <font>
      <sz val="9"/>
      <name val="宋体"/>
      <charset val="134"/>
    </font>
  </fonts>
  <fills count="38">
    <fill>
      <patternFill patternType="none"/>
    </fill>
    <fill>
      <patternFill patternType="gray125"/>
    </fill>
    <fill>
      <patternFill patternType="solid">
        <fgColor indexed="9"/>
        <bgColor indexed="1"/>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5"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right/>
      <top style="thin">
        <color auto="1"/>
      </top>
      <bottom style="thin">
        <color auto="1"/>
      </bottom>
      <diagonal/>
    </border>
    <border>
      <left style="thin">
        <color auto="1"/>
      </left>
      <right style="thin">
        <color indexed="8"/>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xf numFmtId="43" fontId="37" fillId="0" borderId="0" applyFont="0" applyFill="0" applyBorder="0" applyAlignment="0" applyProtection="0">
      <alignment vertical="center"/>
    </xf>
    <xf numFmtId="44" fontId="37" fillId="0" borderId="0" applyFont="0" applyFill="0" applyBorder="0" applyAlignment="0" applyProtection="0">
      <alignment vertical="center"/>
    </xf>
    <xf numFmtId="9" fontId="37" fillId="0" borderId="0" applyFont="0" applyFill="0" applyBorder="0" applyAlignment="0" applyProtection="0">
      <alignment vertical="center"/>
    </xf>
    <xf numFmtId="41" fontId="37" fillId="0" borderId="0" applyFont="0" applyFill="0" applyBorder="0" applyAlignment="0" applyProtection="0">
      <alignment vertical="center"/>
    </xf>
    <xf numFmtId="42" fontId="37" fillId="0" borderId="0" applyFon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37" fillId="7" borderId="25" applyNumberFormat="0" applyFon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26" applyNumberFormat="0" applyFill="0" applyAlignment="0" applyProtection="0">
      <alignment vertical="center"/>
    </xf>
    <xf numFmtId="0" fontId="58" fillId="0" borderId="26" applyNumberFormat="0" applyFill="0" applyAlignment="0" applyProtection="0">
      <alignment vertical="center"/>
    </xf>
    <xf numFmtId="0" fontId="59" fillId="0" borderId="27" applyNumberFormat="0" applyFill="0" applyAlignment="0" applyProtection="0">
      <alignment vertical="center"/>
    </xf>
    <xf numFmtId="0" fontId="59" fillId="0" borderId="0" applyNumberFormat="0" applyFill="0" applyBorder="0" applyAlignment="0" applyProtection="0">
      <alignment vertical="center"/>
    </xf>
    <xf numFmtId="0" fontId="60" fillId="8" borderId="28" applyNumberFormat="0" applyAlignment="0" applyProtection="0">
      <alignment vertical="center"/>
    </xf>
    <xf numFmtId="0" fontId="61" fillId="9" borderId="29" applyNumberFormat="0" applyAlignment="0" applyProtection="0">
      <alignment vertical="center"/>
    </xf>
    <xf numFmtId="0" fontId="62" fillId="9" borderId="28" applyNumberFormat="0" applyAlignment="0" applyProtection="0">
      <alignment vertical="center"/>
    </xf>
    <xf numFmtId="0" fontId="63" fillId="10" borderId="30" applyNumberFormat="0" applyAlignment="0" applyProtection="0">
      <alignment vertical="center"/>
    </xf>
    <xf numFmtId="0" fontId="64" fillId="0" borderId="31" applyNumberFormat="0" applyFill="0" applyAlignment="0" applyProtection="0">
      <alignment vertical="center"/>
    </xf>
    <xf numFmtId="0" fontId="65" fillId="0" borderId="32" applyNumberFormat="0" applyFill="0" applyAlignment="0" applyProtection="0">
      <alignment vertical="center"/>
    </xf>
    <xf numFmtId="0" fontId="66" fillId="11" borderId="0" applyNumberFormat="0" applyBorder="0" applyAlignment="0" applyProtection="0">
      <alignment vertical="center"/>
    </xf>
    <xf numFmtId="0" fontId="67" fillId="12" borderId="0" applyNumberFormat="0" applyBorder="0" applyAlignment="0" applyProtection="0">
      <alignment vertical="center"/>
    </xf>
    <xf numFmtId="0" fontId="68" fillId="13" borderId="0" applyNumberFormat="0" applyBorder="0" applyAlignment="0" applyProtection="0">
      <alignment vertical="center"/>
    </xf>
    <xf numFmtId="0" fontId="69" fillId="14" borderId="0" applyNumberFormat="0" applyBorder="0" applyAlignment="0" applyProtection="0">
      <alignment vertical="center"/>
    </xf>
    <xf numFmtId="0" fontId="70" fillId="15" borderId="0" applyNumberFormat="0" applyBorder="0" applyAlignment="0" applyProtection="0">
      <alignment vertical="center"/>
    </xf>
    <xf numFmtId="0" fontId="70" fillId="16" borderId="0" applyNumberFormat="0" applyBorder="0" applyAlignment="0" applyProtection="0">
      <alignment vertical="center"/>
    </xf>
    <xf numFmtId="0" fontId="69" fillId="17" borderId="0" applyNumberFormat="0" applyBorder="0" applyAlignment="0" applyProtection="0">
      <alignment vertical="center"/>
    </xf>
    <xf numFmtId="0" fontId="69" fillId="18" borderId="0" applyNumberFormat="0" applyBorder="0" applyAlignment="0" applyProtection="0">
      <alignment vertical="center"/>
    </xf>
    <xf numFmtId="0" fontId="70" fillId="19" borderId="0" applyNumberFormat="0" applyBorder="0" applyAlignment="0" applyProtection="0">
      <alignment vertical="center"/>
    </xf>
    <xf numFmtId="0" fontId="70" fillId="20" borderId="0" applyNumberFormat="0" applyBorder="0" applyAlignment="0" applyProtection="0">
      <alignment vertical="center"/>
    </xf>
    <xf numFmtId="0" fontId="69" fillId="21" borderId="0" applyNumberFormat="0" applyBorder="0" applyAlignment="0" applyProtection="0">
      <alignment vertical="center"/>
    </xf>
    <xf numFmtId="0" fontId="69" fillId="22" borderId="0" applyNumberFormat="0" applyBorder="0" applyAlignment="0" applyProtection="0">
      <alignment vertical="center"/>
    </xf>
    <xf numFmtId="0" fontId="70" fillId="23" borderId="0" applyNumberFormat="0" applyBorder="0" applyAlignment="0" applyProtection="0">
      <alignment vertical="center"/>
    </xf>
    <xf numFmtId="0" fontId="70" fillId="24" borderId="0" applyNumberFormat="0" applyBorder="0" applyAlignment="0" applyProtection="0">
      <alignment vertical="center"/>
    </xf>
    <xf numFmtId="0" fontId="69" fillId="25" borderId="0" applyNumberFormat="0" applyBorder="0" applyAlignment="0" applyProtection="0">
      <alignment vertical="center"/>
    </xf>
    <xf numFmtId="0" fontId="69" fillId="26" borderId="0" applyNumberFormat="0" applyBorder="0" applyAlignment="0" applyProtection="0">
      <alignment vertical="center"/>
    </xf>
    <xf numFmtId="0" fontId="70" fillId="27" borderId="0" applyNumberFormat="0" applyBorder="0" applyAlignment="0" applyProtection="0">
      <alignment vertical="center"/>
    </xf>
    <xf numFmtId="0" fontId="70" fillId="28" borderId="0" applyNumberFormat="0" applyBorder="0" applyAlignment="0" applyProtection="0">
      <alignment vertical="center"/>
    </xf>
    <xf numFmtId="0" fontId="69" fillId="29" borderId="0" applyNumberFormat="0" applyBorder="0" applyAlignment="0" applyProtection="0">
      <alignment vertical="center"/>
    </xf>
    <xf numFmtId="0" fontId="69" fillId="30" borderId="0" applyNumberFormat="0" applyBorder="0" applyAlignment="0" applyProtection="0">
      <alignment vertical="center"/>
    </xf>
    <xf numFmtId="0" fontId="70" fillId="31" borderId="0" applyNumberFormat="0" applyBorder="0" applyAlignment="0" applyProtection="0">
      <alignment vertical="center"/>
    </xf>
    <xf numFmtId="0" fontId="70" fillId="32" borderId="0" applyNumberFormat="0" applyBorder="0" applyAlignment="0" applyProtection="0">
      <alignment vertical="center"/>
    </xf>
    <xf numFmtId="0" fontId="69" fillId="33" borderId="0" applyNumberFormat="0" applyBorder="0" applyAlignment="0" applyProtection="0">
      <alignment vertical="center"/>
    </xf>
    <xf numFmtId="0" fontId="69" fillId="34" borderId="0" applyNumberFormat="0" applyBorder="0" applyAlignment="0" applyProtection="0">
      <alignment vertical="center"/>
    </xf>
    <xf numFmtId="0" fontId="70" fillId="35" borderId="0" applyNumberFormat="0" applyBorder="0" applyAlignment="0" applyProtection="0">
      <alignment vertical="center"/>
    </xf>
    <xf numFmtId="0" fontId="70" fillId="36" borderId="0" applyNumberFormat="0" applyBorder="0" applyAlignment="0" applyProtection="0">
      <alignment vertical="center"/>
    </xf>
    <xf numFmtId="0" fontId="69" fillId="37" borderId="0" applyNumberFormat="0" applyBorder="0" applyAlignment="0" applyProtection="0">
      <alignment vertical="center"/>
    </xf>
    <xf numFmtId="0" fontId="16" fillId="0" borderId="0"/>
    <xf numFmtId="176" fontId="42" fillId="0" borderId="1">
      <alignment horizontal="right" vertical="center" wrapText="1"/>
    </xf>
    <xf numFmtId="0" fontId="71" fillId="0" borderId="0">
      <alignment vertical="center"/>
    </xf>
    <xf numFmtId="0" fontId="16" fillId="0" borderId="0">
      <alignment vertical="center"/>
    </xf>
    <xf numFmtId="0" fontId="16" fillId="0" borderId="0">
      <alignment vertical="center"/>
    </xf>
    <xf numFmtId="0" fontId="37" fillId="0" borderId="0">
      <alignment vertical="center"/>
    </xf>
    <xf numFmtId="0" fontId="42" fillId="0" borderId="0" applyProtection="0">
      <alignment vertical="center"/>
    </xf>
    <xf numFmtId="0" fontId="72" fillId="0" borderId="0">
      <alignment vertical="center"/>
    </xf>
    <xf numFmtId="0" fontId="16" fillId="0" borderId="0">
      <alignment vertical="center"/>
    </xf>
    <xf numFmtId="0" fontId="72" fillId="0" borderId="0">
      <alignment vertical="center"/>
    </xf>
    <xf numFmtId="176" fontId="42" fillId="0" borderId="1">
      <alignment horizontal="right" vertical="center" wrapText="1"/>
    </xf>
    <xf numFmtId="0" fontId="16" fillId="0" borderId="0">
      <alignment vertical="center"/>
    </xf>
    <xf numFmtId="0" fontId="73" fillId="0" borderId="0"/>
    <xf numFmtId="0" fontId="37" fillId="0" borderId="0">
      <alignment vertical="center"/>
    </xf>
    <xf numFmtId="0" fontId="16" fillId="0" borderId="0">
      <alignment vertical="center"/>
    </xf>
    <xf numFmtId="0" fontId="16" fillId="0" borderId="0">
      <alignment vertical="center"/>
    </xf>
    <xf numFmtId="0" fontId="1" fillId="0" borderId="0"/>
    <xf numFmtId="0" fontId="16" fillId="0" borderId="0"/>
    <xf numFmtId="0" fontId="16" fillId="0" borderId="0"/>
    <xf numFmtId="0" fontId="72" fillId="0" borderId="0">
      <alignment vertical="center"/>
    </xf>
    <xf numFmtId="0" fontId="72" fillId="0" borderId="0">
      <alignment vertical="center"/>
    </xf>
    <xf numFmtId="0" fontId="16" fillId="0" borderId="0">
      <alignment vertical="center"/>
    </xf>
    <xf numFmtId="0" fontId="16" fillId="0" borderId="0"/>
  </cellStyleXfs>
  <cellXfs count="373">
    <xf numFmtId="0" fontId="0" fillId="0" borderId="0" xfId="0"/>
    <xf numFmtId="0" fontId="1" fillId="0" borderId="0" xfId="65" applyFont="1" applyFill="1" applyAlignment="1"/>
    <xf numFmtId="0" fontId="2" fillId="0" borderId="0" xfId="65" applyFont="1" applyFill="1" applyAlignment="1"/>
    <xf numFmtId="0" fontId="3" fillId="0" borderId="0" xfId="65" applyFont="1" applyFill="1" applyAlignment="1"/>
    <xf numFmtId="0" fontId="1" fillId="0" borderId="0" xfId="65" applyFont="1" applyFill="1" applyAlignment="1">
      <alignment horizontal="center"/>
    </xf>
    <xf numFmtId="176" fontId="1" fillId="0" borderId="0" xfId="65" applyNumberFormat="1" applyFont="1" applyFill="1" applyAlignment="1">
      <alignment horizontal="center"/>
    </xf>
    <xf numFmtId="43" fontId="1" fillId="0" borderId="0" xfId="65" applyNumberFormat="1" applyFont="1" applyFill="1" applyAlignment="1">
      <alignment horizontal="center"/>
    </xf>
    <xf numFmtId="0" fontId="4" fillId="2" borderId="0" xfId="65" applyFont="1" applyFill="1" applyAlignment="1">
      <alignment horizontal="center" vertical="center" wrapText="1"/>
    </xf>
    <xf numFmtId="176" fontId="4" fillId="2" borderId="0" xfId="65" applyNumberFormat="1" applyFont="1" applyFill="1" applyAlignment="1">
      <alignment horizontal="center" vertical="center" wrapText="1"/>
    </xf>
    <xf numFmtId="0" fontId="5" fillId="2" borderId="0" xfId="65" applyFont="1" applyFill="1" applyAlignment="1">
      <alignment horizontal="left" wrapText="1"/>
    </xf>
    <xf numFmtId="0" fontId="5" fillId="2" borderId="0" xfId="65" applyFont="1" applyFill="1" applyAlignment="1">
      <alignment horizontal="center" wrapText="1"/>
    </xf>
    <xf numFmtId="176" fontId="5" fillId="2" borderId="0" xfId="65" applyNumberFormat="1" applyFont="1" applyFill="1" applyAlignment="1">
      <alignment horizontal="center" wrapText="1"/>
    </xf>
    <xf numFmtId="0" fontId="5" fillId="2" borderId="1" xfId="65" applyFont="1" applyFill="1" applyBorder="1" applyAlignment="1">
      <alignment horizontal="center" vertical="center" wrapText="1"/>
    </xf>
    <xf numFmtId="0" fontId="6" fillId="2" borderId="1" xfId="65" applyFont="1" applyFill="1" applyBorder="1" applyAlignment="1">
      <alignment horizontal="center" vertical="center" wrapText="1"/>
    </xf>
    <xf numFmtId="176" fontId="5" fillId="2" borderId="1" xfId="65" applyNumberFormat="1" applyFont="1" applyFill="1" applyBorder="1" applyAlignment="1">
      <alignment horizontal="center" vertical="center" wrapText="1"/>
    </xf>
    <xf numFmtId="0" fontId="7" fillId="2" borderId="1" xfId="65" applyFont="1" applyFill="1" applyBorder="1" applyAlignment="1">
      <alignment horizontal="center" vertical="center" wrapText="1"/>
    </xf>
    <xf numFmtId="0" fontId="7" fillId="0" borderId="1" xfId="68"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2" borderId="1" xfId="65"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8" fillId="2" borderId="1" xfId="65"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2" borderId="1" xfId="65" applyFont="1" applyFill="1" applyBorder="1" applyAlignment="1">
      <alignment horizontal="left" vertical="center" wrapText="1"/>
    </xf>
    <xf numFmtId="176" fontId="8" fillId="0" borderId="1" xfId="70" applyNumberFormat="1" applyFont="1" applyFill="1" applyBorder="1" applyAlignment="1">
      <alignment horizontal="center" vertical="center"/>
    </xf>
    <xf numFmtId="176" fontId="5" fillId="0" borderId="1" xfId="70" applyNumberFormat="1" applyFont="1" applyFill="1" applyBorder="1" applyAlignment="1">
      <alignment horizontal="center" vertical="center"/>
    </xf>
    <xf numFmtId="0" fontId="8" fillId="0" borderId="1" xfId="69" applyFont="1" applyFill="1" applyBorder="1" applyAlignment="1">
      <alignment horizontal="center" vertical="center" wrapText="1"/>
    </xf>
    <xf numFmtId="0" fontId="8" fillId="0" borderId="1" xfId="68"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Fill="1" applyBorder="1" applyAlignment="1">
      <alignment horizontal="center" vertical="center"/>
    </xf>
    <xf numFmtId="176" fontId="2" fillId="3" borderId="1" xfId="0" applyNumberFormat="1" applyFont="1" applyFill="1" applyBorder="1" applyAlignment="1">
      <alignment horizontal="center" vertical="center" wrapText="1"/>
    </xf>
    <xf numFmtId="176" fontId="9" fillId="3"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68" applyFont="1" applyFill="1" applyBorder="1" applyAlignment="1">
      <alignment horizontal="center" vertical="center" wrapText="1"/>
    </xf>
    <xf numFmtId="0" fontId="10" fillId="2" borderId="1" xfId="65" applyFont="1" applyFill="1" applyBorder="1" applyAlignment="1">
      <alignment vertical="center" wrapText="1"/>
    </xf>
    <xf numFmtId="0" fontId="10" fillId="2" borderId="1" xfId="65" applyFont="1" applyFill="1" applyBorder="1" applyAlignment="1">
      <alignment horizontal="center" vertical="center" wrapText="1"/>
    </xf>
    <xf numFmtId="176" fontId="10" fillId="2" borderId="1" xfId="65" applyNumberFormat="1" applyFont="1" applyFill="1" applyBorder="1" applyAlignment="1">
      <alignment vertical="center" wrapText="1"/>
    </xf>
    <xf numFmtId="43" fontId="4" fillId="2" borderId="0" xfId="65" applyNumberFormat="1" applyFont="1" applyFill="1" applyAlignment="1">
      <alignment horizontal="center" vertical="center" wrapText="1"/>
    </xf>
    <xf numFmtId="43" fontId="5" fillId="2" borderId="0" xfId="65" applyNumberFormat="1" applyFont="1" applyFill="1" applyAlignment="1">
      <alignment horizontal="center" wrapText="1"/>
    </xf>
    <xf numFmtId="43" fontId="5" fillId="2" borderId="1" xfId="65" applyNumberFormat="1" applyFont="1" applyFill="1" applyBorder="1" applyAlignment="1">
      <alignment horizontal="center" vertical="center" wrapText="1"/>
    </xf>
    <xf numFmtId="43" fontId="2" fillId="0" borderId="1" xfId="0" applyNumberFormat="1" applyFont="1" applyFill="1" applyBorder="1" applyAlignment="1">
      <alignment horizontal="center" vertical="center" wrapText="1"/>
    </xf>
    <xf numFmtId="43" fontId="5" fillId="4" borderId="1" xfId="70" applyNumberFormat="1" applyFont="1" applyFill="1" applyBorder="1" applyAlignment="1">
      <alignment horizontal="center" vertical="center"/>
    </xf>
    <xf numFmtId="43" fontId="5" fillId="0" borderId="1" xfId="70" applyNumberFormat="1" applyFont="1" applyFill="1" applyBorder="1" applyAlignment="1">
      <alignment horizontal="center" vertical="center"/>
    </xf>
    <xf numFmtId="43" fontId="8" fillId="0" borderId="1" xfId="70" applyNumberFormat="1" applyFont="1" applyFill="1" applyBorder="1" applyAlignment="1">
      <alignment horizontal="center" vertical="center"/>
    </xf>
    <xf numFmtId="43" fontId="9" fillId="3" borderId="1" xfId="0" applyNumberFormat="1" applyFont="1" applyFill="1" applyBorder="1" applyAlignment="1">
      <alignment horizontal="center" vertical="center" wrapText="1"/>
    </xf>
    <xf numFmtId="43" fontId="5" fillId="4" borderId="1" xfId="0" applyNumberFormat="1" applyFont="1" applyFill="1" applyBorder="1" applyAlignment="1">
      <alignment horizontal="center" vertical="center" wrapText="1"/>
    </xf>
    <xf numFmtId="43" fontId="5" fillId="0" borderId="1" xfId="0" applyNumberFormat="1" applyFont="1" applyFill="1" applyBorder="1" applyAlignment="1">
      <alignment horizontal="center" vertical="center" wrapText="1"/>
    </xf>
    <xf numFmtId="43" fontId="10" fillId="2" borderId="1" xfId="65" applyNumberFormat="1" applyFont="1" applyFill="1" applyBorder="1" applyAlignment="1">
      <alignment vertical="center" wrapText="1"/>
    </xf>
    <xf numFmtId="0" fontId="11" fillId="0" borderId="1" xfId="65" applyFont="1" applyFill="1" applyBorder="1" applyAlignment="1">
      <alignment horizontal="center" vertical="center" wrapText="1"/>
    </xf>
    <xf numFmtId="0" fontId="8" fillId="2" borderId="1" xfId="65" applyFont="1" applyFill="1" applyBorder="1" applyAlignment="1">
      <alignment horizontal="right" vertical="center" wrapText="1"/>
    </xf>
    <xf numFmtId="0" fontId="10" fillId="2" borderId="1" xfId="65" applyFont="1" applyFill="1" applyBorder="1" applyAlignment="1">
      <alignment horizontal="right" vertical="center" wrapText="1"/>
    </xf>
    <xf numFmtId="0" fontId="4" fillId="2" borderId="0" xfId="65" applyFont="1" applyFill="1" applyAlignment="1">
      <alignment horizontal="right" vertical="center" wrapText="1"/>
    </xf>
    <xf numFmtId="0" fontId="5" fillId="2" borderId="0" xfId="65" applyFont="1" applyFill="1" applyAlignment="1">
      <alignment horizontal="right" wrapText="1"/>
    </xf>
    <xf numFmtId="0" fontId="5" fillId="0" borderId="0" xfId="0" applyFont="1" applyFill="1" applyAlignment="1">
      <alignment vertical="center"/>
    </xf>
    <xf numFmtId="0" fontId="10"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43" fontId="5" fillId="0" borderId="0" xfId="0" applyNumberFormat="1" applyFont="1" applyFill="1" applyAlignment="1">
      <alignment vertical="center"/>
    </xf>
    <xf numFmtId="10" fontId="5" fillId="0" borderId="0" xfId="0" applyNumberFormat="1" applyFont="1" applyFill="1" applyAlignment="1">
      <alignment vertical="center"/>
    </xf>
    <xf numFmtId="43" fontId="5" fillId="0" borderId="0" xfId="0" applyNumberFormat="1" applyFont="1" applyFill="1" applyAlignment="1">
      <alignment horizontal="center" vertical="center"/>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43" fontId="10" fillId="0" borderId="0" xfId="0" applyNumberFormat="1" applyFont="1" applyFill="1" applyAlignment="1">
      <alignment horizontal="center" vertical="center" wrapText="1"/>
    </xf>
    <xf numFmtId="0" fontId="10" fillId="0"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43"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9" fillId="5" borderId="1" xfId="0" applyFont="1" applyFill="1" applyBorder="1" applyAlignment="1">
      <alignment horizontal="left" vertical="center" wrapText="1"/>
    </xf>
    <xf numFmtId="0" fontId="5" fillId="0" borderId="1" xfId="65" applyFont="1" applyFill="1" applyBorder="1" applyAlignment="1">
      <alignment horizontal="left" vertical="center" wrapText="1"/>
    </xf>
    <xf numFmtId="0" fontId="10" fillId="0" borderId="1" xfId="65" applyFont="1" applyFill="1" applyBorder="1" applyAlignment="1">
      <alignment horizontal="center" vertical="center" wrapText="1"/>
    </xf>
    <xf numFmtId="0" fontId="5" fillId="0" borderId="1" xfId="0"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43" fontId="5" fillId="0" borderId="1" xfId="0" applyNumberFormat="1" applyFont="1" applyFill="1" applyBorder="1" applyAlignment="1">
      <alignment horizontal="center" vertical="center"/>
    </xf>
    <xf numFmtId="10" fontId="10" fillId="0" borderId="0" xfId="0" applyNumberFormat="1" applyFont="1" applyFill="1" applyAlignment="1">
      <alignment horizontal="center" vertical="center" wrapText="1"/>
    </xf>
    <xf numFmtId="10"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43" fontId="10" fillId="0" borderId="1" xfId="0" applyNumberFormat="1" applyFont="1" applyFill="1" applyBorder="1" applyAlignment="1">
      <alignment vertical="center"/>
    </xf>
    <xf numFmtId="43" fontId="13" fillId="0" borderId="1" xfId="0" applyNumberFormat="1" applyFont="1" applyFill="1" applyBorder="1" applyAlignment="1">
      <alignment vertical="center"/>
    </xf>
    <xf numFmtId="43" fontId="10" fillId="0" borderId="1" xfId="0" applyNumberFormat="1" applyFont="1" applyFill="1" applyBorder="1" applyAlignment="1">
      <alignment horizontal="center" vertical="center"/>
    </xf>
    <xf numFmtId="0" fontId="10" fillId="0" borderId="1" xfId="0" applyFont="1" applyFill="1" applyBorder="1" applyAlignment="1">
      <alignment vertical="center"/>
    </xf>
    <xf numFmtId="0" fontId="5" fillId="0" borderId="1" xfId="0" applyFont="1" applyFill="1" applyBorder="1" applyAlignment="1">
      <alignment vertical="center"/>
    </xf>
    <xf numFmtId="10" fontId="5" fillId="0" borderId="1" xfId="0" applyNumberFormat="1" applyFont="1" applyFill="1" applyBorder="1" applyAlignment="1">
      <alignment horizontal="center" vertical="center" wrapText="1"/>
    </xf>
    <xf numFmtId="43" fontId="5" fillId="0" borderId="1" xfId="0" applyNumberFormat="1" applyFont="1" applyFill="1" applyBorder="1" applyAlignment="1">
      <alignment vertical="center"/>
    </xf>
    <xf numFmtId="43" fontId="12" fillId="0" borderId="1" xfId="0" applyNumberFormat="1" applyFont="1" applyFill="1" applyBorder="1" applyAlignment="1">
      <alignment vertical="center"/>
    </xf>
    <xf numFmtId="177" fontId="14" fillId="0" borderId="1" xfId="0" applyNumberFormat="1" applyFont="1" applyFill="1" applyBorder="1" applyAlignment="1">
      <alignment horizontal="center" vertical="center" wrapText="1"/>
    </xf>
    <xf numFmtId="0" fontId="5" fillId="0" borderId="1" xfId="65" applyFont="1" applyFill="1" applyBorder="1" applyAlignment="1">
      <alignment horizontal="center" vertical="center" wrapText="1"/>
    </xf>
    <xf numFmtId="43" fontId="14"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center" vertical="center"/>
    </xf>
    <xf numFmtId="43" fontId="5"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xf>
    <xf numFmtId="0" fontId="13" fillId="0" borderId="1" xfId="0" applyFont="1" applyFill="1" applyBorder="1" applyAlignment="1">
      <alignment vertical="center"/>
    </xf>
    <xf numFmtId="0" fontId="12" fillId="0" borderId="1" xfId="0" applyFont="1" applyFill="1" applyBorder="1" applyAlignment="1">
      <alignment vertical="center"/>
    </xf>
    <xf numFmtId="10" fontId="10" fillId="0" borderId="1" xfId="0" applyNumberFormat="1" applyFont="1" applyFill="1" applyBorder="1" applyAlignment="1">
      <alignment vertical="center"/>
    </xf>
    <xf numFmtId="10" fontId="5" fillId="0" borderId="1" xfId="0" applyNumberFormat="1" applyFont="1" applyFill="1" applyBorder="1" applyAlignment="1">
      <alignment horizontal="left" vertical="center" wrapText="1"/>
    </xf>
    <xf numFmtId="0" fontId="9" fillId="0" borderId="0" xfId="0" applyFont="1" applyFill="1" applyAlignment="1">
      <alignment horizontal="center" vertical="center"/>
    </xf>
    <xf numFmtId="0" fontId="15" fillId="0" borderId="0" xfId="0" applyFont="1" applyFill="1" applyAlignment="1">
      <alignment horizontal="center" vertical="center"/>
    </xf>
    <xf numFmtId="0" fontId="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9" fillId="0" borderId="0" xfId="0" applyFont="1" applyFill="1" applyAlignment="1">
      <alignment horizontal="left" vertical="center"/>
    </xf>
    <xf numFmtId="176" fontId="9" fillId="0" borderId="0" xfId="0" applyNumberFormat="1" applyFont="1" applyFill="1" applyAlignment="1">
      <alignment horizontal="center" vertical="center"/>
    </xf>
    <xf numFmtId="178" fontId="9" fillId="0" borderId="0" xfId="0" applyNumberFormat="1" applyFont="1" applyFill="1" applyAlignment="1">
      <alignment horizontal="center" vertical="center"/>
    </xf>
    <xf numFmtId="9" fontId="9" fillId="0" borderId="0" xfId="0" applyNumberFormat="1" applyFont="1" applyFill="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xf>
    <xf numFmtId="176" fontId="17" fillId="0" borderId="1" xfId="0" applyNumberFormat="1" applyFont="1" applyFill="1" applyBorder="1" applyAlignment="1">
      <alignment horizontal="center" vertical="center"/>
    </xf>
    <xf numFmtId="178" fontId="17" fillId="0" borderId="1" xfId="0" applyNumberFormat="1" applyFont="1" applyFill="1" applyBorder="1" applyAlignment="1">
      <alignment horizontal="center" vertical="center"/>
    </xf>
    <xf numFmtId="0" fontId="10" fillId="0" borderId="1" xfId="0" applyNumberFormat="1" applyFont="1" applyFill="1" applyBorder="1" applyAlignment="1" applyProtection="1">
      <alignment horizontal="left" vertical="center" wrapText="1"/>
    </xf>
    <xf numFmtId="178" fontId="10" fillId="0" borderId="1" xfId="0" applyNumberFormat="1" applyFont="1" applyFill="1" applyBorder="1" applyAlignment="1">
      <alignment horizontal="center" vertical="center" wrapText="1"/>
    </xf>
    <xf numFmtId="0" fontId="17" fillId="6" borderId="1" xfId="0" applyFont="1" applyFill="1" applyBorder="1" applyAlignment="1">
      <alignment horizontal="center" vertical="center"/>
    </xf>
    <xf numFmtId="0" fontId="17" fillId="6" borderId="1" xfId="0" applyFont="1" applyFill="1" applyBorder="1" applyAlignment="1">
      <alignment horizontal="left" vertical="center"/>
    </xf>
    <xf numFmtId="176" fontId="17" fillId="6" borderId="1" xfId="0" applyNumberFormat="1" applyFont="1" applyFill="1" applyBorder="1" applyAlignment="1">
      <alignment horizontal="center" vertical="center"/>
    </xf>
    <xf numFmtId="178" fontId="17" fillId="6"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10" fillId="0" borderId="4" xfId="0" applyFont="1" applyFill="1" applyBorder="1" applyAlignment="1">
      <alignment horizontal="center" vertical="center"/>
    </xf>
    <xf numFmtId="0" fontId="5" fillId="0" borderId="4" xfId="0" applyFont="1" applyFill="1" applyBorder="1" applyAlignment="1">
      <alignment horizontal="left" vertical="center"/>
    </xf>
    <xf numFmtId="43" fontId="5" fillId="0" borderId="4"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178" fontId="9" fillId="0" borderId="1" xfId="0" applyNumberFormat="1" applyFont="1" applyFill="1" applyBorder="1" applyAlignment="1">
      <alignment horizontal="center" vertical="center"/>
    </xf>
    <xf numFmtId="9" fontId="17" fillId="0" borderId="1" xfId="0" applyNumberFormat="1" applyFont="1" applyFill="1" applyBorder="1" applyAlignment="1">
      <alignment horizontal="center" vertical="center"/>
    </xf>
    <xf numFmtId="9" fontId="10" fillId="0" borderId="1" xfId="0" applyNumberFormat="1" applyFont="1" applyFill="1" applyBorder="1" applyAlignment="1">
      <alignment horizontal="center" vertical="center" wrapText="1"/>
    </xf>
    <xf numFmtId="9" fontId="17" fillId="6" borderId="1" xfId="0" applyNumberFormat="1" applyFont="1" applyFill="1" applyBorder="1" applyAlignment="1">
      <alignment horizontal="center" vertical="center"/>
    </xf>
    <xf numFmtId="9" fontId="5" fillId="0" borderId="1" xfId="0" applyNumberFormat="1"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6" xfId="0" applyFont="1" applyFill="1" applyBorder="1" applyAlignment="1">
      <alignment horizontal="center" vertical="center"/>
    </xf>
    <xf numFmtId="9" fontId="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178" fontId="12" fillId="0" borderId="1" xfId="0" applyNumberFormat="1" applyFont="1" applyFill="1" applyBorder="1" applyAlignment="1">
      <alignment horizontal="center" vertical="center"/>
    </xf>
    <xf numFmtId="43" fontId="12" fillId="0" borderId="1" xfId="0" applyNumberFormat="1" applyFont="1" applyFill="1" applyBorder="1" applyAlignment="1">
      <alignment horizontal="center" vertical="center"/>
    </xf>
    <xf numFmtId="9" fontId="5" fillId="0" borderId="4" xfId="0" applyNumberFormat="1" applyFont="1" applyFill="1" applyBorder="1" applyAlignment="1">
      <alignment horizontal="center" vertical="center"/>
    </xf>
    <xf numFmtId="43" fontId="10" fillId="0" borderId="4" xfId="0" applyNumberFormat="1" applyFont="1" applyFill="1" applyBorder="1" applyAlignment="1">
      <alignment horizontal="center" vertical="center"/>
    </xf>
    <xf numFmtId="9" fontId="10" fillId="0" borderId="5"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xf>
    <xf numFmtId="43" fontId="5" fillId="0" borderId="7" xfId="0" applyNumberFormat="1" applyFont="1" applyFill="1" applyBorder="1" applyAlignment="1">
      <alignment horizontal="center" vertical="center"/>
    </xf>
    <xf numFmtId="43" fontId="5" fillId="0" borderId="8"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43" fontId="5" fillId="0" borderId="3"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wrapText="1"/>
    </xf>
    <xf numFmtId="9" fontId="10" fillId="0" borderId="1" xfId="0" applyNumberFormat="1" applyFont="1" applyFill="1" applyBorder="1" applyAlignment="1">
      <alignment horizontal="center" vertical="center"/>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22" fillId="0" borderId="1" xfId="0" applyFont="1" applyFill="1" applyBorder="1" applyAlignment="1">
      <alignment horizontal="center" vertical="center"/>
    </xf>
    <xf numFmtId="43" fontId="22"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5" fillId="0" borderId="10" xfId="0" applyFont="1" applyFill="1" applyBorder="1" applyAlignment="1">
      <alignment horizontal="center" vertical="center"/>
    </xf>
    <xf numFmtId="0" fontId="19" fillId="0" borderId="11" xfId="0" applyFont="1" applyFill="1" applyBorder="1" applyAlignment="1">
      <alignment horizontal="center" vertical="center" wrapText="1"/>
    </xf>
    <xf numFmtId="0" fontId="19" fillId="0" borderId="12" xfId="0" applyFont="1" applyFill="1" applyBorder="1" applyAlignment="1">
      <alignment horizontal="left" vertical="center" wrapText="1"/>
    </xf>
    <xf numFmtId="43" fontId="5" fillId="0" borderId="10" xfId="0" applyNumberFormat="1" applyFont="1" applyFill="1" applyBorder="1" applyAlignment="1">
      <alignment horizontal="center" vertical="center"/>
    </xf>
    <xf numFmtId="0" fontId="23" fillId="6" borderId="1" xfId="0" applyFont="1" applyFill="1" applyBorder="1" applyAlignment="1">
      <alignment horizontal="center" vertical="center" wrapText="1"/>
    </xf>
    <xf numFmtId="0" fontId="24" fillId="0" borderId="8" xfId="0" applyFont="1" applyBorder="1" applyAlignment="1">
      <alignment horizontal="center" vertical="center" wrapText="1"/>
    </xf>
    <xf numFmtId="0" fontId="9" fillId="0" borderId="8" xfId="0" applyFont="1" applyFill="1" applyBorder="1" applyAlignment="1">
      <alignment horizontal="left" vertical="center"/>
    </xf>
    <xf numFmtId="0" fontId="24" fillId="0" borderId="1" xfId="0" applyFont="1" applyBorder="1" applyAlignment="1">
      <alignment horizontal="center" vertical="center" wrapText="1"/>
    </xf>
    <xf numFmtId="0" fontId="9" fillId="0" borderId="1" xfId="0" applyFont="1" applyFill="1" applyBorder="1" applyAlignment="1">
      <alignment horizontal="left" vertical="center"/>
    </xf>
    <xf numFmtId="0" fontId="24" fillId="0" borderId="1" xfId="0" applyFont="1" applyBorder="1" applyAlignment="1">
      <alignment horizontal="center" wrapText="1"/>
    </xf>
    <xf numFmtId="0" fontId="25" fillId="0" borderId="2" xfId="65" applyFont="1" applyFill="1" applyBorder="1" applyAlignment="1">
      <alignment horizontal="center" vertical="center" wrapText="1"/>
    </xf>
    <xf numFmtId="0" fontId="25" fillId="0" borderId="5" xfId="65" applyFont="1" applyFill="1" applyBorder="1" applyAlignment="1">
      <alignment horizontal="center" vertical="center" wrapText="1"/>
    </xf>
    <xf numFmtId="0" fontId="25" fillId="0" borderId="5" xfId="65" applyFont="1" applyFill="1" applyBorder="1" applyAlignment="1">
      <alignment horizontal="left" vertical="center" wrapText="1"/>
    </xf>
    <xf numFmtId="0" fontId="25" fillId="0" borderId="3" xfId="65" applyFont="1" applyFill="1" applyBorder="1" applyAlignment="1">
      <alignment horizontal="center" vertical="center" wrapText="1"/>
    </xf>
    <xf numFmtId="178" fontId="26" fillId="0" borderId="1" xfId="0" applyNumberFormat="1" applyFont="1" applyFill="1" applyBorder="1" applyAlignment="1">
      <alignment horizontal="center" vertical="center" wrapText="1"/>
    </xf>
    <xf numFmtId="179" fontId="22" fillId="0" borderId="1" xfId="0" applyNumberFormat="1" applyFont="1" applyFill="1" applyBorder="1" applyAlignment="1">
      <alignment horizontal="center" vertical="center"/>
    </xf>
    <xf numFmtId="0" fontId="5" fillId="0" borderId="10" xfId="0" applyFont="1" applyFill="1" applyBorder="1" applyAlignment="1">
      <alignment horizontal="center" vertical="center" wrapText="1"/>
    </xf>
    <xf numFmtId="9" fontId="22" fillId="0" borderId="1" xfId="0" applyNumberFormat="1" applyFont="1" applyFill="1" applyBorder="1" applyAlignment="1">
      <alignment horizontal="center" vertical="center"/>
    </xf>
    <xf numFmtId="0" fontId="14" fillId="0" borderId="10" xfId="0" applyFont="1" applyFill="1" applyBorder="1" applyAlignment="1">
      <alignment horizontal="center" vertical="center" wrapText="1"/>
    </xf>
    <xf numFmtId="9" fontId="5" fillId="0" borderId="10" xfId="0" applyNumberFormat="1" applyFont="1" applyFill="1" applyBorder="1" applyAlignment="1">
      <alignment horizontal="center" vertical="center"/>
    </xf>
    <xf numFmtId="43" fontId="10" fillId="0" borderId="10" xfId="0" applyNumberFormat="1" applyFont="1" applyFill="1" applyBorder="1" applyAlignment="1">
      <alignment horizontal="center" vertical="center"/>
    </xf>
    <xf numFmtId="0" fontId="24" fillId="0" borderId="8" xfId="0" applyFont="1" applyBorder="1" applyAlignment="1">
      <alignment horizontal="center" vertical="center"/>
    </xf>
    <xf numFmtId="0" fontId="24" fillId="0" borderId="1" xfId="0" applyFont="1" applyBorder="1" applyAlignment="1">
      <alignment horizontal="center" vertical="center"/>
    </xf>
    <xf numFmtId="4" fontId="24" fillId="0" borderId="1" xfId="0" applyNumberFormat="1" applyFont="1" applyBorder="1" applyAlignment="1">
      <alignment horizontal="center" vertical="center" wrapText="1"/>
    </xf>
    <xf numFmtId="4" fontId="27" fillId="0" borderId="1" xfId="0" applyNumberFormat="1" applyFont="1" applyBorder="1" applyAlignment="1">
      <alignment horizontal="center" vertical="center" wrapText="1"/>
    </xf>
    <xf numFmtId="178" fontId="15"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0" xfId="0" applyFont="1" applyFill="1" applyBorder="1" applyAlignment="1">
      <alignment horizontal="center" vertical="center"/>
    </xf>
    <xf numFmtId="0" fontId="20" fillId="0" borderId="13" xfId="0" applyFont="1" applyFill="1" applyBorder="1" applyAlignment="1">
      <alignment horizontal="center" vertical="center" wrapText="1"/>
    </xf>
    <xf numFmtId="0" fontId="24" fillId="0" borderId="8" xfId="0" applyFont="1" applyBorder="1" applyAlignment="1">
      <alignment horizontal="center" wrapText="1"/>
    </xf>
    <xf numFmtId="0" fontId="0" fillId="0" borderId="1" xfId="0" applyBorder="1"/>
    <xf numFmtId="176" fontId="15" fillId="0" borderId="0" xfId="0" applyNumberFormat="1" applyFont="1" applyFill="1" applyAlignment="1">
      <alignment horizontal="center" vertical="center"/>
    </xf>
    <xf numFmtId="0" fontId="28" fillId="6" borderId="0" xfId="0" applyFont="1" applyFill="1" applyAlignment="1">
      <alignment horizontal="center" vertical="center"/>
    </xf>
    <xf numFmtId="0" fontId="29" fillId="6" borderId="0" xfId="0" applyFont="1" applyFill="1" applyAlignment="1">
      <alignment horizontal="center" vertical="center"/>
    </xf>
    <xf numFmtId="0" fontId="9" fillId="6" borderId="0" xfId="0" applyFont="1" applyFill="1" applyAlignment="1">
      <alignment horizontal="center" vertical="center"/>
    </xf>
    <xf numFmtId="0" fontId="15" fillId="6" borderId="0" xfId="0" applyFont="1" applyFill="1" applyAlignment="1">
      <alignment horizontal="center" vertical="center"/>
    </xf>
    <xf numFmtId="178" fontId="9" fillId="0" borderId="0" xfId="0" applyNumberFormat="1" applyFont="1" applyFill="1" applyAlignment="1">
      <alignment vertical="center"/>
    </xf>
    <xf numFmtId="178" fontId="17" fillId="0" borderId="1" xfId="0" applyNumberFormat="1" applyFont="1" applyFill="1" applyBorder="1" applyAlignment="1">
      <alignment vertical="center"/>
    </xf>
    <xf numFmtId="178" fontId="10" fillId="0" borderId="1" xfId="0" applyNumberFormat="1" applyFont="1" applyFill="1" applyBorder="1" applyAlignment="1">
      <alignment vertical="center" wrapText="1"/>
    </xf>
    <xf numFmtId="0" fontId="30" fillId="6" borderId="1" xfId="0" applyFont="1" applyFill="1" applyBorder="1" applyAlignment="1">
      <alignment horizontal="center" vertical="center" wrapText="1"/>
    </xf>
    <xf numFmtId="0" fontId="30" fillId="6" borderId="1" xfId="0" applyFont="1" applyFill="1" applyBorder="1" applyAlignment="1">
      <alignment horizontal="left" vertical="center" wrapText="1"/>
    </xf>
    <xf numFmtId="176" fontId="30" fillId="6" borderId="1" xfId="0" applyNumberFormat="1" applyFont="1" applyFill="1" applyBorder="1" applyAlignment="1">
      <alignment horizontal="center" vertical="center" wrapText="1"/>
    </xf>
    <xf numFmtId="178" fontId="30" fillId="6" borderId="1" xfId="0" applyNumberFormat="1" applyFont="1" applyFill="1" applyBorder="1" applyAlignment="1">
      <alignment horizontal="center" vertical="center" wrapText="1"/>
    </xf>
    <xf numFmtId="178" fontId="30" fillId="6" borderId="1" xfId="0" applyNumberFormat="1" applyFont="1" applyFill="1" applyBorder="1" applyAlignment="1">
      <alignment vertical="center" wrapText="1"/>
    </xf>
    <xf numFmtId="0" fontId="31" fillId="6" borderId="1" xfId="0" applyFont="1" applyFill="1" applyBorder="1" applyAlignment="1">
      <alignment horizontal="center" vertical="center" wrapText="1"/>
    </xf>
    <xf numFmtId="0" fontId="31" fillId="6" borderId="1" xfId="0" applyFont="1" applyFill="1" applyBorder="1" applyAlignment="1">
      <alignment horizontal="left" vertical="center" wrapText="1"/>
    </xf>
    <xf numFmtId="176" fontId="31" fillId="6" borderId="1" xfId="0" applyNumberFormat="1" applyFont="1" applyFill="1" applyBorder="1" applyAlignment="1">
      <alignment horizontal="center" vertical="center" wrapText="1"/>
    </xf>
    <xf numFmtId="178" fontId="31" fillId="6" borderId="1" xfId="0" applyNumberFormat="1" applyFont="1" applyFill="1" applyBorder="1" applyAlignment="1">
      <alignment horizontal="center" vertical="center" wrapText="1"/>
    </xf>
    <xf numFmtId="178" fontId="31" fillId="6" borderId="1" xfId="0" applyNumberFormat="1" applyFont="1" applyFill="1" applyBorder="1" applyAlignment="1">
      <alignment vertical="center" wrapText="1"/>
    </xf>
    <xf numFmtId="178" fontId="5" fillId="0" borderId="1" xfId="0" applyNumberFormat="1" applyFont="1" applyFill="1" applyBorder="1" applyAlignment="1">
      <alignment vertical="center" wrapText="1"/>
    </xf>
    <xf numFmtId="0" fontId="31" fillId="6" borderId="2" xfId="0" applyFont="1" applyFill="1" applyBorder="1" applyAlignment="1">
      <alignment horizontal="center" vertical="center" wrapText="1"/>
    </xf>
    <xf numFmtId="0" fontId="31" fillId="6" borderId="3" xfId="0" applyFont="1" applyFill="1" applyBorder="1" applyAlignment="1">
      <alignment horizontal="center" vertical="center" wrapText="1"/>
    </xf>
    <xf numFmtId="0" fontId="31" fillId="6" borderId="1" xfId="0" applyFont="1" applyFill="1" applyBorder="1" applyAlignment="1">
      <alignment vertical="center" wrapText="1"/>
    </xf>
    <xf numFmtId="43" fontId="5" fillId="0" borderId="1" xfId="0" applyNumberFormat="1" applyFont="1" applyFill="1" applyBorder="1" applyAlignment="1">
      <alignment vertical="center" wrapText="1"/>
    </xf>
    <xf numFmtId="178" fontId="5" fillId="0" borderId="1" xfId="0" applyNumberFormat="1" applyFont="1" applyFill="1" applyBorder="1" applyAlignment="1">
      <alignment vertical="center"/>
    </xf>
    <xf numFmtId="9" fontId="30" fillId="6" borderId="1" xfId="0" applyNumberFormat="1" applyFont="1" applyFill="1" applyBorder="1" applyAlignment="1">
      <alignment horizontal="center" vertical="center" wrapText="1"/>
    </xf>
    <xf numFmtId="178" fontId="28" fillId="6" borderId="1" xfId="0" applyNumberFormat="1" applyFont="1" applyFill="1" applyBorder="1" applyAlignment="1">
      <alignment horizontal="center" vertical="center"/>
    </xf>
    <xf numFmtId="178" fontId="32" fillId="6" borderId="1" xfId="0" applyNumberFormat="1" applyFont="1" applyFill="1" applyBorder="1" applyAlignment="1">
      <alignment horizontal="center" vertical="center"/>
    </xf>
    <xf numFmtId="0" fontId="28" fillId="6" borderId="1" xfId="0" applyFont="1" applyFill="1" applyBorder="1" applyAlignment="1">
      <alignment horizontal="center" vertical="center"/>
    </xf>
    <xf numFmtId="9" fontId="5" fillId="6" borderId="1" xfId="0" applyNumberFormat="1" applyFont="1" applyFill="1" applyBorder="1" applyAlignment="1">
      <alignment horizontal="center" vertical="center" wrapText="1"/>
    </xf>
    <xf numFmtId="178" fontId="29" fillId="6" borderId="1" xfId="0" applyNumberFormat="1" applyFont="1" applyFill="1" applyBorder="1" applyAlignment="1">
      <alignment horizontal="center" vertical="center"/>
    </xf>
    <xf numFmtId="178" fontId="33" fillId="6" borderId="1" xfId="0" applyNumberFormat="1" applyFont="1" applyFill="1" applyBorder="1" applyAlignment="1">
      <alignment horizontal="center" vertical="center"/>
    </xf>
    <xf numFmtId="0" fontId="29" fillId="6" borderId="1" xfId="0" applyFont="1" applyFill="1" applyBorder="1" applyAlignment="1">
      <alignment horizontal="center" vertical="center"/>
    </xf>
    <xf numFmtId="178" fontId="14"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9" fontId="31" fillId="6" borderId="1" xfId="0" applyNumberFormat="1" applyFont="1" applyFill="1" applyBorder="1" applyAlignment="1">
      <alignment horizontal="center" vertical="center" wrapText="1"/>
    </xf>
    <xf numFmtId="176" fontId="28" fillId="6" borderId="0" xfId="0" applyNumberFormat="1" applyFont="1" applyFill="1" applyAlignment="1">
      <alignment horizontal="center" vertical="center"/>
    </xf>
    <xf numFmtId="176" fontId="29" fillId="6" borderId="0" xfId="0" applyNumberFormat="1" applyFont="1" applyFill="1" applyAlignment="1">
      <alignment horizontal="center" vertical="center"/>
    </xf>
    <xf numFmtId="0" fontId="9" fillId="0" borderId="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8" xfId="0" applyFont="1" applyFill="1" applyBorder="1" applyAlignment="1">
      <alignment horizontal="center" vertical="center" wrapText="1"/>
    </xf>
    <xf numFmtId="176" fontId="9" fillId="6" borderId="0" xfId="0" applyNumberFormat="1" applyFont="1" applyFill="1" applyAlignment="1">
      <alignment horizontal="center" vertical="center"/>
    </xf>
    <xf numFmtId="176" fontId="5" fillId="0" borderId="0" xfId="0" applyNumberFormat="1" applyFont="1" applyFill="1" applyAlignment="1">
      <alignment horizontal="center" vertical="center"/>
    </xf>
    <xf numFmtId="0" fontId="34" fillId="6" borderId="1" xfId="0" applyFont="1" applyFill="1" applyBorder="1" applyAlignment="1">
      <alignment horizontal="center" vertical="center" wrapText="1"/>
    </xf>
    <xf numFmtId="176" fontId="34" fillId="6" borderId="1" xfId="0" applyNumberFormat="1" applyFont="1" applyFill="1" applyBorder="1" applyAlignment="1">
      <alignment horizontal="center" vertical="center" wrapText="1"/>
    </xf>
    <xf numFmtId="43" fontId="34" fillId="6" borderId="1" xfId="0" applyNumberFormat="1" applyFont="1" applyFill="1" applyBorder="1" applyAlignment="1">
      <alignment horizontal="center" vertical="center" wrapText="1"/>
    </xf>
    <xf numFmtId="43" fontId="34" fillId="6" borderId="1" xfId="0" applyNumberFormat="1" applyFont="1" applyFill="1" applyBorder="1" applyAlignment="1">
      <alignment vertical="center" wrapText="1"/>
    </xf>
    <xf numFmtId="0" fontId="3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6" borderId="1" xfId="0" applyFont="1" applyFill="1" applyBorder="1" applyAlignment="1">
      <alignment horizontal="center" vertical="center" wrapText="1"/>
    </xf>
    <xf numFmtId="0" fontId="35" fillId="6" borderId="1" xfId="0" applyFont="1" applyFill="1" applyBorder="1" applyAlignment="1">
      <alignment horizontal="center" vertical="center" wrapText="1"/>
    </xf>
    <xf numFmtId="176" fontId="36" fillId="6" borderId="1" xfId="0" applyNumberFormat="1" applyFont="1" applyFill="1" applyBorder="1" applyAlignment="1">
      <alignment horizontal="center" vertical="center" wrapText="1"/>
    </xf>
    <xf numFmtId="43" fontId="36" fillId="6" borderId="1" xfId="0" applyNumberFormat="1" applyFont="1" applyFill="1" applyBorder="1" applyAlignment="1">
      <alignment horizontal="center" vertical="center" wrapText="1"/>
    </xf>
    <xf numFmtId="43" fontId="36" fillId="6" borderId="1" xfId="0" applyNumberFormat="1" applyFont="1" applyFill="1" applyBorder="1" applyAlignment="1">
      <alignment vertical="center" wrapText="1"/>
    </xf>
    <xf numFmtId="0" fontId="37" fillId="0" borderId="1" xfId="0" applyFont="1" applyFill="1" applyBorder="1" applyAlignment="1">
      <alignment horizontal="center" vertical="center"/>
    </xf>
    <xf numFmtId="0" fontId="9" fillId="0" borderId="10" xfId="0" applyFont="1" applyFill="1" applyBorder="1" applyAlignment="1">
      <alignment horizontal="left" vertical="center" wrapText="1"/>
    </xf>
    <xf numFmtId="43" fontId="5" fillId="0" borderId="10" xfId="0" applyNumberFormat="1" applyFont="1" applyFill="1" applyBorder="1" applyAlignment="1">
      <alignment horizontal="center" vertical="center" wrapText="1"/>
    </xf>
    <xf numFmtId="43" fontId="5" fillId="0" borderId="10" xfId="0" applyNumberFormat="1" applyFont="1" applyFill="1" applyBorder="1" applyAlignment="1">
      <alignment vertical="center" wrapText="1"/>
    </xf>
    <xf numFmtId="0" fontId="25" fillId="6" borderId="2" xfId="65" applyFont="1" applyFill="1" applyBorder="1" applyAlignment="1">
      <alignment horizontal="center" vertical="center" wrapText="1"/>
    </xf>
    <xf numFmtId="0" fontId="25" fillId="6" borderId="5" xfId="65" applyFont="1" applyFill="1" applyBorder="1" applyAlignment="1">
      <alignment horizontal="center" vertical="center" wrapText="1"/>
    </xf>
    <xf numFmtId="0" fontId="25" fillId="6" borderId="5" xfId="65" applyFont="1" applyFill="1" applyBorder="1" applyAlignment="1">
      <alignment horizontal="left" vertical="center" wrapText="1"/>
    </xf>
    <xf numFmtId="0" fontId="25" fillId="6" borderId="3" xfId="65" applyFont="1" applyFill="1" applyBorder="1" applyAlignment="1">
      <alignment horizontal="center" vertical="center" wrapText="1"/>
    </xf>
    <xf numFmtId="178" fontId="26" fillId="6" borderId="1" xfId="0" applyNumberFormat="1" applyFont="1" applyFill="1" applyBorder="1" applyAlignment="1">
      <alignment horizontal="center" vertical="center" wrapText="1"/>
    </xf>
    <xf numFmtId="178" fontId="10" fillId="6" borderId="1" xfId="0" applyNumberFormat="1" applyFont="1" applyFill="1" applyBorder="1" applyAlignment="1">
      <alignment horizontal="center" vertical="center" wrapText="1"/>
    </xf>
    <xf numFmtId="178" fontId="10" fillId="6" borderId="1" xfId="0" applyNumberFormat="1" applyFont="1" applyFill="1" applyBorder="1" applyAlignment="1">
      <alignment vertical="center" wrapText="1"/>
    </xf>
    <xf numFmtId="9" fontId="36" fillId="6" borderId="1" xfId="0" applyNumberFormat="1" applyFont="1" applyFill="1" applyBorder="1" applyAlignment="1">
      <alignment horizontal="center" vertical="center" wrapText="1"/>
    </xf>
    <xf numFmtId="43" fontId="20" fillId="6" borderId="1" xfId="0" applyNumberFormat="1" applyFont="1" applyFill="1" applyBorder="1" applyAlignment="1">
      <alignment horizontal="center" vertical="center" wrapText="1"/>
    </xf>
    <xf numFmtId="0" fontId="20" fillId="6" borderId="1" xfId="0" applyFont="1" applyFill="1" applyBorder="1" applyAlignment="1">
      <alignment horizontal="center" vertical="center" wrapText="1"/>
    </xf>
    <xf numFmtId="178" fontId="33" fillId="0" borderId="1" xfId="0" applyNumberFormat="1" applyFont="1" applyFill="1" applyBorder="1" applyAlignment="1">
      <alignment horizontal="center" vertical="center"/>
    </xf>
    <xf numFmtId="43" fontId="35" fillId="6" borderId="1" xfId="0" applyNumberFormat="1" applyFont="1" applyFill="1" applyBorder="1" applyAlignment="1">
      <alignment horizontal="center" vertical="center" wrapText="1"/>
    </xf>
    <xf numFmtId="0" fontId="36" fillId="6" borderId="1" xfId="0" applyFont="1" applyFill="1" applyBorder="1" applyAlignment="1">
      <alignment horizontal="center" vertical="center" wrapText="1"/>
    </xf>
    <xf numFmtId="9" fontId="5" fillId="0" borderId="10" xfId="0" applyNumberFormat="1" applyFont="1" applyFill="1" applyBorder="1" applyAlignment="1">
      <alignment horizontal="center" vertical="center" wrapText="1"/>
    </xf>
    <xf numFmtId="43" fontId="12" fillId="0" borderId="10" xfId="0" applyNumberFormat="1" applyFont="1" applyFill="1" applyBorder="1" applyAlignment="1">
      <alignment horizontal="center" vertical="center"/>
    </xf>
    <xf numFmtId="9" fontId="10" fillId="6" borderId="1" xfId="0" applyNumberFormat="1" applyFont="1" applyFill="1" applyBorder="1" applyAlignment="1">
      <alignment horizontal="center" vertical="center" wrapText="1"/>
    </xf>
    <xf numFmtId="178" fontId="15" fillId="6" borderId="1" xfId="0" applyNumberFormat="1" applyFont="1" applyFill="1" applyBorder="1" applyAlignment="1">
      <alignment horizontal="center" vertical="center"/>
    </xf>
    <xf numFmtId="178" fontId="38" fillId="6" borderId="1" xfId="0" applyNumberFormat="1" applyFont="1" applyFill="1" applyBorder="1" applyAlignment="1">
      <alignment horizontal="center" vertical="center" wrapText="1"/>
    </xf>
    <xf numFmtId="0" fontId="15" fillId="6" borderId="1" xfId="0" applyFont="1" applyFill="1" applyBorder="1" applyAlignment="1">
      <alignment horizontal="center" vertical="center"/>
    </xf>
    <xf numFmtId="0" fontId="20" fillId="6" borderId="8" xfId="0" applyFont="1" applyFill="1" applyBorder="1" applyAlignment="1">
      <alignment horizontal="center" vertical="center" wrapText="1"/>
    </xf>
    <xf numFmtId="176" fontId="15" fillId="6" borderId="0" xfId="0" applyNumberFormat="1" applyFont="1" applyFill="1" applyAlignment="1">
      <alignment horizontal="center" vertical="center"/>
    </xf>
    <xf numFmtId="0" fontId="28" fillId="0" borderId="0" xfId="0" applyFont="1" applyFill="1" applyAlignment="1"/>
    <xf numFmtId="0" fontId="32" fillId="0" borderId="0" xfId="0" applyFont="1" applyFill="1" applyAlignment="1"/>
    <xf numFmtId="0" fontId="39" fillId="0" borderId="0" xfId="0" applyFont="1" applyFill="1" applyAlignment="1"/>
    <xf numFmtId="43" fontId="39" fillId="0" borderId="0" xfId="0" applyNumberFormat="1" applyFont="1" applyFill="1" applyAlignment="1"/>
    <xf numFmtId="179" fontId="39" fillId="0" borderId="0" xfId="0" applyNumberFormat="1" applyFont="1" applyFill="1" applyAlignment="1">
      <alignment horizontal="center" vertical="center"/>
    </xf>
    <xf numFmtId="0" fontId="39" fillId="0" borderId="0" xfId="0" applyFont="1" applyFill="1" applyAlignment="1">
      <alignment vertical="center"/>
    </xf>
    <xf numFmtId="0" fontId="40" fillId="0" borderId="0" xfId="0" applyFont="1" applyFill="1" applyBorder="1" applyAlignment="1">
      <alignment horizontal="center" vertical="center" wrapText="1"/>
    </xf>
    <xf numFmtId="43" fontId="40" fillId="0" borderId="0" xfId="0" applyNumberFormat="1" applyFont="1" applyFill="1" applyBorder="1" applyAlignment="1">
      <alignment horizontal="center" vertical="center" wrapText="1"/>
    </xf>
    <xf numFmtId="0" fontId="40" fillId="0" borderId="0" xfId="0" applyFont="1" applyFill="1" applyAlignment="1">
      <alignment horizontal="center" vertical="center" wrapText="1"/>
    </xf>
    <xf numFmtId="179" fontId="28" fillId="0" borderId="0" xfId="0" applyNumberFormat="1" applyFont="1" applyFill="1" applyAlignment="1">
      <alignment horizontal="center" vertical="center"/>
    </xf>
    <xf numFmtId="0" fontId="28" fillId="0" borderId="0" xfId="0" applyFont="1" applyFill="1" applyAlignment="1">
      <alignment vertical="center"/>
    </xf>
    <xf numFmtId="0" fontId="41" fillId="0" borderId="1" xfId="0" applyFont="1" applyFill="1" applyBorder="1" applyAlignment="1">
      <alignment horizontal="center" vertical="center" wrapText="1"/>
    </xf>
    <xf numFmtId="43" fontId="41" fillId="0" borderId="1" xfId="0" applyNumberFormat="1" applyFont="1" applyFill="1" applyBorder="1" applyAlignment="1">
      <alignment horizontal="center" vertical="center" wrapText="1"/>
    </xf>
    <xf numFmtId="0" fontId="41" fillId="0" borderId="0" xfId="0" applyFont="1" applyFill="1" applyAlignment="1">
      <alignment horizontal="center" vertical="center" wrapText="1"/>
    </xf>
    <xf numFmtId="0" fontId="41" fillId="0" borderId="1" xfId="0" applyFont="1" applyFill="1" applyBorder="1" applyAlignment="1">
      <alignment horizontal="left" vertical="center" wrapText="1"/>
    </xf>
    <xf numFmtId="43" fontId="32" fillId="0" borderId="1" xfId="0" applyNumberFormat="1" applyFont="1" applyFill="1" applyBorder="1" applyAlignment="1">
      <alignment horizontal="center" vertical="center"/>
    </xf>
    <xf numFmtId="0" fontId="32" fillId="0" borderId="1" xfId="0" applyFont="1" applyFill="1" applyBorder="1" applyAlignment="1"/>
    <xf numFmtId="179" fontId="32" fillId="0" borderId="0" xfId="0" applyNumberFormat="1" applyFont="1" applyFill="1" applyAlignment="1">
      <alignment horizontal="center" vertical="center"/>
    </xf>
    <xf numFmtId="0" fontId="32" fillId="0" borderId="0" xfId="0" applyFont="1" applyFill="1" applyAlignment="1">
      <alignment vertical="center"/>
    </xf>
    <xf numFmtId="0" fontId="42" fillId="0" borderId="1" xfId="0" applyFont="1" applyFill="1" applyBorder="1" applyAlignment="1">
      <alignment horizontal="center" vertical="center" wrapText="1"/>
    </xf>
    <xf numFmtId="0" fontId="42" fillId="0" borderId="1" xfId="0" applyFont="1" applyFill="1" applyBorder="1" applyAlignment="1">
      <alignment horizontal="left" vertical="center" wrapText="1"/>
    </xf>
    <xf numFmtId="43" fontId="28" fillId="0" borderId="1" xfId="0" applyNumberFormat="1" applyFont="1" applyFill="1" applyBorder="1" applyAlignment="1">
      <alignment horizontal="center" vertical="center"/>
    </xf>
    <xf numFmtId="0" fontId="28" fillId="0" borderId="1" xfId="0" applyFont="1" applyFill="1" applyBorder="1" applyAlignment="1"/>
    <xf numFmtId="43" fontId="16" fillId="0" borderId="1" xfId="0" applyNumberFormat="1"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0" xfId="0" applyFont="1" applyFill="1" applyBorder="1" applyAlignment="1">
      <alignment vertical="center"/>
    </xf>
    <xf numFmtId="0" fontId="43" fillId="0" borderId="0" xfId="0" applyFont="1" applyFill="1" applyBorder="1" applyAlignment="1">
      <alignment horizontal="center" vertical="center" wrapText="1"/>
    </xf>
    <xf numFmtId="0" fontId="43" fillId="0" borderId="0" xfId="0" applyFont="1" applyFill="1" applyBorder="1" applyAlignment="1">
      <alignment horizontal="center" vertical="center"/>
    </xf>
    <xf numFmtId="0" fontId="44" fillId="0" borderId="0" xfId="0" applyFont="1" applyFill="1" applyBorder="1" applyAlignment="1">
      <alignment horizontal="left" vertical="center" wrapText="1"/>
    </xf>
    <xf numFmtId="0" fontId="44" fillId="0" borderId="0" xfId="0" applyFont="1" applyFill="1" applyBorder="1" applyAlignment="1">
      <alignment horizontal="center" vertical="center" wrapText="1"/>
    </xf>
    <xf numFmtId="0" fontId="45" fillId="0" borderId="14" xfId="0" applyFont="1" applyFill="1" applyBorder="1" applyAlignment="1">
      <alignment horizontal="center" vertical="center" wrapText="1"/>
    </xf>
    <xf numFmtId="0" fontId="45" fillId="0" borderId="15" xfId="0" applyFont="1" applyFill="1" applyBorder="1" applyAlignment="1">
      <alignment horizontal="center" vertical="center" wrapText="1"/>
    </xf>
    <xf numFmtId="0" fontId="45" fillId="0" borderId="16" xfId="0" applyFont="1" applyFill="1" applyBorder="1" applyAlignment="1">
      <alignment horizontal="center" vertical="center" wrapText="1"/>
    </xf>
    <xf numFmtId="0" fontId="45" fillId="0" borderId="17" xfId="0" applyFont="1" applyFill="1" applyBorder="1" applyAlignment="1">
      <alignment horizontal="center" vertical="center" wrapText="1"/>
    </xf>
    <xf numFmtId="0" fontId="46" fillId="0" borderId="18" xfId="0" applyFont="1" applyFill="1" applyBorder="1" applyAlignment="1">
      <alignment horizontal="center" vertical="center" wrapText="1"/>
    </xf>
    <xf numFmtId="0" fontId="46" fillId="0" borderId="15" xfId="0" applyFont="1" applyFill="1" applyBorder="1" applyAlignment="1">
      <alignment horizontal="left" vertical="center" wrapText="1"/>
    </xf>
    <xf numFmtId="0" fontId="46" fillId="0" borderId="16" xfId="0" applyFont="1" applyFill="1" applyBorder="1" applyAlignment="1">
      <alignment horizontal="left" vertical="center" wrapText="1"/>
    </xf>
    <xf numFmtId="0" fontId="46" fillId="0" borderId="17" xfId="0" applyFont="1" applyFill="1" applyBorder="1" applyAlignment="1">
      <alignment horizontal="left" vertical="center" wrapText="1"/>
    </xf>
    <xf numFmtId="0" fontId="47" fillId="0" borderId="19" xfId="0" applyFont="1" applyFill="1" applyBorder="1" applyAlignment="1">
      <alignment horizontal="center" vertical="center" wrapText="1"/>
    </xf>
    <xf numFmtId="176" fontId="47" fillId="0" borderId="19" xfId="0" applyNumberFormat="1" applyFont="1" applyFill="1" applyBorder="1" applyAlignment="1">
      <alignment horizontal="center" vertical="center" wrapText="1"/>
    </xf>
    <xf numFmtId="0" fontId="47" fillId="0" borderId="18" xfId="0" applyFont="1" applyFill="1" applyBorder="1" applyAlignment="1">
      <alignment horizontal="center" vertical="center" wrapText="1"/>
    </xf>
    <xf numFmtId="0" fontId="47" fillId="0" borderId="15" xfId="0" applyFont="1" applyFill="1" applyBorder="1" applyAlignment="1">
      <alignment horizontal="left" vertical="center" wrapText="1"/>
    </xf>
    <xf numFmtId="0" fontId="47" fillId="0" borderId="16" xfId="0" applyFont="1" applyFill="1" applyBorder="1" applyAlignment="1">
      <alignment horizontal="left" vertical="center" wrapText="1"/>
    </xf>
    <xf numFmtId="0" fontId="47" fillId="0" borderId="17" xfId="0" applyFont="1" applyFill="1" applyBorder="1" applyAlignment="1">
      <alignment horizontal="left" vertical="center" wrapText="1"/>
    </xf>
    <xf numFmtId="0" fontId="47" fillId="0" borderId="14" xfId="0" applyFont="1" applyFill="1" applyBorder="1" applyAlignment="1">
      <alignment horizontal="center" vertical="center" wrapText="1"/>
    </xf>
    <xf numFmtId="0" fontId="47" fillId="0" borderId="20" xfId="0" applyFont="1" applyFill="1" applyBorder="1" applyAlignment="1">
      <alignment horizontal="center" vertical="center" wrapText="1"/>
    </xf>
    <xf numFmtId="0" fontId="47" fillId="0" borderId="15" xfId="0" applyFont="1" applyFill="1" applyBorder="1" applyAlignment="1">
      <alignment horizontal="center" vertical="center" wrapText="1"/>
    </xf>
    <xf numFmtId="0" fontId="47" fillId="0" borderId="17" xfId="0" applyFont="1" applyFill="1" applyBorder="1" applyAlignment="1">
      <alignment horizontal="center" vertical="center" wrapText="1"/>
    </xf>
    <xf numFmtId="0" fontId="46" fillId="0" borderId="21" xfId="0" applyFont="1" applyFill="1" applyBorder="1" applyAlignment="1">
      <alignment horizontal="center" vertical="center" wrapText="1"/>
    </xf>
    <xf numFmtId="0" fontId="46" fillId="0" borderId="22" xfId="0" applyFont="1" applyFill="1" applyBorder="1" applyAlignment="1">
      <alignment horizontal="justify" vertical="center" wrapText="1"/>
    </xf>
    <xf numFmtId="0" fontId="46" fillId="0" borderId="23" xfId="0" applyFont="1" applyFill="1" applyBorder="1" applyAlignment="1">
      <alignment horizontal="justify" vertical="center" wrapText="1"/>
    </xf>
    <xf numFmtId="0" fontId="47" fillId="0" borderId="19" xfId="0" applyFont="1" applyFill="1" applyBorder="1" applyAlignment="1">
      <alignment horizontal="justify" vertical="center" wrapText="1"/>
    </xf>
    <xf numFmtId="180" fontId="47" fillId="0" borderId="15" xfId="0" applyNumberFormat="1" applyFont="1" applyFill="1" applyBorder="1" applyAlignment="1">
      <alignment horizontal="center" vertical="center" wrapText="1"/>
    </xf>
    <xf numFmtId="180" fontId="47" fillId="0" borderId="16" xfId="0" applyNumberFormat="1" applyFont="1" applyFill="1" applyBorder="1" applyAlignment="1">
      <alignment horizontal="center" vertical="center" wrapText="1"/>
    </xf>
    <xf numFmtId="180" fontId="47" fillId="0" borderId="17" xfId="0" applyNumberFormat="1" applyFont="1" applyFill="1" applyBorder="1" applyAlignment="1">
      <alignment horizontal="center" vertical="center" wrapText="1"/>
    </xf>
    <xf numFmtId="0" fontId="46" fillId="0" borderId="20" xfId="0" applyFont="1" applyFill="1" applyBorder="1" applyAlignment="1">
      <alignment horizontal="justify" vertical="center" wrapText="1"/>
    </xf>
    <xf numFmtId="0" fontId="46" fillId="0" borderId="19" xfId="0" applyFont="1" applyFill="1" applyBorder="1" applyAlignment="1">
      <alignment horizontal="justify" vertical="center" wrapText="1"/>
    </xf>
    <xf numFmtId="181" fontId="44" fillId="0" borderId="15" xfId="0" applyNumberFormat="1" applyFont="1" applyFill="1" applyBorder="1" applyAlignment="1">
      <alignment horizontal="center" vertical="center" wrapText="1"/>
    </xf>
    <xf numFmtId="181" fontId="44" fillId="0" borderId="16" xfId="0" applyNumberFormat="1" applyFont="1" applyFill="1" applyBorder="1" applyAlignment="1">
      <alignment horizontal="center" vertical="center" wrapText="1"/>
    </xf>
    <xf numFmtId="181" fontId="44" fillId="0" borderId="17" xfId="0" applyNumberFormat="1" applyFont="1" applyFill="1" applyBorder="1" applyAlignment="1">
      <alignment horizontal="center" vertical="center" wrapText="1"/>
    </xf>
    <xf numFmtId="0" fontId="46" fillId="0" borderId="15" xfId="0" applyFont="1" applyFill="1" applyBorder="1" applyAlignment="1">
      <alignment horizontal="justify" vertical="center" wrapText="1"/>
    </xf>
    <xf numFmtId="0" fontId="46" fillId="0" borderId="16" xfId="0" applyFont="1" applyFill="1" applyBorder="1" applyAlignment="1">
      <alignment horizontal="justify" vertical="center" wrapText="1"/>
    </xf>
    <xf numFmtId="0" fontId="46" fillId="0" borderId="17" xfId="0" applyFont="1" applyFill="1" applyBorder="1" applyAlignment="1">
      <alignment horizontal="justify" vertical="center" wrapText="1"/>
    </xf>
    <xf numFmtId="0" fontId="47" fillId="0" borderId="16" xfId="0" applyFont="1" applyFill="1" applyBorder="1" applyAlignment="1">
      <alignment horizontal="center" vertical="center" wrapText="1"/>
    </xf>
    <xf numFmtId="0" fontId="47" fillId="0" borderId="15" xfId="0" applyFont="1" applyFill="1" applyBorder="1" applyAlignment="1">
      <alignment horizontal="justify" vertical="center" wrapText="1"/>
    </xf>
    <xf numFmtId="0" fontId="47" fillId="0" borderId="16" xfId="0" applyFont="1" applyFill="1" applyBorder="1" applyAlignment="1">
      <alignment horizontal="justify" vertical="center" wrapText="1"/>
    </xf>
    <xf numFmtId="0" fontId="47" fillId="0" borderId="17" xfId="0" applyFont="1" applyFill="1" applyBorder="1" applyAlignment="1">
      <alignment horizontal="justify" vertical="center" wrapText="1"/>
    </xf>
    <xf numFmtId="176" fontId="47" fillId="0" borderId="15" xfId="0" applyNumberFormat="1" applyFont="1" applyFill="1" applyBorder="1" applyAlignment="1">
      <alignment horizontal="center" vertical="center" wrapText="1"/>
    </xf>
    <xf numFmtId="176" fontId="47" fillId="0" borderId="16" xfId="0" applyNumberFormat="1" applyFont="1" applyFill="1" applyBorder="1" applyAlignment="1">
      <alignment horizontal="center" vertical="center" wrapText="1"/>
    </xf>
    <xf numFmtId="176" fontId="47" fillId="0" borderId="17" xfId="0" applyNumberFormat="1" applyFont="1" applyFill="1" applyBorder="1" applyAlignment="1">
      <alignment horizontal="center" vertical="center" wrapText="1"/>
    </xf>
    <xf numFmtId="176" fontId="47" fillId="0" borderId="24" xfId="0" applyNumberFormat="1" applyFont="1" applyFill="1" applyBorder="1" applyAlignment="1">
      <alignment horizontal="center" vertical="center" wrapText="1"/>
    </xf>
    <xf numFmtId="0" fontId="46" fillId="0" borderId="21" xfId="0" applyFont="1" applyFill="1" applyBorder="1" applyAlignment="1">
      <alignment horizontal="justify" vertical="center" wrapText="1"/>
    </xf>
    <xf numFmtId="0" fontId="46" fillId="0" borderId="18" xfId="0" applyFont="1" applyFill="1" applyBorder="1" applyAlignment="1">
      <alignment horizontal="justify" vertical="center" wrapText="1"/>
    </xf>
    <xf numFmtId="0" fontId="48" fillId="0" borderId="0" xfId="0" applyFont="1" applyFill="1" applyBorder="1" applyAlignment="1">
      <alignment vertical="center" wrapText="1"/>
    </xf>
    <xf numFmtId="0" fontId="48" fillId="0" borderId="0" xfId="0" applyFont="1" applyFill="1" applyBorder="1" applyAlignment="1">
      <alignment horizontal="center" vertical="center" wrapText="1"/>
    </xf>
    <xf numFmtId="0" fontId="49" fillId="0" borderId="0" xfId="0" applyFont="1" applyFill="1" applyBorder="1" applyAlignment="1">
      <alignment horizontal="left" vertical="center"/>
    </xf>
    <xf numFmtId="0" fontId="49" fillId="0" borderId="0" xfId="0" applyFont="1" applyFill="1" applyBorder="1" applyAlignment="1">
      <alignment horizontal="center" vertical="center"/>
    </xf>
    <xf numFmtId="0" fontId="46" fillId="0" borderId="0" xfId="0" applyFont="1" applyFill="1" applyBorder="1" applyAlignment="1">
      <alignment horizontal="justify" vertical="center"/>
    </xf>
    <xf numFmtId="0" fontId="16" fillId="0" borderId="0" xfId="0" applyNumberFormat="1" applyFont="1" applyFill="1" applyBorder="1" applyAlignment="1">
      <alignment vertical="center" wrapText="1"/>
    </xf>
    <xf numFmtId="0" fontId="50" fillId="0" borderId="0" xfId="0" applyFont="1" applyFill="1" applyAlignment="1">
      <alignment horizontal="center" vertical="center"/>
    </xf>
    <xf numFmtId="49" fontId="31" fillId="0" borderId="1" xfId="50" applyNumberFormat="1" applyFont="1" applyFill="1" applyBorder="1" applyAlignment="1" applyProtection="1">
      <alignment horizontal="left" vertical="center"/>
    </xf>
    <xf numFmtId="49" fontId="31" fillId="0" borderId="1" xfId="50" applyNumberFormat="1" applyFont="1" applyFill="1" applyBorder="1" applyAlignment="1" applyProtection="1">
      <alignment horizontal="left" vertical="center" wrapText="1"/>
    </xf>
    <xf numFmtId="0" fontId="50" fillId="0" borderId="0" xfId="0" applyFont="1" applyFill="1" applyBorder="1" applyAlignment="1">
      <alignment horizontal="center" vertical="center"/>
    </xf>
    <xf numFmtId="0" fontId="5" fillId="0" borderId="1" xfId="54" applyFont="1" applyFill="1" applyBorder="1" applyAlignment="1" applyProtection="1">
      <alignment horizontal="center" vertical="center"/>
    </xf>
    <xf numFmtId="0" fontId="5" fillId="0" borderId="1" xfId="50" applyNumberFormat="1" applyFont="1" applyFill="1" applyBorder="1" applyAlignment="1" applyProtection="1">
      <alignment horizontal="left" vertical="center" wrapText="1"/>
    </xf>
    <xf numFmtId="0" fontId="47" fillId="0" borderId="0" xfId="0" applyNumberFormat="1" applyFont="1" applyFill="1" applyBorder="1" applyAlignment="1">
      <alignment horizontal="justify" vertical="center" wrapText="1"/>
    </xf>
    <xf numFmtId="0" fontId="51" fillId="0" borderId="1" xfId="66" applyNumberFormat="1" applyFont="1" applyFill="1" applyBorder="1" applyAlignment="1" applyProtection="1">
      <alignment horizontal="justify" vertical="center" wrapText="1"/>
    </xf>
    <xf numFmtId="0" fontId="5" fillId="0" borderId="1" xfId="55" applyNumberFormat="1" applyFont="1" applyFill="1" applyBorder="1" applyAlignment="1" applyProtection="1">
      <alignment horizontal="center" vertical="center"/>
    </xf>
    <xf numFmtId="0" fontId="5" fillId="0" borderId="1" xfId="56" applyNumberFormat="1" applyFont="1" applyFill="1" applyBorder="1" applyAlignment="1" applyProtection="1">
      <alignment vertical="center" wrapText="1"/>
    </xf>
    <xf numFmtId="0" fontId="47" fillId="0" borderId="0" xfId="0" applyNumberFormat="1" applyFont="1" applyFill="1" applyBorder="1" applyAlignment="1">
      <alignment horizontal="left" vertical="center" wrapText="1"/>
    </xf>
    <xf numFmtId="0" fontId="5" fillId="0" borderId="1" xfId="56" applyNumberFormat="1" applyFont="1" applyFill="1" applyBorder="1" applyAlignment="1" applyProtection="1">
      <alignment horizontal="left" vertical="center" wrapText="1"/>
    </xf>
    <xf numFmtId="0" fontId="31" fillId="0" borderId="0" xfId="0" applyFont="1" applyFill="1" applyAlignment="1">
      <alignment horizontal="left" vertical="center"/>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 name="表体数字 3 2 6 6" xfId="50"/>
    <cellStyle name="常规_凯德·风尚三期景观工程植物造价估算" xfId="51"/>
    <cellStyle name="常规 53" xfId="52"/>
    <cellStyle name="常规 3 2" xfId="53"/>
    <cellStyle name="常规 144 4" xfId="54"/>
    <cellStyle name="?餑_x005f_x005f_x005f_x000c_睨_x005f_x005f_x005f_x0017__x005f_x005f_x005f_x000d_帼U_x005f_x005f_x005f_x0001_0_x005f_x005f_x005f_x0005_j'_x005f_x005f_x005f_x0007__x005f_x005f_x005f_x0001__x005f_x005f_x005f_x0001_ 3" xfId="55"/>
    <cellStyle name="常规 10" xfId="56"/>
    <cellStyle name="3232" xfId="57"/>
    <cellStyle name="常规 2" xfId="58"/>
    <cellStyle name="表体数字 3 2 6 5 3 2" xfId="59"/>
    <cellStyle name="常规 3" xfId="60"/>
    <cellStyle name="常规_一、绿化清单1-广东、福建_2" xfId="61"/>
    <cellStyle name="常规 5" xfId="62"/>
    <cellStyle name="常规 7" xfId="63"/>
    <cellStyle name="常规_蓝湖郡调拨单统计" xfId="64"/>
    <cellStyle name="Normal" xfId="65"/>
    <cellStyle name="常规 11" xfId="66"/>
    <cellStyle name="常规_桩基础 -纯工程量（修2011-11-19）" xfId="67"/>
    <cellStyle name="常规 74" xfId="68"/>
    <cellStyle name="常规 78" xfId="69"/>
    <cellStyle name="常规 2 10 2" xfId="70"/>
    <cellStyle name="常规 4" xfId="71"/>
  </cellStyles>
  <tableStyles count="0" defaultTableStyle="Table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0</xdr:colOff>
      <xdr:row>7</xdr:row>
      <xdr:rowOff>0</xdr:rowOff>
    </xdr:from>
    <xdr:ext cx="161070" cy="179601"/>
    <xdr:sp>
      <xdr:nvSpPr>
        <xdr:cNvPr id="2" name="Text Box 3"/>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3" name="Text Box 4"/>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4" name="Text Box 5"/>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5" name="Text Box 6"/>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6" name="Text Box 7"/>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7" name="Text Box 8"/>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8" name="Text Box 9"/>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9" name="Text Box 10"/>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10" name="Text Box 11"/>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11" name="Text Box 12"/>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12" name="Text Box 13"/>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13" name="Text Box 14"/>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14" name="Text Box 15"/>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15" name="Text Box 16"/>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16" name="Text Box 17"/>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17" name="Text Box 18"/>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18" name="Text Box 19"/>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19" name="Text Box 20"/>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20" name="Text Box 21"/>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21" name="Text Box 22"/>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22" name="Text Box 23"/>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23" name="Text Box 24"/>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24" name="Text Box 25"/>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25" name="Text Box 26"/>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26" name="Text Box 27"/>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27" name="Text Box 28"/>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28" name="Text Box 29"/>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29" name="Text Box 30"/>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30" name="Text Box 31"/>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31" name="Text Box 32"/>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32" name="Text Box 33"/>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33" name="Text Box 34"/>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34" name="Text Box 35"/>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35" name="Text Box 36"/>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36" name="Text Box 37"/>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37" name="Text Box 38"/>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38" name="Text Box 39"/>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39" name="Text Box 40"/>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40" name="Text Box 41"/>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41" name="Text Box 42"/>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42" name="Text Box 43"/>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43" name="Text Box 44"/>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44" name="Text Box 45"/>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45" name="Text Box 46"/>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46" name="Text Box 47"/>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47" name="Text Box 48"/>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48" name="Text Box 49"/>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49" name="Text Box 50"/>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50" name="Text Box 51"/>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51" name="Text Box 52"/>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52" name="Text Box 53"/>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53" name="Text Box 3"/>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54" name="Text Box 4"/>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55" name="Text Box 5"/>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56" name="Text Box 6"/>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57" name="Text Box 7"/>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58" name="Text Box 8"/>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59" name="Text Box 9"/>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60" name="Text Box 10"/>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61" name="Text Box 11"/>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62" name="Text Box 12"/>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63" name="Text Box 13"/>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64" name="Text Box 14"/>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65" name="Text Box 15"/>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66" name="Text Box 16"/>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67" name="Text Box 17"/>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68" name="Text Box 18"/>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69" name="Text Box 19"/>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70" name="Text Box 20"/>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71" name="Text Box 21"/>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72" name="Text Box 22"/>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73" name="Text Box 23"/>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74" name="Text Box 24"/>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75" name="Text Box 25"/>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76" name="Text Box 26"/>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77" name="Text Box 27"/>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78" name="Text Box 28"/>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79" name="Text Box 29"/>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80" name="Text Box 30"/>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81" name="Text Box 31"/>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82" name="Text Box 32"/>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83" name="Text Box 33"/>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84" name="Text Box 34"/>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85" name="Text Box 35"/>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86" name="Text Box 36"/>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87" name="Text Box 37"/>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88" name="Text Box 38"/>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89" name="Text Box 39"/>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90" name="Text Box 40"/>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91" name="Text Box 41"/>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92" name="Text Box 42"/>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93" name="Text Box 43"/>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94" name="Text Box 44"/>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95" name="Text Box 45"/>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96" name="Text Box 46"/>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97" name="Text Box 47"/>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98" name="Text Box 48"/>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99" name="Text Box 49"/>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twoCellAnchor editAs="oneCell">
    <xdr:from>
      <xdr:col>1</xdr:col>
      <xdr:colOff>0</xdr:colOff>
      <xdr:row>7</xdr:row>
      <xdr:rowOff>0</xdr:rowOff>
    </xdr:from>
    <xdr:to>
      <xdr:col>1</xdr:col>
      <xdr:colOff>76835</xdr:colOff>
      <xdr:row>8</xdr:row>
      <xdr:rowOff>35560</xdr:rowOff>
    </xdr:to>
    <xdr:sp>
      <xdr:nvSpPr>
        <xdr:cNvPr id="100" name="Text Box 50"/>
        <xdr:cNvSpPr txBox="1"/>
      </xdr:nvSpPr>
      <xdr:spPr>
        <a:xfrm>
          <a:off x="602615" y="1155700"/>
          <a:ext cx="76835" cy="200660"/>
        </a:xfrm>
        <a:prstGeom prst="rect">
          <a:avLst/>
        </a:prstGeom>
        <a:noFill/>
        <a:ln w="9525">
          <a:noFill/>
        </a:ln>
      </xdr:spPr>
    </xdr:sp>
    <xdr:clientData/>
  </xdr:twoCellAnchor>
  <xdr:oneCellAnchor>
    <xdr:from>
      <xdr:col>1</xdr:col>
      <xdr:colOff>0</xdr:colOff>
      <xdr:row>7</xdr:row>
      <xdr:rowOff>0</xdr:rowOff>
    </xdr:from>
    <xdr:ext cx="161070" cy="179601"/>
    <xdr:sp>
      <xdr:nvSpPr>
        <xdr:cNvPr id="101" name="Text Box 51"/>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102" name="Text Box 52"/>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oneCellAnchor>
    <xdr:from>
      <xdr:col>1</xdr:col>
      <xdr:colOff>0</xdr:colOff>
      <xdr:row>7</xdr:row>
      <xdr:rowOff>0</xdr:rowOff>
    </xdr:from>
    <xdr:ext cx="161070" cy="179601"/>
    <xdr:sp>
      <xdr:nvSpPr>
        <xdr:cNvPr id="103" name="Text Box 53"/>
        <xdr:cNvSpPr txBox="1">
          <a:spLocks noChangeArrowheads="1"/>
        </xdr:cNvSpPr>
      </xdr:nvSpPr>
      <xdr:spPr>
        <a:xfrm>
          <a:off x="602615" y="1155700"/>
          <a:ext cx="160655" cy="179070"/>
        </a:xfrm>
        <a:prstGeom prst="rect">
          <a:avLst/>
        </a:prstGeom>
        <a:noFill/>
        <a:ln>
          <a:noFill/>
        </a:ln>
      </xdr:spPr>
      <xdr:txBody>
        <a:bodyPr wrap="none" lIns="18288" tIns="22860" rIns="0" bIns="0" anchor="t"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00" b="0" i="0" u="none" strike="noStrike" baseline="0">
              <a:solidFill>
                <a:srgbClr val="000000"/>
              </a:solidFill>
              <a:latin typeface="Arial" panose="020B0604020202020204"/>
              <a:cs typeface="Arial" panose="020B0604020202020204"/>
            </a:rPr>
            <a:t>    </a:t>
          </a:r>
          <a:endParaRPr lang="zh-CN" alt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7"/>
  <sheetViews>
    <sheetView view="pageBreakPreview" zoomScaleNormal="100" topLeftCell="A4" workbookViewId="0">
      <selection activeCell="B26" sqref="B26"/>
    </sheetView>
  </sheetViews>
  <sheetFormatPr defaultColWidth="10" defaultRowHeight="14.25" outlineLevelCol="3"/>
  <cols>
    <col min="1" max="1" width="6.42857142857143" style="306" customWidth="1"/>
    <col min="2" max="2" width="93.8571428571429" style="306" customWidth="1"/>
    <col min="3" max="3" width="10.2857142857143" style="306"/>
    <col min="4" max="4" width="10.2857142857143" style="306" customWidth="1"/>
    <col min="5" max="31" width="10.2857142857143" style="306"/>
    <col min="32" max="16384" width="10" style="306"/>
  </cols>
  <sheetData>
    <row r="1" s="306" customFormat="1" ht="25" customHeight="1" spans="1:2">
      <c r="A1" s="360" t="s">
        <v>0</v>
      </c>
      <c r="B1" s="360"/>
    </row>
    <row r="2" s="359" customFormat="1" ht="23" customHeight="1" spans="1:4">
      <c r="A2" s="361" t="s">
        <v>1</v>
      </c>
      <c r="B2" s="362"/>
      <c r="D2" s="363"/>
    </row>
    <row r="3" s="359" customFormat="1" ht="23" customHeight="1" spans="1:4">
      <c r="A3" s="364">
        <v>1</v>
      </c>
      <c r="B3" s="365" t="s">
        <v>2</v>
      </c>
      <c r="D3" s="366"/>
    </row>
    <row r="4" s="359" customFormat="1" ht="94" customHeight="1" spans="1:4">
      <c r="A4" s="364">
        <v>2</v>
      </c>
      <c r="B4" s="367" t="s">
        <v>3</v>
      </c>
      <c r="D4" s="366"/>
    </row>
    <row r="5" s="359" customFormat="1" ht="28" customHeight="1" spans="1:4">
      <c r="A5" s="361" t="s">
        <v>4</v>
      </c>
      <c r="B5" s="362"/>
      <c r="D5" s="366"/>
    </row>
    <row r="6" s="359" customFormat="1" ht="71" customHeight="1" spans="1:4">
      <c r="A6" s="368">
        <v>1</v>
      </c>
      <c r="B6" s="369" t="s">
        <v>5</v>
      </c>
      <c r="D6" s="366"/>
    </row>
    <row r="7" s="359" customFormat="1" ht="57" customHeight="1" spans="1:4">
      <c r="A7" s="368">
        <v>2</v>
      </c>
      <c r="B7" s="369" t="s">
        <v>6</v>
      </c>
      <c r="D7" s="366"/>
    </row>
    <row r="8" s="359" customFormat="1" ht="45" customHeight="1" spans="1:4">
      <c r="A8" s="368">
        <v>3</v>
      </c>
      <c r="B8" s="369" t="s">
        <v>7</v>
      </c>
      <c r="D8" s="366"/>
    </row>
    <row r="9" s="359" customFormat="1" ht="66" customHeight="1" spans="1:4">
      <c r="A9" s="368">
        <v>4</v>
      </c>
      <c r="B9" s="369" t="s">
        <v>8</v>
      </c>
      <c r="D9" s="370"/>
    </row>
    <row r="10" s="306" customFormat="1" ht="54" customHeight="1" spans="1:4">
      <c r="A10" s="368">
        <v>5</v>
      </c>
      <c r="B10" s="371" t="s">
        <v>9</v>
      </c>
      <c r="D10" s="370"/>
    </row>
    <row r="11" s="306" customFormat="1" ht="72" customHeight="1" spans="1:2">
      <c r="A11" s="368">
        <v>6</v>
      </c>
      <c r="B11" s="371" t="s">
        <v>10</v>
      </c>
    </row>
    <row r="12" s="306" customFormat="1" ht="44" customHeight="1" spans="1:2">
      <c r="A12" s="368">
        <v>7</v>
      </c>
      <c r="B12" s="371" t="s">
        <v>11</v>
      </c>
    </row>
    <row r="13" s="306" customFormat="1" ht="24" customHeight="1" spans="1:2">
      <c r="A13" s="368">
        <v>8</v>
      </c>
      <c r="B13" s="371" t="s">
        <v>12</v>
      </c>
    </row>
    <row r="14" s="306" customFormat="1" spans="1:2">
      <c r="A14" s="361" t="s">
        <v>13</v>
      </c>
      <c r="B14" s="362"/>
    </row>
    <row r="15" s="306" customFormat="1" ht="31" customHeight="1" spans="1:2">
      <c r="A15" s="368">
        <v>1</v>
      </c>
      <c r="B15" s="365" t="s">
        <v>14</v>
      </c>
    </row>
    <row r="16" s="306" customFormat="1" spans="1:2">
      <c r="A16" s="361" t="s">
        <v>15</v>
      </c>
      <c r="B16" s="362"/>
    </row>
    <row r="17" s="306" customFormat="1" ht="18" customHeight="1" spans="1:2">
      <c r="A17" s="368">
        <v>1</v>
      </c>
      <c r="B17" s="365" t="s">
        <v>16</v>
      </c>
    </row>
    <row r="18" s="306" customFormat="1" ht="18" customHeight="1" spans="1:2">
      <c r="A18" s="368">
        <v>2</v>
      </c>
      <c r="B18" s="365" t="s">
        <v>17</v>
      </c>
    </row>
    <row r="19" s="306" customFormat="1" ht="18" customHeight="1" spans="1:2">
      <c r="A19" s="368">
        <v>3</v>
      </c>
      <c r="B19" s="365" t="s">
        <v>18</v>
      </c>
    </row>
    <row r="20" s="306" customFormat="1" ht="18" customHeight="1" spans="1:2">
      <c r="A20" s="368">
        <v>4</v>
      </c>
      <c r="B20" s="365" t="s">
        <v>19</v>
      </c>
    </row>
    <row r="21" s="306" customFormat="1" ht="18" customHeight="1" spans="1:2">
      <c r="A21" s="368">
        <v>5</v>
      </c>
      <c r="B21" s="365" t="s">
        <v>20</v>
      </c>
    </row>
    <row r="22" s="306" customFormat="1" ht="18" customHeight="1" spans="1:2">
      <c r="A22" s="368">
        <v>6</v>
      </c>
      <c r="B22" s="365" t="s">
        <v>21</v>
      </c>
    </row>
    <row r="23" s="306" customFormat="1" ht="18" customHeight="1" spans="1:2">
      <c r="A23" s="368">
        <v>7</v>
      </c>
      <c r="B23" s="365" t="s">
        <v>22</v>
      </c>
    </row>
    <row r="24" s="306" customFormat="1" ht="18" customHeight="1" spans="1:2">
      <c r="A24" s="368">
        <v>8</v>
      </c>
      <c r="B24" s="365" t="s">
        <v>23</v>
      </c>
    </row>
    <row r="25" s="306" customFormat="1" ht="18" customHeight="1" spans="1:2">
      <c r="A25" s="368">
        <v>9</v>
      </c>
      <c r="B25" s="365" t="s">
        <v>24</v>
      </c>
    </row>
    <row r="26" s="306" customFormat="1" ht="18" customHeight="1" spans="1:2">
      <c r="A26" s="368">
        <v>10</v>
      </c>
      <c r="B26" s="365" t="s">
        <v>25</v>
      </c>
    </row>
    <row r="27" s="306" customFormat="1" spans="1:2">
      <c r="A27" s="372" t="s">
        <v>26</v>
      </c>
      <c r="B27" s="372"/>
    </row>
  </sheetData>
  <mergeCells count="6">
    <mergeCell ref="A1:B1"/>
    <mergeCell ref="A2:B2"/>
    <mergeCell ref="A5:B5"/>
    <mergeCell ref="A14:B14"/>
    <mergeCell ref="A16:B16"/>
    <mergeCell ref="A27:B27"/>
  </mergeCells>
  <printOptions horizontalCentered="1"/>
  <pageMargins left="0.751388888888889" right="0.751388888888889" top="1" bottom="1" header="0.5" footer="0.5"/>
  <pageSetup paperSize="9" scale="81"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31"/>
  <sheetViews>
    <sheetView tabSelected="1" workbookViewId="0">
      <selection activeCell="L19" sqref="L19"/>
    </sheetView>
  </sheetViews>
  <sheetFormatPr defaultColWidth="10.2857142857143" defaultRowHeight="14.25" outlineLevelCol="7"/>
  <cols>
    <col min="1" max="2" width="10.2857142857143" style="306"/>
    <col min="3" max="3" width="3.65714285714286" style="306" customWidth="1"/>
    <col min="4" max="4" width="10.5142857142857" style="306" customWidth="1"/>
    <col min="5" max="7" width="13" style="106" customWidth="1"/>
    <col min="8" max="8" width="16.5714285714286" style="106" customWidth="1"/>
    <col min="9" max="10" width="10.2857142857143" style="306"/>
    <col min="11" max="12" width="14.5714285714286" style="306"/>
    <col min="13" max="16384" width="10.2857142857143" style="306"/>
  </cols>
  <sheetData>
    <row r="1" s="306" customFormat="1" ht="75" customHeight="1" spans="1:8">
      <c r="A1" s="307" t="s">
        <v>27</v>
      </c>
      <c r="B1" s="308"/>
      <c r="C1" s="308"/>
      <c r="D1" s="308"/>
      <c r="E1" s="308"/>
      <c r="F1" s="308"/>
      <c r="G1" s="308"/>
      <c r="H1" s="308"/>
    </row>
    <row r="2" s="306" customFormat="1" ht="20" customHeight="1" spans="1:8">
      <c r="A2" s="309" t="s">
        <v>28</v>
      </c>
      <c r="B2" s="309"/>
      <c r="C2" s="309"/>
      <c r="D2" s="309"/>
      <c r="E2" s="310"/>
      <c r="F2" s="310"/>
      <c r="G2" s="310"/>
      <c r="H2" s="310"/>
    </row>
    <row r="3" s="306" customFormat="1" ht="20" customHeight="1" spans="1:8">
      <c r="A3" s="309" t="s">
        <v>29</v>
      </c>
      <c r="B3" s="309"/>
      <c r="C3" s="309"/>
      <c r="D3" s="309"/>
      <c r="E3" s="310"/>
      <c r="F3" s="310"/>
      <c r="G3" s="310"/>
      <c r="H3" s="310"/>
    </row>
    <row r="4" s="306" customFormat="1" ht="20" customHeight="1" spans="1:8">
      <c r="A4" s="309" t="s">
        <v>30</v>
      </c>
      <c r="B4" s="309"/>
      <c r="C4" s="309"/>
      <c r="D4" s="309"/>
      <c r="E4" s="310"/>
      <c r="F4" s="310"/>
      <c r="G4" s="310"/>
      <c r="H4" s="310"/>
    </row>
    <row r="5" s="306" customFormat="1" ht="20" customHeight="1" spans="1:8">
      <c r="A5" s="309" t="s">
        <v>31</v>
      </c>
      <c r="B5" s="309"/>
      <c r="C5" s="309"/>
      <c r="D5" s="309"/>
      <c r="E5" s="310"/>
      <c r="F5" s="310"/>
      <c r="G5" s="310"/>
      <c r="H5" s="310"/>
    </row>
    <row r="6" s="306" customFormat="1" ht="23" customHeight="1" spans="1:8">
      <c r="A6" s="311" t="s">
        <v>32</v>
      </c>
      <c r="B6" s="312" t="s">
        <v>33</v>
      </c>
      <c r="C6" s="313"/>
      <c r="D6" s="314"/>
      <c r="E6" s="314" t="s">
        <v>34</v>
      </c>
      <c r="F6" s="314" t="s">
        <v>35</v>
      </c>
      <c r="G6" s="314" t="s">
        <v>36</v>
      </c>
      <c r="H6" s="314" t="s">
        <v>37</v>
      </c>
    </row>
    <row r="7" s="306" customFormat="1" ht="23" customHeight="1" spans="1:8">
      <c r="A7" s="315" t="s">
        <v>38</v>
      </c>
      <c r="B7" s="316" t="s">
        <v>39</v>
      </c>
      <c r="C7" s="317"/>
      <c r="D7" s="318"/>
      <c r="E7" s="319"/>
      <c r="F7" s="319"/>
      <c r="G7" s="319"/>
      <c r="H7" s="320">
        <f>H8+H9+H10+H11</f>
        <v>1602499.99523614</v>
      </c>
    </row>
    <row r="8" s="306" customFormat="1" ht="23" customHeight="1" spans="1:8">
      <c r="A8" s="321">
        <v>1.1</v>
      </c>
      <c r="B8" s="322" t="s">
        <v>40</v>
      </c>
      <c r="C8" s="323"/>
      <c r="D8" s="324"/>
      <c r="E8" s="319"/>
      <c r="F8" s="319"/>
      <c r="G8" s="319"/>
      <c r="H8" s="320">
        <v>1565000</v>
      </c>
    </row>
    <row r="9" s="306" customFormat="1" ht="23" customHeight="1" spans="1:8">
      <c r="A9" s="321">
        <v>1.2</v>
      </c>
      <c r="B9" s="322" t="s">
        <v>41</v>
      </c>
      <c r="C9" s="323"/>
      <c r="D9" s="324"/>
      <c r="E9" s="319"/>
      <c r="F9" s="319"/>
      <c r="G9" s="319"/>
      <c r="H9" s="320">
        <f>签证变更汇总表!C3</f>
        <v>-62575.120838917</v>
      </c>
    </row>
    <row r="10" s="306" customFormat="1" ht="23" customHeight="1" spans="1:8">
      <c r="A10" s="321">
        <v>1.3</v>
      </c>
      <c r="B10" s="322" t="s">
        <v>42</v>
      </c>
      <c r="C10" s="323"/>
      <c r="D10" s="324"/>
      <c r="E10" s="319"/>
      <c r="F10" s="319"/>
      <c r="G10" s="319"/>
      <c r="H10" s="320">
        <f>签证变更汇总表!C17</f>
        <v>100097.316075056</v>
      </c>
    </row>
    <row r="11" s="306" customFormat="1" ht="23" customHeight="1" spans="1:8">
      <c r="A11" s="321">
        <v>1.4</v>
      </c>
      <c r="B11" s="322" t="s">
        <v>43</v>
      </c>
      <c r="C11" s="323"/>
      <c r="D11" s="323"/>
      <c r="E11" s="325"/>
      <c r="F11" s="319"/>
      <c r="G11" s="319"/>
      <c r="H11" s="320">
        <v>-22.2</v>
      </c>
    </row>
    <row r="12" s="306" customFormat="1" ht="23" customHeight="1" spans="1:8">
      <c r="A12" s="315" t="s">
        <v>44</v>
      </c>
      <c r="B12" s="316" t="s">
        <v>45</v>
      </c>
      <c r="C12" s="317"/>
      <c r="D12" s="318"/>
      <c r="E12" s="326"/>
      <c r="F12" s="319"/>
      <c r="G12" s="319"/>
      <c r="H12" s="320">
        <f>H13</f>
        <v>0</v>
      </c>
    </row>
    <row r="13" s="306" customFormat="1" ht="23" customHeight="1" spans="1:8">
      <c r="A13" s="321">
        <v>2.1</v>
      </c>
      <c r="B13" s="322" t="s">
        <v>46</v>
      </c>
      <c r="C13" s="323"/>
      <c r="D13" s="324"/>
      <c r="E13" s="327"/>
      <c r="F13" s="328"/>
      <c r="G13" s="319"/>
      <c r="H13" s="320">
        <v>0</v>
      </c>
    </row>
    <row r="14" s="306" customFormat="1" ht="23" customHeight="1" spans="1:8">
      <c r="A14" s="329" t="s">
        <v>47</v>
      </c>
      <c r="B14" s="330" t="s">
        <v>48</v>
      </c>
      <c r="C14" s="331"/>
      <c r="D14" s="332" t="s">
        <v>49</v>
      </c>
      <c r="E14" s="333">
        <f>H7+H13</f>
        <v>1602499.99523614</v>
      </c>
      <c r="F14" s="334"/>
      <c r="G14" s="334"/>
      <c r="H14" s="335"/>
    </row>
    <row r="15" s="306" customFormat="1" ht="23" customHeight="1" spans="1:8">
      <c r="A15" s="315"/>
      <c r="B15" s="336"/>
      <c r="C15" s="337"/>
      <c r="D15" s="332" t="s">
        <v>50</v>
      </c>
      <c r="E15" s="338">
        <f>E14</f>
        <v>1602499.99523614</v>
      </c>
      <c r="F15" s="339"/>
      <c r="G15" s="339"/>
      <c r="H15" s="340"/>
    </row>
    <row r="16" s="306" customFormat="1" ht="23" customHeight="1" spans="1:8">
      <c r="A16" s="315" t="s">
        <v>51</v>
      </c>
      <c r="B16" s="341" t="s">
        <v>52</v>
      </c>
      <c r="C16" s="342"/>
      <c r="D16" s="343"/>
      <c r="E16" s="333">
        <v>0</v>
      </c>
      <c r="F16" s="344"/>
      <c r="G16" s="344"/>
      <c r="H16" s="328"/>
    </row>
    <row r="17" s="306" customFormat="1" ht="23" customHeight="1" spans="1:8">
      <c r="A17" s="321">
        <v>4.1</v>
      </c>
      <c r="B17" s="345" t="s">
        <v>53</v>
      </c>
      <c r="C17" s="346"/>
      <c r="D17" s="347"/>
      <c r="E17" s="348">
        <v>0</v>
      </c>
      <c r="F17" s="349"/>
      <c r="G17" s="349"/>
      <c r="H17" s="350"/>
    </row>
    <row r="18" s="306" customFormat="1" ht="23" customHeight="1" spans="1:8">
      <c r="A18" s="321">
        <v>4.2</v>
      </c>
      <c r="B18" s="345" t="s">
        <v>54</v>
      </c>
      <c r="C18" s="346"/>
      <c r="D18" s="347"/>
      <c r="E18" s="348">
        <v>0</v>
      </c>
      <c r="F18" s="349"/>
      <c r="G18" s="349"/>
      <c r="H18" s="350"/>
    </row>
    <row r="19" s="306" customFormat="1" ht="23" customHeight="1" spans="1:8">
      <c r="A19" s="315" t="s">
        <v>55</v>
      </c>
      <c r="B19" s="341" t="s">
        <v>56</v>
      </c>
      <c r="C19" s="342"/>
      <c r="D19" s="343"/>
      <c r="E19" s="333">
        <v>0</v>
      </c>
      <c r="F19" s="344"/>
      <c r="G19" s="344"/>
      <c r="H19" s="328"/>
    </row>
    <row r="20" s="306" customFormat="1" ht="23" customHeight="1" spans="1:8">
      <c r="A20" s="321">
        <v>5.1</v>
      </c>
      <c r="B20" s="345" t="s">
        <v>57</v>
      </c>
      <c r="C20" s="346"/>
      <c r="D20" s="347"/>
      <c r="E20" s="351">
        <v>0</v>
      </c>
      <c r="F20" s="351"/>
      <c r="G20" s="351"/>
      <c r="H20" s="320"/>
    </row>
    <row r="21" s="306" customFormat="1" ht="23" customHeight="1" spans="1:8">
      <c r="A21" s="321">
        <v>5.2</v>
      </c>
      <c r="B21" s="345" t="s">
        <v>58</v>
      </c>
      <c r="C21" s="346"/>
      <c r="D21" s="347"/>
      <c r="E21" s="351">
        <v>0</v>
      </c>
      <c r="F21" s="351"/>
      <c r="G21" s="351"/>
      <c r="H21" s="320"/>
    </row>
    <row r="22" s="306" customFormat="1" ht="23" customHeight="1" spans="1:8">
      <c r="A22" s="329" t="s">
        <v>59</v>
      </c>
      <c r="B22" s="352" t="s">
        <v>60</v>
      </c>
      <c r="C22" s="345" t="s">
        <v>49</v>
      </c>
      <c r="D22" s="347"/>
      <c r="E22" s="333">
        <f>E14+E19</f>
        <v>1602499.99523614</v>
      </c>
      <c r="F22" s="344"/>
      <c r="G22" s="344"/>
      <c r="H22" s="328"/>
    </row>
    <row r="23" s="306" customFormat="1" ht="23" customHeight="1" spans="1:8">
      <c r="A23" s="315"/>
      <c r="B23" s="353"/>
      <c r="C23" s="345" t="s">
        <v>50</v>
      </c>
      <c r="D23" s="347"/>
      <c r="E23" s="338">
        <f>E22</f>
        <v>1602499.99523614</v>
      </c>
      <c r="F23" s="339"/>
      <c r="G23" s="339"/>
      <c r="H23" s="340"/>
    </row>
    <row r="24" s="306" customFormat="1" ht="23" customHeight="1" spans="1:8">
      <c r="A24" s="329" t="s">
        <v>61</v>
      </c>
      <c r="B24" s="352" t="s">
        <v>62</v>
      </c>
      <c r="C24" s="345" t="s">
        <v>49</v>
      </c>
      <c r="D24" s="347"/>
      <c r="E24" s="333">
        <f>E22</f>
        <v>1602499.99523614</v>
      </c>
      <c r="F24" s="344"/>
      <c r="G24" s="344"/>
      <c r="H24" s="328"/>
    </row>
    <row r="25" s="306" customFormat="1" ht="23" customHeight="1" spans="1:8">
      <c r="A25" s="315"/>
      <c r="B25" s="353"/>
      <c r="C25" s="345" t="s">
        <v>50</v>
      </c>
      <c r="D25" s="347"/>
      <c r="E25" s="338">
        <f>E23</f>
        <v>1602499.99523614</v>
      </c>
      <c r="F25" s="339"/>
      <c r="G25" s="339"/>
      <c r="H25" s="340"/>
    </row>
    <row r="26" s="306" customFormat="1" ht="18" customHeight="1" spans="1:8">
      <c r="A26" s="354"/>
      <c r="B26" s="354"/>
      <c r="C26" s="354"/>
      <c r="D26" s="354"/>
      <c r="E26" s="355"/>
      <c r="F26" s="355"/>
      <c r="G26" s="355"/>
      <c r="H26" s="355"/>
    </row>
    <row r="27" s="306" customFormat="1" spans="1:8">
      <c r="A27" s="356" t="s">
        <v>63</v>
      </c>
      <c r="B27" s="356"/>
      <c r="C27" s="356"/>
      <c r="D27" s="356"/>
      <c r="E27" s="357"/>
      <c r="F27" s="357"/>
      <c r="G27" s="357"/>
      <c r="H27" s="357"/>
    </row>
    <row r="28" s="306" customFormat="1" spans="1:8">
      <c r="A28" s="358"/>
      <c r="E28" s="106"/>
      <c r="F28" s="106"/>
      <c r="G28" s="106"/>
      <c r="H28" s="106"/>
    </row>
    <row r="29" s="306" customFormat="1" spans="1:8">
      <c r="A29" s="358"/>
      <c r="E29" s="106"/>
      <c r="F29" s="106"/>
      <c r="G29" s="106"/>
      <c r="H29" s="106"/>
    </row>
    <row r="30" s="306" customFormat="1" spans="1:8">
      <c r="A30" s="356" t="s">
        <v>64</v>
      </c>
      <c r="B30" s="356"/>
      <c r="C30" s="356"/>
      <c r="D30" s="356"/>
      <c r="E30" s="357"/>
      <c r="F30" s="357"/>
      <c r="G30" s="357"/>
      <c r="H30" s="357"/>
    </row>
    <row r="31" s="306" customFormat="1" spans="1:8">
      <c r="A31" s="358"/>
      <c r="E31" s="106"/>
      <c r="F31" s="106"/>
      <c r="G31" s="106"/>
      <c r="H31" s="106"/>
    </row>
  </sheetData>
  <mergeCells count="45">
    <mergeCell ref="A1:H1"/>
    <mergeCell ref="A2:H2"/>
    <mergeCell ref="A3:H3"/>
    <mergeCell ref="A4:H4"/>
    <mergeCell ref="A5:H5"/>
    <mergeCell ref="B6:D6"/>
    <mergeCell ref="B7:D7"/>
    <mergeCell ref="B8:D8"/>
    <mergeCell ref="B9:D9"/>
    <mergeCell ref="B10:D10"/>
    <mergeCell ref="B11:D11"/>
    <mergeCell ref="B12:D12"/>
    <mergeCell ref="E12:F12"/>
    <mergeCell ref="B13:D13"/>
    <mergeCell ref="E13:F13"/>
    <mergeCell ref="E14:H14"/>
    <mergeCell ref="E15:H15"/>
    <mergeCell ref="B16:D16"/>
    <mergeCell ref="E16:H16"/>
    <mergeCell ref="B17:D17"/>
    <mergeCell ref="E17:H17"/>
    <mergeCell ref="B18:D18"/>
    <mergeCell ref="E18:H18"/>
    <mergeCell ref="B19:D19"/>
    <mergeCell ref="E19:H19"/>
    <mergeCell ref="B20:D20"/>
    <mergeCell ref="E20:H20"/>
    <mergeCell ref="B21:D21"/>
    <mergeCell ref="E21:H21"/>
    <mergeCell ref="C22:D22"/>
    <mergeCell ref="E22:H22"/>
    <mergeCell ref="C23:D23"/>
    <mergeCell ref="E23:H23"/>
    <mergeCell ref="C24:D24"/>
    <mergeCell ref="E24:H24"/>
    <mergeCell ref="C25:D25"/>
    <mergeCell ref="E25:H25"/>
    <mergeCell ref="A27:H27"/>
    <mergeCell ref="A30:H30"/>
    <mergeCell ref="A14:A15"/>
    <mergeCell ref="A22:A23"/>
    <mergeCell ref="A24:A25"/>
    <mergeCell ref="B22:B23"/>
    <mergeCell ref="B24:B25"/>
    <mergeCell ref="B14:C15"/>
  </mergeCells>
  <pageMargins left="0.554861111111111" right="0.554861111111111" top="1" bottom="1" header="0.511805555555556" footer="0.511805555555556"/>
  <pageSetup paperSize="9"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3"/>
  <sheetViews>
    <sheetView view="pageBreakPreview" zoomScaleNormal="100" workbookViewId="0">
      <selection activeCell="I20" sqref="I20"/>
    </sheetView>
  </sheetViews>
  <sheetFormatPr defaultColWidth="8.88571428571429" defaultRowHeight="11.25"/>
  <cols>
    <col min="1" max="1" width="8.88571428571429" style="283"/>
    <col min="2" max="2" width="50.9238095238095" style="283" customWidth="1"/>
    <col min="3" max="3" width="26.1619047619048" style="284" customWidth="1"/>
    <col min="4" max="4" width="12.8285714285714" style="283" customWidth="1"/>
    <col min="5" max="5" width="16.8857142857143" style="283" customWidth="1"/>
    <col min="6" max="6" width="16.8857142857143" style="285" customWidth="1"/>
    <col min="7" max="7" width="14.2190476190476" style="285" customWidth="1"/>
    <col min="8" max="8" width="14.8571428571429" style="286"/>
    <col min="9" max="9" width="13.5904761904762" style="283"/>
    <col min="10" max="10" width="11.1714285714286" style="283"/>
    <col min="11" max="16384" width="8.88571428571429" style="283"/>
  </cols>
  <sheetData>
    <row r="1" s="281" customFormat="1" ht="52.95" customHeight="1" spans="1:8">
      <c r="A1" s="287" t="s">
        <v>65</v>
      </c>
      <c r="B1" s="287"/>
      <c r="C1" s="288"/>
      <c r="D1" s="287"/>
      <c r="E1" s="289"/>
      <c r="F1" s="290"/>
      <c r="G1" s="290"/>
      <c r="H1" s="291"/>
    </row>
    <row r="2" s="281" customFormat="1" ht="31" customHeight="1" spans="1:8">
      <c r="A2" s="292" t="s">
        <v>32</v>
      </c>
      <c r="B2" s="292" t="s">
        <v>66</v>
      </c>
      <c r="C2" s="293" t="s">
        <v>67</v>
      </c>
      <c r="D2" s="292" t="s">
        <v>68</v>
      </c>
      <c r="E2" s="294"/>
      <c r="F2" s="290"/>
      <c r="G2" s="290"/>
      <c r="H2" s="291"/>
    </row>
    <row r="3" s="282" customFormat="1" ht="31" customHeight="1" spans="1:8">
      <c r="A3" s="292" t="s">
        <v>38</v>
      </c>
      <c r="B3" s="295" t="s">
        <v>69</v>
      </c>
      <c r="C3" s="296">
        <f>C4+C9</f>
        <v>-62575.120838917</v>
      </c>
      <c r="D3" s="297"/>
      <c r="F3" s="298"/>
      <c r="G3" s="298"/>
      <c r="H3" s="299"/>
    </row>
    <row r="4" s="282" customFormat="1" ht="23" customHeight="1" spans="1:8">
      <c r="A4" s="292"/>
      <c r="B4" s="295" t="s">
        <v>70</v>
      </c>
      <c r="C4" s="296">
        <f>SUM(C5:C8)</f>
        <v>-129388.0790121</v>
      </c>
      <c r="D4" s="297"/>
      <c r="F4" s="298"/>
      <c r="G4" s="298"/>
      <c r="H4" s="299"/>
    </row>
    <row r="5" s="281" customFormat="1" ht="34.95" customHeight="1" spans="1:8">
      <c r="A5" s="300">
        <v>1</v>
      </c>
      <c r="B5" s="301" t="s">
        <v>71</v>
      </c>
      <c r="C5" s="302">
        <f>变更明细!N7</f>
        <v>-9358.37544442863</v>
      </c>
      <c r="D5" s="303"/>
      <c r="F5" s="290"/>
      <c r="G5" s="290"/>
      <c r="H5" s="291"/>
    </row>
    <row r="6" s="281" customFormat="1" ht="34.95" customHeight="1" spans="1:8">
      <c r="A6" s="300">
        <v>2</v>
      </c>
      <c r="B6" s="301" t="s">
        <v>72</v>
      </c>
      <c r="C6" s="302">
        <f>变更明细!N8</f>
        <v>-1715.94800239311</v>
      </c>
      <c r="D6" s="303"/>
      <c r="F6" s="290"/>
      <c r="G6" s="290"/>
      <c r="H6" s="291"/>
    </row>
    <row r="7" s="281" customFormat="1" ht="34.95" customHeight="1" spans="1:8">
      <c r="A7" s="300">
        <v>3</v>
      </c>
      <c r="B7" s="301" t="s">
        <v>73</v>
      </c>
      <c r="C7" s="302">
        <f>变更明细!N12</f>
        <v>-10429.3759182316</v>
      </c>
      <c r="D7" s="303"/>
      <c r="F7" s="290"/>
      <c r="G7" s="290"/>
      <c r="H7" s="291"/>
    </row>
    <row r="8" s="281" customFormat="1" ht="34.95" customHeight="1" spans="1:8">
      <c r="A8" s="300">
        <v>4</v>
      </c>
      <c r="B8" s="301" t="s">
        <v>74</v>
      </c>
      <c r="C8" s="302">
        <f>变更明细!N15</f>
        <v>-107884.379647046</v>
      </c>
      <c r="D8" s="303"/>
      <c r="F8" s="290"/>
      <c r="G8" s="290"/>
      <c r="H8" s="291"/>
    </row>
    <row r="9" s="282" customFormat="1" ht="24" customHeight="1" spans="1:8">
      <c r="A9" s="292"/>
      <c r="B9" s="295" t="s">
        <v>75</v>
      </c>
      <c r="C9" s="296">
        <f>SUM(C10:C16)</f>
        <v>66812.9581731825</v>
      </c>
      <c r="D9" s="297"/>
      <c r="F9" s="298"/>
      <c r="G9" s="298"/>
      <c r="H9" s="299"/>
    </row>
    <row r="10" s="281" customFormat="1" ht="34.95" customHeight="1" spans="1:8">
      <c r="A10" s="300">
        <v>1</v>
      </c>
      <c r="B10" s="301" t="s">
        <v>76</v>
      </c>
      <c r="C10" s="302">
        <f>变更明细!N35</f>
        <v>7947.08759598559</v>
      </c>
      <c r="D10" s="303"/>
      <c r="F10" s="290"/>
      <c r="G10" s="290"/>
      <c r="H10" s="291"/>
    </row>
    <row r="11" s="281" customFormat="1" ht="34.95" customHeight="1" spans="1:8">
      <c r="A11" s="300">
        <v>2</v>
      </c>
      <c r="B11" s="301" t="s">
        <v>77</v>
      </c>
      <c r="C11" s="302">
        <f>变更明细!N43</f>
        <v>26254.5894325941</v>
      </c>
      <c r="D11" s="303"/>
      <c r="F11" s="290"/>
      <c r="G11" s="290"/>
      <c r="H11" s="291"/>
    </row>
    <row r="12" s="281" customFormat="1" ht="34.95" customHeight="1" spans="1:8">
      <c r="A12" s="300">
        <v>3</v>
      </c>
      <c r="B12" s="301" t="s">
        <v>78</v>
      </c>
      <c r="C12" s="302">
        <f>变更明细!N53</f>
        <v>7743.29332703022</v>
      </c>
      <c r="D12" s="303"/>
      <c r="F12" s="290"/>
      <c r="G12" s="290"/>
      <c r="H12" s="291"/>
    </row>
    <row r="13" s="281" customFormat="1" ht="34.95" customHeight="1" spans="1:8">
      <c r="A13" s="300">
        <v>4</v>
      </c>
      <c r="B13" s="301" t="s">
        <v>79</v>
      </c>
      <c r="C13" s="302">
        <f>变更明细!N60</f>
        <v>7005.40906453006</v>
      </c>
      <c r="D13" s="303"/>
      <c r="F13" s="290"/>
      <c r="G13" s="290"/>
      <c r="H13" s="291"/>
    </row>
    <row r="14" s="281" customFormat="1" ht="34.95" customHeight="1" spans="1:8">
      <c r="A14" s="300">
        <v>5</v>
      </c>
      <c r="B14" s="301" t="s">
        <v>80</v>
      </c>
      <c r="C14" s="302">
        <f>变更明细!N67</f>
        <v>11676.00712696</v>
      </c>
      <c r="D14" s="303"/>
      <c r="F14" s="290"/>
      <c r="G14" s="290"/>
      <c r="H14" s="291"/>
    </row>
    <row r="15" s="281" customFormat="1" ht="34.95" customHeight="1" spans="1:8">
      <c r="A15" s="300">
        <v>6</v>
      </c>
      <c r="B15" s="301" t="s">
        <v>81</v>
      </c>
      <c r="C15" s="302">
        <f>变更明细!N69</f>
        <v>2931.56621437894</v>
      </c>
      <c r="D15" s="303"/>
      <c r="F15" s="290"/>
      <c r="G15" s="290"/>
      <c r="H15" s="291"/>
    </row>
    <row r="16" s="281" customFormat="1" ht="34.95" customHeight="1" spans="1:8">
      <c r="A16" s="300">
        <v>7</v>
      </c>
      <c r="B16" s="301" t="s">
        <v>82</v>
      </c>
      <c r="C16" s="302">
        <f>变更明细!N72</f>
        <v>3255.00541170355</v>
      </c>
      <c r="D16" s="303"/>
      <c r="F16" s="290"/>
      <c r="G16" s="290"/>
      <c r="H16" s="291"/>
    </row>
    <row r="17" s="282" customFormat="1" ht="31" customHeight="1" spans="1:8">
      <c r="A17" s="292" t="s">
        <v>44</v>
      </c>
      <c r="B17" s="295" t="s">
        <v>83</v>
      </c>
      <c r="C17" s="296">
        <f>SUM(C18:C23)</f>
        <v>100097.316075056</v>
      </c>
      <c r="D17" s="297"/>
      <c r="F17" s="298"/>
      <c r="G17" s="298"/>
      <c r="H17" s="299"/>
    </row>
    <row r="18" s="281" customFormat="1" ht="34.95" customHeight="1" spans="1:8">
      <c r="A18" s="300">
        <v>1</v>
      </c>
      <c r="B18" s="301" t="s">
        <v>84</v>
      </c>
      <c r="C18" s="304">
        <f>签证明细!N14</f>
        <v>1750</v>
      </c>
      <c r="D18" s="303"/>
      <c r="F18" s="290"/>
      <c r="G18" s="290"/>
      <c r="H18" s="291"/>
    </row>
    <row r="19" s="281" customFormat="1" ht="34.95" customHeight="1" spans="1:8">
      <c r="A19" s="300">
        <v>2</v>
      </c>
      <c r="B19" s="301" t="s">
        <v>85</v>
      </c>
      <c r="C19" s="304">
        <f>签证明细!N25</f>
        <v>2085.55346242453</v>
      </c>
      <c r="D19" s="303"/>
      <c r="F19" s="290"/>
      <c r="G19" s="290"/>
      <c r="H19" s="291"/>
    </row>
    <row r="20" s="281" customFormat="1" ht="48" customHeight="1" spans="1:8">
      <c r="A20" s="300">
        <v>3</v>
      </c>
      <c r="B20" s="305" t="s">
        <v>86</v>
      </c>
      <c r="C20" s="304">
        <f>签证明细!N31</f>
        <v>68432</v>
      </c>
      <c r="D20" s="303"/>
      <c r="F20" s="290"/>
      <c r="G20" s="290"/>
      <c r="H20" s="291"/>
    </row>
    <row r="21" s="281" customFormat="1" ht="34.95" customHeight="1" spans="1:8">
      <c r="A21" s="300">
        <v>4</v>
      </c>
      <c r="B21" s="305" t="s">
        <v>87</v>
      </c>
      <c r="C21" s="304">
        <f>签证明细!N63</f>
        <v>20639.7626126316</v>
      </c>
      <c r="D21" s="303"/>
      <c r="F21" s="290"/>
      <c r="G21" s="290"/>
      <c r="H21" s="291"/>
    </row>
    <row r="22" s="281" customFormat="1" ht="34.95" customHeight="1" spans="1:8">
      <c r="A22" s="300">
        <v>5</v>
      </c>
      <c r="B22" s="305" t="s">
        <v>88</v>
      </c>
      <c r="C22" s="304">
        <f>签证明细!N75</f>
        <v>4750</v>
      </c>
      <c r="D22" s="303"/>
      <c r="F22" s="290"/>
      <c r="G22" s="290"/>
      <c r="H22" s="291"/>
    </row>
    <row r="23" s="281" customFormat="1" ht="49" customHeight="1" spans="1:8">
      <c r="A23" s="300">
        <v>6</v>
      </c>
      <c r="B23" s="305" t="s">
        <v>89</v>
      </c>
      <c r="C23" s="304">
        <f>签证明细!N86</f>
        <v>2440</v>
      </c>
      <c r="D23" s="303"/>
      <c r="F23" s="290"/>
      <c r="G23" s="290"/>
      <c r="H23" s="291"/>
    </row>
    <row r="24" s="282" customFormat="1" ht="31" customHeight="1" spans="1:8">
      <c r="A24" s="292" t="s">
        <v>47</v>
      </c>
      <c r="B24" s="295" t="s">
        <v>90</v>
      </c>
      <c r="C24" s="296">
        <f>C3+C17</f>
        <v>37522.195236139</v>
      </c>
      <c r="D24" s="297"/>
      <c r="F24" s="298"/>
      <c r="G24" s="298"/>
      <c r="H24" s="299"/>
    </row>
    <row r="25" s="283" customFormat="1" ht="28.05" customHeight="1" spans="3:9">
      <c r="C25" s="284"/>
      <c r="F25" s="290"/>
      <c r="G25" s="290"/>
      <c r="H25" s="290"/>
      <c r="I25" s="290"/>
    </row>
    <row r="26" s="283" customFormat="1" ht="14.25" spans="3:9">
      <c r="C26" s="284"/>
      <c r="F26" s="290"/>
      <c r="G26" s="290"/>
      <c r="H26" s="290"/>
      <c r="I26" s="290"/>
    </row>
    <row r="27" s="283" customFormat="1" ht="14.25" spans="3:9">
      <c r="C27" s="284"/>
      <c r="F27" s="290"/>
      <c r="G27" s="290"/>
      <c r="H27" s="290"/>
      <c r="I27" s="290"/>
    </row>
    <row r="28" s="283" customFormat="1" ht="14.25" spans="3:9">
      <c r="C28" s="284"/>
      <c r="F28" s="290"/>
      <c r="G28" s="290"/>
      <c r="H28" s="290"/>
      <c r="I28" s="290"/>
    </row>
    <row r="29" s="283" customFormat="1" ht="14.25" spans="3:9">
      <c r="C29" s="284"/>
      <c r="F29" s="290"/>
      <c r="G29" s="290"/>
      <c r="H29" s="290"/>
      <c r="I29" s="290"/>
    </row>
    <row r="30" s="283" customFormat="1" ht="14.25" spans="3:9">
      <c r="C30" s="284"/>
      <c r="F30" s="290"/>
      <c r="G30" s="290"/>
      <c r="H30" s="290"/>
      <c r="I30" s="290"/>
    </row>
    <row r="31" s="283" customFormat="1" ht="14.25" spans="3:9">
      <c r="C31" s="284"/>
      <c r="F31" s="290"/>
      <c r="G31" s="290"/>
      <c r="H31" s="290"/>
      <c r="I31" s="290"/>
    </row>
    <row r="32" s="283" customFormat="1" ht="14.25" spans="3:9">
      <c r="C32" s="284"/>
      <c r="F32" s="290"/>
      <c r="G32" s="290"/>
      <c r="H32" s="290"/>
      <c r="I32" s="290"/>
    </row>
    <row r="33" s="283" customFormat="1" ht="14.25" spans="3:9">
      <c r="C33" s="284"/>
      <c r="F33" s="290"/>
      <c r="G33" s="290"/>
      <c r="H33" s="290"/>
      <c r="I33" s="290"/>
    </row>
  </sheetData>
  <mergeCells count="1">
    <mergeCell ref="A1:D1"/>
  </mergeCells>
  <pageMargins left="0.75" right="0.75" top="1" bottom="1" header="0.5" footer="0.5"/>
  <pageSetup paperSize="9" scale="84"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R84"/>
  <sheetViews>
    <sheetView view="pageBreakPreview" zoomScaleNormal="100" workbookViewId="0">
      <pane xSplit="3" ySplit="4" topLeftCell="D22" activePane="bottomRight" state="frozen"/>
      <selection/>
      <selection pane="topRight"/>
      <selection pane="bottomLeft"/>
      <selection pane="bottomRight" activeCell="N32" sqref="N32:N33"/>
    </sheetView>
  </sheetViews>
  <sheetFormatPr defaultColWidth="10.1619047619048" defaultRowHeight="12"/>
  <cols>
    <col min="1" max="1" width="6" style="103" customWidth="1"/>
    <col min="2" max="2" width="14.2857142857143" style="103" customWidth="1"/>
    <col min="3" max="3" width="45.8571428571429" style="107" customWidth="1"/>
    <col min="4" max="4" width="6.57142857142857" style="103" customWidth="1"/>
    <col min="5" max="5" width="12.847619047619" style="108" customWidth="1"/>
    <col min="6" max="7" width="11.5714285714286" style="109" customWidth="1"/>
    <col min="8" max="8" width="11.5714285714286" style="207" customWidth="1"/>
    <col min="9" max="9" width="11.5714285714286" style="110" customWidth="1"/>
    <col min="10" max="13" width="11.5714285714286" style="109" customWidth="1"/>
    <col min="14" max="14" width="17.8571428571429" style="109" customWidth="1"/>
    <col min="15" max="15" width="12.2857142857143" style="103" customWidth="1"/>
    <col min="16" max="16" width="13.3904761904762" style="103" customWidth="1"/>
    <col min="17" max="17" width="20.5714285714286" style="103" customWidth="1"/>
    <col min="18" max="18" width="10.1619047619048" style="108"/>
    <col min="19" max="16384" width="10.1619047619048" style="103"/>
  </cols>
  <sheetData>
    <row r="1" s="103" customFormat="1" ht="45" customHeight="1" spans="1:18">
      <c r="A1" s="111" t="s">
        <v>91</v>
      </c>
      <c r="B1" s="112"/>
      <c r="C1" s="113"/>
      <c r="D1" s="112"/>
      <c r="E1" s="114"/>
      <c r="F1" s="115"/>
      <c r="G1" s="115"/>
      <c r="H1" s="208"/>
      <c r="I1" s="139"/>
      <c r="J1" s="115"/>
      <c r="K1" s="115"/>
      <c r="L1" s="115"/>
      <c r="M1" s="115"/>
      <c r="N1" s="115"/>
      <c r="O1" s="112"/>
      <c r="P1" s="112"/>
      <c r="Q1" s="112"/>
      <c r="R1" s="108"/>
    </row>
    <row r="2" s="103" customFormat="1" ht="39" customHeight="1" spans="1:18">
      <c r="A2" s="65" t="s">
        <v>32</v>
      </c>
      <c r="B2" s="65" t="s">
        <v>92</v>
      </c>
      <c r="C2" s="116" t="s">
        <v>93</v>
      </c>
      <c r="D2" s="65" t="s">
        <v>94</v>
      </c>
      <c r="E2" s="66" t="s">
        <v>95</v>
      </c>
      <c r="F2" s="117" t="s">
        <v>96</v>
      </c>
      <c r="G2" s="117"/>
      <c r="H2" s="209"/>
      <c r="I2" s="140"/>
      <c r="J2" s="117"/>
      <c r="K2" s="117"/>
      <c r="L2" s="117"/>
      <c r="M2" s="117" t="s">
        <v>97</v>
      </c>
      <c r="N2" s="117" t="s">
        <v>98</v>
      </c>
      <c r="O2" s="83" t="s">
        <v>99</v>
      </c>
      <c r="P2" s="83"/>
      <c r="Q2" s="83" t="s">
        <v>68</v>
      </c>
      <c r="R2" s="108"/>
    </row>
    <row r="3" s="103" customFormat="1" ht="51" customHeight="1" spans="1:18">
      <c r="A3" s="65"/>
      <c r="B3" s="65"/>
      <c r="C3" s="116"/>
      <c r="D3" s="65"/>
      <c r="E3" s="66"/>
      <c r="F3" s="117" t="s">
        <v>100</v>
      </c>
      <c r="G3" s="117" t="s">
        <v>101</v>
      </c>
      <c r="H3" s="209" t="s">
        <v>102</v>
      </c>
      <c r="I3" s="140" t="s">
        <v>103</v>
      </c>
      <c r="J3" s="117" t="s">
        <v>104</v>
      </c>
      <c r="K3" s="117" t="s">
        <v>105</v>
      </c>
      <c r="L3" s="117" t="s">
        <v>106</v>
      </c>
      <c r="M3" s="117"/>
      <c r="N3" s="117"/>
      <c r="O3" s="83"/>
      <c r="P3" s="83"/>
      <c r="Q3" s="83"/>
      <c r="R3" s="108"/>
    </row>
    <row r="4" s="103" customFormat="1" ht="26" customHeight="1" spans="1:18">
      <c r="A4" s="65"/>
      <c r="B4" s="65"/>
      <c r="C4" s="116"/>
      <c r="D4" s="65"/>
      <c r="E4" s="66"/>
      <c r="F4" s="117"/>
      <c r="G4" s="117" t="s">
        <v>107</v>
      </c>
      <c r="H4" s="209" t="s">
        <v>108</v>
      </c>
      <c r="I4" s="140" t="s">
        <v>109</v>
      </c>
      <c r="J4" s="117"/>
      <c r="K4" s="117"/>
      <c r="L4" s="117"/>
      <c r="M4" s="117"/>
      <c r="N4" s="117"/>
      <c r="O4" s="83"/>
      <c r="P4" s="83"/>
      <c r="Q4" s="83"/>
      <c r="R4" s="108"/>
    </row>
    <row r="5" s="203" customFormat="1" ht="32" customHeight="1" spans="1:18">
      <c r="A5" s="210" t="s">
        <v>38</v>
      </c>
      <c r="B5" s="210" t="s">
        <v>110</v>
      </c>
      <c r="C5" s="211"/>
      <c r="D5" s="210"/>
      <c r="E5" s="212"/>
      <c r="F5" s="213"/>
      <c r="G5" s="213"/>
      <c r="H5" s="214"/>
      <c r="I5" s="226"/>
      <c r="J5" s="213"/>
      <c r="K5" s="213"/>
      <c r="L5" s="213"/>
      <c r="M5" s="227"/>
      <c r="N5" s="228">
        <f>N6+N8+N12+N15</f>
        <v>-129388.0790121</v>
      </c>
      <c r="O5" s="229"/>
      <c r="P5" s="229"/>
      <c r="Q5" s="229"/>
      <c r="R5" s="237"/>
    </row>
    <row r="6" s="204" customFormat="1" ht="27" customHeight="1" spans="1:18">
      <c r="A6" s="215"/>
      <c r="B6" s="215" t="s">
        <v>111</v>
      </c>
      <c r="C6" s="216"/>
      <c r="D6" s="215"/>
      <c r="E6" s="217"/>
      <c r="F6" s="218"/>
      <c r="G6" s="218"/>
      <c r="H6" s="219"/>
      <c r="I6" s="230"/>
      <c r="J6" s="218"/>
      <c r="K6" s="218"/>
      <c r="L6" s="218"/>
      <c r="M6" s="231"/>
      <c r="N6" s="232">
        <f>N7</f>
        <v>-9358.37544442863</v>
      </c>
      <c r="O6" s="233"/>
      <c r="P6" s="233"/>
      <c r="Q6" s="233"/>
      <c r="R6" s="238"/>
    </row>
    <row r="7" s="103" customFormat="1" ht="60" customHeight="1" spans="1:18">
      <c r="A7" s="70">
        <v>1</v>
      </c>
      <c r="B7" s="70" t="s">
        <v>112</v>
      </c>
      <c r="C7" s="72" t="s">
        <v>113</v>
      </c>
      <c r="D7" s="73" t="s">
        <v>114</v>
      </c>
      <c r="E7" s="32">
        <f>-(750+740+1200+234)</f>
        <v>-2924</v>
      </c>
      <c r="F7" s="134">
        <v>1.2</v>
      </c>
      <c r="G7" s="134">
        <f t="shared" ref="G7:G11" si="0">H7*(1+I7)</f>
        <v>1.46715789473684</v>
      </c>
      <c r="H7" s="220">
        <v>1.45263157894737</v>
      </c>
      <c r="I7" s="142">
        <v>0.01</v>
      </c>
      <c r="J7" s="234">
        <f t="shared" ref="J7:J11" si="1">(F7+G7)*1%</f>
        <v>0.0266715789473684</v>
      </c>
      <c r="K7" s="234">
        <f t="shared" ref="K7:K11" si="2">(F7+G7+J7)*9%</f>
        <v>0.242444652631579</v>
      </c>
      <c r="L7" s="234">
        <f t="shared" ref="L7:L11" si="3">(F7+G7+J7+K7)*9%</f>
        <v>0.264264671368421</v>
      </c>
      <c r="M7" s="235">
        <f t="shared" ref="M7:M11" si="4">F7+G7+J7+K7+L7</f>
        <v>3.20053879768421</v>
      </c>
      <c r="N7" s="138">
        <f t="shared" ref="N7:N11" si="5">M7*E7</f>
        <v>-9358.37544442863</v>
      </c>
      <c r="O7" s="70" t="s">
        <v>115</v>
      </c>
      <c r="P7" s="70" t="s">
        <v>112</v>
      </c>
      <c r="Q7" s="239" t="s">
        <v>116</v>
      </c>
      <c r="R7" s="108"/>
    </row>
    <row r="8" s="204" customFormat="1" ht="27" customHeight="1" spans="1:18">
      <c r="A8" s="215"/>
      <c r="B8" s="215" t="s">
        <v>117</v>
      </c>
      <c r="C8" s="216"/>
      <c r="D8" s="215"/>
      <c r="E8" s="217"/>
      <c r="F8" s="218"/>
      <c r="G8" s="218"/>
      <c r="H8" s="219"/>
      <c r="I8" s="236"/>
      <c r="J8" s="218"/>
      <c r="K8" s="218"/>
      <c r="L8" s="218"/>
      <c r="M8" s="231"/>
      <c r="N8" s="232">
        <f>SUM(N9:N11)</f>
        <v>-1715.94800239311</v>
      </c>
      <c r="O8" s="233"/>
      <c r="P8" s="233"/>
      <c r="Q8" s="233"/>
      <c r="R8" s="238"/>
    </row>
    <row r="9" s="103" customFormat="1" ht="54" customHeight="1" spans="1:18">
      <c r="A9" s="70">
        <v>1</v>
      </c>
      <c r="B9" s="70" t="s">
        <v>118</v>
      </c>
      <c r="C9" s="72" t="s">
        <v>119</v>
      </c>
      <c r="D9" s="73" t="s">
        <v>114</v>
      </c>
      <c r="E9" s="32">
        <f>-(47+45.8+47+47.5)</f>
        <v>-187.3</v>
      </c>
      <c r="F9" s="134">
        <v>3</v>
      </c>
      <c r="G9" s="134">
        <f t="shared" si="0"/>
        <v>0.9393</v>
      </c>
      <c r="H9" s="220">
        <v>0.93</v>
      </c>
      <c r="I9" s="142">
        <v>0.01</v>
      </c>
      <c r="J9" s="234">
        <f t="shared" si="1"/>
        <v>0.039393</v>
      </c>
      <c r="K9" s="234">
        <f t="shared" si="2"/>
        <v>0.35808237</v>
      </c>
      <c r="L9" s="234">
        <f t="shared" si="3"/>
        <v>0.3903097833</v>
      </c>
      <c r="M9" s="235">
        <f t="shared" si="4"/>
        <v>4.7270851533</v>
      </c>
      <c r="N9" s="138">
        <f t="shared" si="5"/>
        <v>-885.38304921309</v>
      </c>
      <c r="O9" s="70" t="s">
        <v>120</v>
      </c>
      <c r="P9" s="70" t="s">
        <v>118</v>
      </c>
      <c r="Q9" s="240" t="s">
        <v>72</v>
      </c>
      <c r="R9" s="108"/>
    </row>
    <row r="10" s="103" customFormat="1" ht="33" customHeight="1" spans="1:18">
      <c r="A10" s="70">
        <v>2</v>
      </c>
      <c r="B10" s="70" t="s">
        <v>121</v>
      </c>
      <c r="C10" s="72" t="s">
        <v>122</v>
      </c>
      <c r="D10" s="73" t="s">
        <v>123</v>
      </c>
      <c r="E10" s="32">
        <f>E9*0.09</f>
        <v>-16.857</v>
      </c>
      <c r="F10" s="134">
        <v>25</v>
      </c>
      <c r="G10" s="134">
        <f t="shared" si="0"/>
        <v>6.06</v>
      </c>
      <c r="H10" s="220">
        <v>6</v>
      </c>
      <c r="I10" s="142">
        <v>0.01</v>
      </c>
      <c r="J10" s="234">
        <f t="shared" si="1"/>
        <v>0.3106</v>
      </c>
      <c r="K10" s="234">
        <f t="shared" si="2"/>
        <v>2.823354</v>
      </c>
      <c r="L10" s="234">
        <f t="shared" si="3"/>
        <v>3.07745586</v>
      </c>
      <c r="M10" s="235">
        <f t="shared" si="4"/>
        <v>37.27140986</v>
      </c>
      <c r="N10" s="138">
        <f t="shared" si="5"/>
        <v>-628.28415601002</v>
      </c>
      <c r="O10" s="70" t="s">
        <v>124</v>
      </c>
      <c r="P10" s="70" t="s">
        <v>121</v>
      </c>
      <c r="Q10" s="241"/>
      <c r="R10" s="108"/>
    </row>
    <row r="11" s="103" customFormat="1" ht="35" customHeight="1" spans="1:18">
      <c r="A11" s="70">
        <v>3</v>
      </c>
      <c r="B11" s="70" t="s">
        <v>125</v>
      </c>
      <c r="C11" s="72" t="s">
        <v>126</v>
      </c>
      <c r="D11" s="73" t="s">
        <v>123</v>
      </c>
      <c r="E11" s="32">
        <f>E10</f>
        <v>-16.857</v>
      </c>
      <c r="F11" s="134">
        <v>10</v>
      </c>
      <c r="G11" s="134">
        <f t="shared" si="0"/>
        <v>0</v>
      </c>
      <c r="H11" s="220">
        <v>0</v>
      </c>
      <c r="I11" s="142">
        <v>0.01</v>
      </c>
      <c r="J11" s="234">
        <f t="shared" si="1"/>
        <v>0.1</v>
      </c>
      <c r="K11" s="234">
        <f t="shared" si="2"/>
        <v>0.909</v>
      </c>
      <c r="L11" s="234">
        <f t="shared" si="3"/>
        <v>0.99081</v>
      </c>
      <c r="M11" s="235">
        <f t="shared" si="4"/>
        <v>11.99981</v>
      </c>
      <c r="N11" s="138">
        <f t="shared" si="5"/>
        <v>-202.28079717</v>
      </c>
      <c r="O11" s="70" t="s">
        <v>124</v>
      </c>
      <c r="P11" s="70" t="s">
        <v>125</v>
      </c>
      <c r="Q11" s="242"/>
      <c r="R11" s="108"/>
    </row>
    <row r="12" s="204" customFormat="1" ht="27" customHeight="1" spans="1:18">
      <c r="A12" s="215"/>
      <c r="B12" s="215" t="s">
        <v>127</v>
      </c>
      <c r="C12" s="216"/>
      <c r="D12" s="215"/>
      <c r="E12" s="217"/>
      <c r="F12" s="218"/>
      <c r="G12" s="218"/>
      <c r="H12" s="219"/>
      <c r="I12" s="236"/>
      <c r="J12" s="218"/>
      <c r="K12" s="218"/>
      <c r="L12" s="218"/>
      <c r="M12" s="231"/>
      <c r="N12" s="232">
        <f>SUM(N13:N14)</f>
        <v>-10429.3759182316</v>
      </c>
      <c r="O12" s="233"/>
      <c r="P12" s="233"/>
      <c r="Q12" s="233"/>
      <c r="R12" s="238"/>
    </row>
    <row r="13" s="103" customFormat="1" ht="60" customHeight="1" spans="1:18">
      <c r="A13" s="70">
        <v>1</v>
      </c>
      <c r="B13" s="70" t="s">
        <v>128</v>
      </c>
      <c r="C13" s="72" t="s">
        <v>129</v>
      </c>
      <c r="D13" s="73" t="s">
        <v>130</v>
      </c>
      <c r="E13" s="32">
        <v>-44</v>
      </c>
      <c r="F13" s="134">
        <v>20</v>
      </c>
      <c r="G13" s="134">
        <f t="shared" ref="G13:G28" si="6">H13*(1+I13)</f>
        <v>162.663157894736</v>
      </c>
      <c r="H13" s="220">
        <v>161.052631578947</v>
      </c>
      <c r="I13" s="142">
        <v>0.01</v>
      </c>
      <c r="J13" s="134">
        <f t="shared" ref="J13:J17" si="7">(F13+G13)*1%</f>
        <v>1.82663157894736</v>
      </c>
      <c r="K13" s="149">
        <f t="shared" ref="K13:K17" si="8">(F13+G13+J13)*9%</f>
        <v>16.6040810526315</v>
      </c>
      <c r="L13" s="150">
        <f t="shared" ref="L13:L17" si="9">(F13+G13+J13+K13)*9%</f>
        <v>18.0984483473684</v>
      </c>
      <c r="M13" s="149">
        <f t="shared" ref="M13:M28" si="10">F13+G13+J13+K13+L13</f>
        <v>219.192318873684</v>
      </c>
      <c r="N13" s="149">
        <f t="shared" ref="N13:N33" si="11">M13*E13</f>
        <v>-9644.4620304421</v>
      </c>
      <c r="O13" s="74" t="s">
        <v>120</v>
      </c>
      <c r="P13" s="70" t="s">
        <v>128</v>
      </c>
      <c r="Q13" s="242" t="s">
        <v>131</v>
      </c>
      <c r="R13" s="108"/>
    </row>
    <row r="14" s="103" customFormat="1" ht="60" customHeight="1" spans="1:18">
      <c r="A14" s="70">
        <v>2</v>
      </c>
      <c r="B14" s="73" t="s">
        <v>128</v>
      </c>
      <c r="C14" s="72" t="s">
        <v>132</v>
      </c>
      <c r="D14" s="73" t="s">
        <v>133</v>
      </c>
      <c r="E14" s="32">
        <v>-1</v>
      </c>
      <c r="F14" s="134">
        <v>80</v>
      </c>
      <c r="G14" s="134">
        <f t="shared" si="6"/>
        <v>574.105263157895</v>
      </c>
      <c r="H14" s="220">
        <v>568.421052631579</v>
      </c>
      <c r="I14" s="142">
        <v>0.01</v>
      </c>
      <c r="J14" s="134">
        <f t="shared" si="7"/>
        <v>6.54105263157895</v>
      </c>
      <c r="K14" s="149">
        <f t="shared" si="8"/>
        <v>59.4581684210526</v>
      </c>
      <c r="L14" s="150">
        <f t="shared" si="9"/>
        <v>64.8094035789474</v>
      </c>
      <c r="M14" s="149">
        <f t="shared" si="10"/>
        <v>784.913887789474</v>
      </c>
      <c r="N14" s="149">
        <f t="shared" si="11"/>
        <v>-784.913887789474</v>
      </c>
      <c r="O14" s="74" t="s">
        <v>120</v>
      </c>
      <c r="P14" s="70" t="s">
        <v>134</v>
      </c>
      <c r="Q14" s="242" t="s">
        <v>135</v>
      </c>
      <c r="R14" s="108"/>
    </row>
    <row r="15" s="205" customFormat="1" ht="45" customHeight="1" spans="2:18">
      <c r="B15" s="221" t="s">
        <v>74</v>
      </c>
      <c r="C15" s="222"/>
      <c r="D15" s="215"/>
      <c r="E15" s="215"/>
      <c r="F15" s="215"/>
      <c r="G15" s="215"/>
      <c r="H15" s="223"/>
      <c r="I15" s="236"/>
      <c r="J15" s="215"/>
      <c r="K15" s="215"/>
      <c r="L15" s="215"/>
      <c r="M15" s="223"/>
      <c r="N15" s="217">
        <f>SUM(N16:N33)</f>
        <v>-107884.379647046</v>
      </c>
      <c r="O15" s="215"/>
      <c r="P15" s="215"/>
      <c r="Q15" s="215"/>
      <c r="R15" s="243"/>
    </row>
    <row r="16" s="103" customFormat="1" ht="72" spans="1:18">
      <c r="A16" s="70">
        <v>1</v>
      </c>
      <c r="B16" s="73" t="s">
        <v>136</v>
      </c>
      <c r="C16" s="72" t="s">
        <v>137</v>
      </c>
      <c r="D16" s="73" t="s">
        <v>138</v>
      </c>
      <c r="E16" s="79">
        <v>-12</v>
      </c>
      <c r="F16" s="46">
        <v>58</v>
      </c>
      <c r="G16" s="46">
        <f t="shared" si="6"/>
        <v>252.5</v>
      </c>
      <c r="H16" s="224">
        <v>250</v>
      </c>
      <c r="I16" s="142">
        <v>0.01</v>
      </c>
      <c r="J16" s="46">
        <f t="shared" si="7"/>
        <v>3.105</v>
      </c>
      <c r="K16" s="80">
        <f t="shared" si="8"/>
        <v>28.22445</v>
      </c>
      <c r="L16" s="151">
        <f t="shared" si="9"/>
        <v>30.7646505</v>
      </c>
      <c r="M16" s="80">
        <f t="shared" si="10"/>
        <v>372.5941005</v>
      </c>
      <c r="N16" s="80">
        <f t="shared" si="11"/>
        <v>-4471.129206</v>
      </c>
      <c r="O16" s="46" t="s">
        <v>139</v>
      </c>
      <c r="P16" s="46" t="s">
        <v>140</v>
      </c>
      <c r="Q16" s="159"/>
      <c r="R16" s="108"/>
    </row>
    <row r="17" s="103" customFormat="1" ht="72" spans="1:18">
      <c r="A17" s="70">
        <v>2</v>
      </c>
      <c r="B17" s="73" t="s">
        <v>141</v>
      </c>
      <c r="C17" s="72" t="s">
        <v>142</v>
      </c>
      <c r="D17" s="73" t="s">
        <v>138</v>
      </c>
      <c r="E17" s="70">
        <v>-11</v>
      </c>
      <c r="F17" s="46">
        <v>58</v>
      </c>
      <c r="G17" s="46">
        <f t="shared" si="6"/>
        <v>252.5</v>
      </c>
      <c r="H17" s="224">
        <v>250</v>
      </c>
      <c r="I17" s="142">
        <v>0.01</v>
      </c>
      <c r="J17" s="46">
        <f t="shared" si="7"/>
        <v>3.105</v>
      </c>
      <c r="K17" s="80">
        <f t="shared" si="8"/>
        <v>28.22445</v>
      </c>
      <c r="L17" s="151">
        <f t="shared" si="9"/>
        <v>30.7646505</v>
      </c>
      <c r="M17" s="80">
        <f t="shared" si="10"/>
        <v>372.5941005</v>
      </c>
      <c r="N17" s="80">
        <f t="shared" si="11"/>
        <v>-4098.5351055</v>
      </c>
      <c r="O17" s="46" t="s">
        <v>139</v>
      </c>
      <c r="P17" s="46" t="s">
        <v>143</v>
      </c>
      <c r="Q17" s="159"/>
      <c r="R17" s="108"/>
    </row>
    <row r="18" s="103" customFormat="1" ht="60" spans="1:18">
      <c r="A18" s="70">
        <v>3</v>
      </c>
      <c r="B18" s="73" t="s">
        <v>144</v>
      </c>
      <c r="C18" s="72" t="s">
        <v>145</v>
      </c>
      <c r="D18" s="73" t="s">
        <v>138</v>
      </c>
      <c r="E18" s="70">
        <v>-39</v>
      </c>
      <c r="F18" s="46">
        <v>30</v>
      </c>
      <c r="G18" s="46">
        <f t="shared" si="6"/>
        <v>252.5</v>
      </c>
      <c r="H18" s="224">
        <v>250</v>
      </c>
      <c r="I18" s="142">
        <v>0.01</v>
      </c>
      <c r="J18" s="46"/>
      <c r="K18" s="80"/>
      <c r="L18" s="151"/>
      <c r="M18" s="80">
        <f t="shared" si="10"/>
        <v>282.5</v>
      </c>
      <c r="N18" s="80">
        <f t="shared" si="11"/>
        <v>-11017.5</v>
      </c>
      <c r="O18" s="46" t="s">
        <v>139</v>
      </c>
      <c r="P18" s="46" t="s">
        <v>140</v>
      </c>
      <c r="Q18" s="159"/>
      <c r="R18" s="108"/>
    </row>
    <row r="19" s="103" customFormat="1" ht="60" spans="1:18">
      <c r="A19" s="70">
        <v>4</v>
      </c>
      <c r="B19" s="73" t="s">
        <v>146</v>
      </c>
      <c r="C19" s="72" t="s">
        <v>147</v>
      </c>
      <c r="D19" s="73" t="s">
        <v>138</v>
      </c>
      <c r="E19" s="70">
        <v>-39</v>
      </c>
      <c r="F19" s="46">
        <v>20</v>
      </c>
      <c r="G19" s="46">
        <f t="shared" si="6"/>
        <v>252.5</v>
      </c>
      <c r="H19" s="224">
        <v>250</v>
      </c>
      <c r="I19" s="142">
        <v>0.01</v>
      </c>
      <c r="J19" s="46"/>
      <c r="K19" s="80"/>
      <c r="L19" s="151"/>
      <c r="M19" s="80">
        <f t="shared" si="10"/>
        <v>272.5</v>
      </c>
      <c r="N19" s="80">
        <f t="shared" si="11"/>
        <v>-10627.5</v>
      </c>
      <c r="O19" s="70" t="s">
        <v>120</v>
      </c>
      <c r="P19" s="70" t="s">
        <v>148</v>
      </c>
      <c r="Q19" s="159"/>
      <c r="R19" s="108"/>
    </row>
    <row r="20" s="103" customFormat="1" ht="60" spans="1:18">
      <c r="A20" s="70">
        <v>5</v>
      </c>
      <c r="B20" s="73" t="s">
        <v>149</v>
      </c>
      <c r="C20" s="72" t="s">
        <v>150</v>
      </c>
      <c r="D20" s="73" t="s">
        <v>138</v>
      </c>
      <c r="E20" s="70">
        <v>-36</v>
      </c>
      <c r="F20" s="46">
        <v>30</v>
      </c>
      <c r="G20" s="46">
        <f t="shared" si="6"/>
        <v>297.684210526316</v>
      </c>
      <c r="H20" s="224">
        <v>294.736842105263</v>
      </c>
      <c r="I20" s="142">
        <v>0.01</v>
      </c>
      <c r="J20" s="46">
        <f t="shared" ref="J20:J28" si="12">(F20+G20)*1%</f>
        <v>3.27684210526316</v>
      </c>
      <c r="K20" s="80">
        <f t="shared" ref="K20:K28" si="13">(F20+G20+J20)*9%</f>
        <v>29.7864947368421</v>
      </c>
      <c r="L20" s="151">
        <f t="shared" ref="L20:L28" si="14">(F20+G20+J20+K20)*9%</f>
        <v>32.4672792631579</v>
      </c>
      <c r="M20" s="80">
        <f t="shared" si="10"/>
        <v>393.214826631579</v>
      </c>
      <c r="N20" s="80">
        <f t="shared" si="11"/>
        <v>-14155.7337587368</v>
      </c>
      <c r="O20" s="46" t="s">
        <v>151</v>
      </c>
      <c r="P20" s="70" t="s">
        <v>152</v>
      </c>
      <c r="Q20" s="239" t="s">
        <v>153</v>
      </c>
      <c r="R20" s="108"/>
    </row>
    <row r="21" s="103" customFormat="1" ht="60" spans="1:18">
      <c r="A21" s="70">
        <v>6</v>
      </c>
      <c r="B21" s="73" t="s">
        <v>154</v>
      </c>
      <c r="C21" s="72" t="s">
        <v>155</v>
      </c>
      <c r="D21" s="73" t="s">
        <v>138</v>
      </c>
      <c r="E21" s="70">
        <f>-36-17</f>
        <v>-53</v>
      </c>
      <c r="F21" s="46">
        <v>5</v>
      </c>
      <c r="G21" s="46">
        <f t="shared" si="6"/>
        <v>3.72105263157895</v>
      </c>
      <c r="H21" s="224">
        <v>3.68421052631579</v>
      </c>
      <c r="I21" s="142">
        <v>0.01</v>
      </c>
      <c r="J21" s="46">
        <f t="shared" si="12"/>
        <v>0.0872105263157895</v>
      </c>
      <c r="K21" s="80">
        <f t="shared" si="13"/>
        <v>0.792743684210526</v>
      </c>
      <c r="L21" s="151">
        <f t="shared" si="14"/>
        <v>0.864090615789474</v>
      </c>
      <c r="M21" s="80">
        <f t="shared" si="10"/>
        <v>10.4650974578947</v>
      </c>
      <c r="N21" s="80">
        <f t="shared" si="11"/>
        <v>-554.650165268419</v>
      </c>
      <c r="O21" s="70" t="s">
        <v>120</v>
      </c>
      <c r="P21" s="70" t="s">
        <v>154</v>
      </c>
      <c r="Q21" s="159"/>
      <c r="R21" s="108"/>
    </row>
    <row r="22" s="103" customFormat="1" ht="60" spans="1:18">
      <c r="A22" s="70">
        <v>7</v>
      </c>
      <c r="B22" s="73" t="s">
        <v>156</v>
      </c>
      <c r="C22" s="72" t="s">
        <v>157</v>
      </c>
      <c r="D22" s="73" t="s">
        <v>138</v>
      </c>
      <c r="E22" s="70">
        <f>-45</f>
        <v>-45</v>
      </c>
      <c r="F22" s="46">
        <v>100</v>
      </c>
      <c r="G22" s="46">
        <f t="shared" si="6"/>
        <v>181.8</v>
      </c>
      <c r="H22" s="224">
        <v>180</v>
      </c>
      <c r="I22" s="142">
        <v>0.01</v>
      </c>
      <c r="J22" s="46">
        <f t="shared" si="12"/>
        <v>2.818</v>
      </c>
      <c r="K22" s="80">
        <f t="shared" si="13"/>
        <v>25.61562</v>
      </c>
      <c r="L22" s="151">
        <f t="shared" si="14"/>
        <v>27.9210258</v>
      </c>
      <c r="M22" s="80">
        <f t="shared" si="10"/>
        <v>338.1546458</v>
      </c>
      <c r="N22" s="80">
        <f t="shared" si="11"/>
        <v>-15216.959061</v>
      </c>
      <c r="O22" s="70" t="s">
        <v>120</v>
      </c>
      <c r="P22" s="70" t="s">
        <v>156</v>
      </c>
      <c r="Q22" s="159"/>
      <c r="R22" s="108"/>
    </row>
    <row r="23" s="103" customFormat="1" ht="60" spans="1:18">
      <c r="A23" s="70">
        <v>8</v>
      </c>
      <c r="B23" s="73" t="s">
        <v>158</v>
      </c>
      <c r="C23" s="72" t="s">
        <v>159</v>
      </c>
      <c r="D23" s="73" t="s">
        <v>138</v>
      </c>
      <c r="E23" s="70">
        <f>-6</f>
        <v>-6</v>
      </c>
      <c r="F23" s="46">
        <v>120</v>
      </c>
      <c r="G23" s="46">
        <f t="shared" si="6"/>
        <v>252.5</v>
      </c>
      <c r="H23" s="224">
        <v>250</v>
      </c>
      <c r="I23" s="142">
        <v>0.01</v>
      </c>
      <c r="J23" s="46">
        <f t="shared" si="12"/>
        <v>3.725</v>
      </c>
      <c r="K23" s="80">
        <f t="shared" si="13"/>
        <v>33.86025</v>
      </c>
      <c r="L23" s="151">
        <f t="shared" si="14"/>
        <v>36.9076725</v>
      </c>
      <c r="M23" s="80">
        <f t="shared" si="10"/>
        <v>446.9929225</v>
      </c>
      <c r="N23" s="80">
        <f t="shared" si="11"/>
        <v>-2681.957535</v>
      </c>
      <c r="O23" s="70" t="s">
        <v>120</v>
      </c>
      <c r="P23" s="70" t="s">
        <v>158</v>
      </c>
      <c r="Q23" s="239" t="s">
        <v>160</v>
      </c>
      <c r="R23" s="108"/>
    </row>
    <row r="24" s="103" customFormat="1" ht="72" spans="1:18">
      <c r="A24" s="70">
        <v>9</v>
      </c>
      <c r="B24" s="73" t="s">
        <v>161</v>
      </c>
      <c r="C24" s="72" t="s">
        <v>162</v>
      </c>
      <c r="D24" s="73" t="s">
        <v>138</v>
      </c>
      <c r="E24" s="70">
        <f>76-93</f>
        <v>-17</v>
      </c>
      <c r="F24" s="46">
        <v>80</v>
      </c>
      <c r="G24" s="46">
        <f t="shared" si="6"/>
        <v>1593.78</v>
      </c>
      <c r="H24" s="224">
        <v>1578</v>
      </c>
      <c r="I24" s="142">
        <v>0.01</v>
      </c>
      <c r="J24" s="46">
        <f t="shared" si="12"/>
        <v>16.7378</v>
      </c>
      <c r="K24" s="80">
        <f t="shared" si="13"/>
        <v>152.146602</v>
      </c>
      <c r="L24" s="151">
        <f t="shared" si="14"/>
        <v>165.83979618</v>
      </c>
      <c r="M24" s="80">
        <f t="shared" si="10"/>
        <v>2008.50419818</v>
      </c>
      <c r="N24" s="80">
        <f t="shared" si="11"/>
        <v>-34144.57136906</v>
      </c>
      <c r="O24" s="46" t="s">
        <v>151</v>
      </c>
      <c r="P24" s="70" t="s">
        <v>163</v>
      </c>
      <c r="Q24" s="159"/>
      <c r="R24" s="108"/>
    </row>
    <row r="25" s="103" customFormat="1" ht="60" spans="1:18">
      <c r="A25" s="70">
        <v>10</v>
      </c>
      <c r="B25" s="73" t="s">
        <v>164</v>
      </c>
      <c r="C25" s="72" t="s">
        <v>165</v>
      </c>
      <c r="D25" s="73" t="s">
        <v>138</v>
      </c>
      <c r="E25" s="73">
        <v>-1</v>
      </c>
      <c r="F25" s="46">
        <v>5</v>
      </c>
      <c r="G25" s="46">
        <f t="shared" si="6"/>
        <v>19.6684210526316</v>
      </c>
      <c r="H25" s="224">
        <v>19.4736842105263</v>
      </c>
      <c r="I25" s="142">
        <v>0.01</v>
      </c>
      <c r="J25" s="46">
        <f t="shared" si="12"/>
        <v>0.246684210526316</v>
      </c>
      <c r="K25" s="80">
        <f t="shared" si="13"/>
        <v>2.24235947368421</v>
      </c>
      <c r="L25" s="151">
        <f t="shared" si="14"/>
        <v>2.44417182631579</v>
      </c>
      <c r="M25" s="80">
        <f t="shared" si="10"/>
        <v>29.6016365631579</v>
      </c>
      <c r="N25" s="80">
        <f t="shared" si="11"/>
        <v>-29.6016365631579</v>
      </c>
      <c r="O25" s="74" t="s">
        <v>120</v>
      </c>
      <c r="P25" s="73" t="s">
        <v>164</v>
      </c>
      <c r="Q25" s="159"/>
      <c r="R25" s="108"/>
    </row>
    <row r="26" s="103" customFormat="1" ht="60" customHeight="1" spans="1:18">
      <c r="A26" s="70">
        <v>11</v>
      </c>
      <c r="B26" s="73" t="s">
        <v>118</v>
      </c>
      <c r="C26" s="72" t="s">
        <v>119</v>
      </c>
      <c r="D26" s="73" t="s">
        <v>114</v>
      </c>
      <c r="E26" s="32">
        <f>-1900.98/63*11</f>
        <v>-331.917142857143</v>
      </c>
      <c r="F26" s="46">
        <v>3</v>
      </c>
      <c r="G26" s="46">
        <f t="shared" si="6"/>
        <v>0.9393</v>
      </c>
      <c r="H26" s="224">
        <v>0.93</v>
      </c>
      <c r="I26" s="89">
        <v>0.01</v>
      </c>
      <c r="J26" s="46">
        <f t="shared" si="12"/>
        <v>0.039393</v>
      </c>
      <c r="K26" s="90">
        <f t="shared" si="13"/>
        <v>0.35808237</v>
      </c>
      <c r="L26" s="91">
        <f t="shared" si="14"/>
        <v>0.3903097833</v>
      </c>
      <c r="M26" s="80">
        <f t="shared" si="10"/>
        <v>4.7270851533</v>
      </c>
      <c r="N26" s="80">
        <f t="shared" si="11"/>
        <v>-1569.00059812576</v>
      </c>
      <c r="O26" s="70" t="s">
        <v>120</v>
      </c>
      <c r="P26" s="70" t="s">
        <v>118</v>
      </c>
      <c r="Q26" s="239" t="s">
        <v>160</v>
      </c>
      <c r="R26" s="108"/>
    </row>
    <row r="27" s="103" customFormat="1" ht="60" customHeight="1" spans="1:18">
      <c r="A27" s="70">
        <v>12</v>
      </c>
      <c r="B27" s="73" t="s">
        <v>112</v>
      </c>
      <c r="C27" s="72" t="s">
        <v>113</v>
      </c>
      <c r="D27" s="73" t="s">
        <v>114</v>
      </c>
      <c r="E27" s="32">
        <f>-(2456.46+5007.71)/(273-63)*12</f>
        <v>-426.524</v>
      </c>
      <c r="F27" s="46">
        <v>1.2</v>
      </c>
      <c r="G27" s="46">
        <v>1.46715789473684</v>
      </c>
      <c r="H27" s="224">
        <v>1.45263157894737</v>
      </c>
      <c r="I27" s="46">
        <v>0.01</v>
      </c>
      <c r="J27" s="80">
        <v>0.0266715789473684</v>
      </c>
      <c r="K27" s="151">
        <v>0.242444652631579</v>
      </c>
      <c r="L27" s="80">
        <v>0.264264671368421</v>
      </c>
      <c r="M27" s="80">
        <f t="shared" ref="M27:M33" si="15">F27+G27+J27+K27+L27</f>
        <v>3.20053879768421</v>
      </c>
      <c r="N27" s="80">
        <f t="shared" si="11"/>
        <v>-1365.10661014346</v>
      </c>
      <c r="O27" s="70" t="s">
        <v>115</v>
      </c>
      <c r="P27" s="70" t="s">
        <v>112</v>
      </c>
      <c r="Q27" s="159"/>
      <c r="R27" s="108"/>
    </row>
    <row r="28" s="103" customFormat="1" ht="60" customHeight="1" spans="1:18">
      <c r="A28" s="70">
        <v>13</v>
      </c>
      <c r="B28" s="73" t="s">
        <v>166</v>
      </c>
      <c r="C28" s="72" t="s">
        <v>167</v>
      </c>
      <c r="D28" s="73" t="s">
        <v>114</v>
      </c>
      <c r="E28" s="32">
        <f>-1603.65/65*11</f>
        <v>-271.386923076923</v>
      </c>
      <c r="F28" s="46">
        <v>1.2</v>
      </c>
      <c r="G28" s="46">
        <v>1.7861052631579</v>
      </c>
      <c r="H28" s="224">
        <v>1.76842105263158</v>
      </c>
      <c r="I28" s="46">
        <v>0.01</v>
      </c>
      <c r="J28" s="80">
        <v>0.029861052631579</v>
      </c>
      <c r="K28" s="151">
        <v>0.271436968421053</v>
      </c>
      <c r="L28" s="80">
        <v>0.295866295578947</v>
      </c>
      <c r="M28" s="80">
        <f t="shared" si="15"/>
        <v>3.58326957978948</v>
      </c>
      <c r="N28" s="80">
        <f t="shared" si="11"/>
        <v>-972.452505814206</v>
      </c>
      <c r="O28" s="70" t="s">
        <v>115</v>
      </c>
      <c r="P28" s="70" t="s">
        <v>166</v>
      </c>
      <c r="Q28" s="159"/>
      <c r="R28" s="108"/>
    </row>
    <row r="29" s="103" customFormat="1" ht="60" customHeight="1" spans="1:18">
      <c r="A29" s="70">
        <v>14</v>
      </c>
      <c r="B29" s="70" t="s">
        <v>112</v>
      </c>
      <c r="C29" s="72" t="s">
        <v>168</v>
      </c>
      <c r="D29" s="73" t="s">
        <v>114</v>
      </c>
      <c r="E29" s="32">
        <f>-8264.11/(93+36+794)*53</f>
        <v>-474.537193932828</v>
      </c>
      <c r="F29" s="46">
        <v>1.2</v>
      </c>
      <c r="G29" s="46">
        <f t="shared" ref="G29:G33" si="16">H29*(1+I29)</f>
        <v>1.46715789473684</v>
      </c>
      <c r="H29" s="224">
        <v>1.45263157894737</v>
      </c>
      <c r="I29" s="89">
        <v>0.01</v>
      </c>
      <c r="J29" s="46">
        <f t="shared" ref="J29:J33" si="17">(F29+G29)*1%</f>
        <v>0.0266715789473684</v>
      </c>
      <c r="K29" s="90">
        <f t="shared" ref="K29:K33" si="18">(F29+G29+J29)*9%</f>
        <v>0.242444652631579</v>
      </c>
      <c r="L29" s="91">
        <f t="shared" ref="L29:L33" si="19">(F29+G29+J29+K29)*9%</f>
        <v>0.264264671368421</v>
      </c>
      <c r="M29" s="80">
        <f t="shared" si="15"/>
        <v>3.20053879768421</v>
      </c>
      <c r="N29" s="80">
        <f t="shared" si="11"/>
        <v>-1518.77470012621</v>
      </c>
      <c r="O29" s="70" t="s">
        <v>115</v>
      </c>
      <c r="P29" s="70" t="s">
        <v>112</v>
      </c>
      <c r="Q29" s="239"/>
      <c r="R29" s="108"/>
    </row>
    <row r="30" s="103" customFormat="1" ht="60" customHeight="1" spans="1:18">
      <c r="A30" s="70">
        <v>15</v>
      </c>
      <c r="B30" s="73" t="s">
        <v>169</v>
      </c>
      <c r="C30" s="72" t="s">
        <v>170</v>
      </c>
      <c r="D30" s="73" t="s">
        <v>114</v>
      </c>
      <c r="E30" s="32">
        <f>-342.85/129*51</f>
        <v>-135.545348837209</v>
      </c>
      <c r="F30" s="46">
        <v>1.2</v>
      </c>
      <c r="G30" s="46">
        <f t="shared" si="16"/>
        <v>3.95494736842105</v>
      </c>
      <c r="H30" s="224">
        <v>3.91578947368421</v>
      </c>
      <c r="I30" s="89">
        <v>0.01</v>
      </c>
      <c r="J30" s="46">
        <f t="shared" si="17"/>
        <v>0.0515494736842105</v>
      </c>
      <c r="K30" s="90">
        <f t="shared" si="18"/>
        <v>0.468584715789474</v>
      </c>
      <c r="L30" s="91">
        <f t="shared" si="19"/>
        <v>0.510757340210526</v>
      </c>
      <c r="M30" s="80">
        <f t="shared" si="15"/>
        <v>6.18583889810526</v>
      </c>
      <c r="N30" s="80">
        <f t="shared" si="11"/>
        <v>-838.461691294454</v>
      </c>
      <c r="O30" s="46" t="s">
        <v>115</v>
      </c>
      <c r="P30" s="70" t="s">
        <v>169</v>
      </c>
      <c r="Q30" s="159"/>
      <c r="R30" s="108"/>
    </row>
    <row r="31" s="103" customFormat="1" ht="60" customHeight="1" spans="1:18">
      <c r="A31" s="70">
        <v>16</v>
      </c>
      <c r="B31" s="73" t="s">
        <v>171</v>
      </c>
      <c r="C31" s="72" t="s">
        <v>172</v>
      </c>
      <c r="D31" s="73" t="s">
        <v>114</v>
      </c>
      <c r="E31" s="32">
        <f>-86.4/129*53</f>
        <v>-35.4976744186047</v>
      </c>
      <c r="F31" s="46">
        <v>1.2</v>
      </c>
      <c r="G31" s="46">
        <f t="shared" si="16"/>
        <v>2.11568421052631</v>
      </c>
      <c r="H31" s="224">
        <v>2.09473684210526</v>
      </c>
      <c r="I31" s="89">
        <v>0.01</v>
      </c>
      <c r="J31" s="46">
        <f t="shared" si="17"/>
        <v>0.0331568421052631</v>
      </c>
      <c r="K31" s="90">
        <f t="shared" si="18"/>
        <v>0.301395694736842</v>
      </c>
      <c r="L31" s="91">
        <f t="shared" si="19"/>
        <v>0.328521307263158</v>
      </c>
      <c r="M31" s="80">
        <f t="shared" si="15"/>
        <v>3.97875805463158</v>
      </c>
      <c r="N31" s="80">
        <f t="shared" si="11"/>
        <v>-141.236658013713</v>
      </c>
      <c r="O31" s="46" t="s">
        <v>115</v>
      </c>
      <c r="P31" s="70" t="s">
        <v>171</v>
      </c>
      <c r="Q31" s="239"/>
      <c r="R31" s="108"/>
    </row>
    <row r="32" s="53" customFormat="1" ht="48" spans="1:17">
      <c r="A32" s="70">
        <v>17</v>
      </c>
      <c r="B32" s="76" t="s">
        <v>173</v>
      </c>
      <c r="C32" s="76" t="s">
        <v>174</v>
      </c>
      <c r="D32" s="93" t="s">
        <v>138</v>
      </c>
      <c r="E32" s="70">
        <v>-3</v>
      </c>
      <c r="F32" s="46">
        <v>20</v>
      </c>
      <c r="G32" s="46">
        <f t="shared" si="16"/>
        <v>80.8</v>
      </c>
      <c r="H32" s="46">
        <v>80</v>
      </c>
      <c r="I32" s="89">
        <v>0.01</v>
      </c>
      <c r="J32" s="46">
        <f t="shared" si="17"/>
        <v>1.008</v>
      </c>
      <c r="K32" s="90">
        <f t="shared" si="18"/>
        <v>9.16272</v>
      </c>
      <c r="L32" s="91">
        <f t="shared" si="19"/>
        <v>9.9873648</v>
      </c>
      <c r="M32" s="80">
        <f t="shared" si="15"/>
        <v>120.9580848</v>
      </c>
      <c r="N32" s="80">
        <f t="shared" si="11"/>
        <v>-362.8742544</v>
      </c>
      <c r="O32" s="74" t="s">
        <v>120</v>
      </c>
      <c r="P32" s="70" t="s">
        <v>173</v>
      </c>
      <c r="Q32" s="70"/>
    </row>
    <row r="33" s="55" customFormat="1" ht="48" customHeight="1" spans="1:17">
      <c r="A33" s="70">
        <v>18</v>
      </c>
      <c r="B33" s="78" t="s">
        <v>175</v>
      </c>
      <c r="C33" s="70"/>
      <c r="D33" s="93" t="s">
        <v>138</v>
      </c>
      <c r="E33" s="70">
        <v>-20</v>
      </c>
      <c r="F33" s="46">
        <v>10</v>
      </c>
      <c r="G33" s="46">
        <f t="shared" si="16"/>
        <v>161.6</v>
      </c>
      <c r="H33" s="46">
        <v>160</v>
      </c>
      <c r="I33" s="89">
        <v>0.01</v>
      </c>
      <c r="J33" s="46">
        <f t="shared" si="17"/>
        <v>1.716</v>
      </c>
      <c r="K33" s="90">
        <f t="shared" si="18"/>
        <v>15.59844</v>
      </c>
      <c r="L33" s="91">
        <f t="shared" si="19"/>
        <v>17.0022996</v>
      </c>
      <c r="M33" s="80">
        <f t="shared" si="15"/>
        <v>205.9167396</v>
      </c>
      <c r="N33" s="80">
        <f t="shared" si="11"/>
        <v>-4118.334792</v>
      </c>
      <c r="O33" s="70" t="s">
        <v>120</v>
      </c>
      <c r="P33" s="98" t="s">
        <v>176</v>
      </c>
      <c r="Q33" s="98"/>
    </row>
    <row r="34" s="203" customFormat="1" ht="32" customHeight="1" spans="1:18">
      <c r="A34" s="210" t="s">
        <v>44</v>
      </c>
      <c r="B34" s="210" t="s">
        <v>177</v>
      </c>
      <c r="C34" s="211"/>
      <c r="D34" s="210"/>
      <c r="E34" s="212"/>
      <c r="F34" s="213"/>
      <c r="G34" s="213"/>
      <c r="H34" s="214"/>
      <c r="I34" s="226"/>
      <c r="J34" s="213"/>
      <c r="K34" s="213"/>
      <c r="L34" s="213"/>
      <c r="M34" s="227"/>
      <c r="N34" s="228">
        <f>N35+N43+N51+N53+N60+N67+N69+N72</f>
        <v>66812.9581731825</v>
      </c>
      <c r="O34" s="229"/>
      <c r="P34" s="229"/>
      <c r="Q34" s="229"/>
      <c r="R34" s="237"/>
    </row>
    <row r="35" s="204" customFormat="1" ht="27" customHeight="1" spans="1:18">
      <c r="A35" s="215"/>
      <c r="B35" s="215" t="s">
        <v>178</v>
      </c>
      <c r="C35" s="216"/>
      <c r="D35" s="215"/>
      <c r="E35" s="217"/>
      <c r="F35" s="218"/>
      <c r="G35" s="218"/>
      <c r="H35" s="219"/>
      <c r="I35" s="236"/>
      <c r="J35" s="218"/>
      <c r="K35" s="218"/>
      <c r="L35" s="218"/>
      <c r="M35" s="231"/>
      <c r="N35" s="232">
        <f>SUM(N36:N42)</f>
        <v>7947.08759598559</v>
      </c>
      <c r="O35" s="233"/>
      <c r="P35" s="233"/>
      <c r="Q35" s="233"/>
      <c r="R35" s="238"/>
    </row>
    <row r="36" s="103" customFormat="1" ht="60" customHeight="1" spans="1:18">
      <c r="A36" s="70">
        <v>1</v>
      </c>
      <c r="B36" s="70" t="s">
        <v>179</v>
      </c>
      <c r="C36" s="72" t="s">
        <v>180</v>
      </c>
      <c r="D36" s="73" t="s">
        <v>181</v>
      </c>
      <c r="E36" s="32">
        <v>2</v>
      </c>
      <c r="F36" s="46">
        <v>60</v>
      </c>
      <c r="G36" s="46">
        <f t="shared" ref="G36:G42" si="20">H36*(1+I36)</f>
        <v>101</v>
      </c>
      <c r="H36" s="224">
        <v>100</v>
      </c>
      <c r="I36" s="142">
        <v>0.01</v>
      </c>
      <c r="J36" s="46">
        <f t="shared" ref="J36:J42" si="21">(F36+G36)*1%</f>
        <v>1.61</v>
      </c>
      <c r="K36" s="80">
        <f t="shared" ref="K36:K42" si="22">(F36+G36+J36)*9%</f>
        <v>14.6349</v>
      </c>
      <c r="L36" s="151">
        <f t="shared" ref="L36:L42" si="23">(F36+G36+J36+K36)*9%</f>
        <v>15.952041</v>
      </c>
      <c r="M36" s="80">
        <f t="shared" ref="M36:M42" si="24">F36+G36+J36+K36+L36</f>
        <v>193.196941</v>
      </c>
      <c r="N36" s="80">
        <f t="shared" ref="N36:N42" si="25">M36*E36</f>
        <v>386.393882</v>
      </c>
      <c r="O36" s="70" t="s">
        <v>120</v>
      </c>
      <c r="P36" s="70" t="s">
        <v>182</v>
      </c>
      <c r="Q36" s="240" t="s">
        <v>76</v>
      </c>
      <c r="R36" s="108"/>
    </row>
    <row r="37" s="103" customFormat="1" ht="60" customHeight="1" spans="1:18">
      <c r="A37" s="70">
        <v>2</v>
      </c>
      <c r="B37" s="70" t="s">
        <v>183</v>
      </c>
      <c r="C37" s="72" t="s">
        <v>184</v>
      </c>
      <c r="D37" s="73" t="s">
        <v>181</v>
      </c>
      <c r="E37" s="32">
        <v>2</v>
      </c>
      <c r="F37" s="134">
        <v>30</v>
      </c>
      <c r="G37" s="134">
        <f t="shared" si="20"/>
        <v>793.86</v>
      </c>
      <c r="H37" s="220">
        <v>786</v>
      </c>
      <c r="I37" s="142">
        <v>0.01</v>
      </c>
      <c r="J37" s="234">
        <f t="shared" si="21"/>
        <v>8.2386</v>
      </c>
      <c r="K37" s="234">
        <f t="shared" si="22"/>
        <v>74.888874</v>
      </c>
      <c r="L37" s="234">
        <f t="shared" si="23"/>
        <v>81.62887266</v>
      </c>
      <c r="M37" s="235">
        <f t="shared" si="24"/>
        <v>988.61634666</v>
      </c>
      <c r="N37" s="138">
        <f t="shared" si="25"/>
        <v>1977.23269332</v>
      </c>
      <c r="O37" s="70" t="s">
        <v>185</v>
      </c>
      <c r="P37" s="70" t="s">
        <v>186</v>
      </c>
      <c r="Q37" s="241"/>
      <c r="R37" s="108"/>
    </row>
    <row r="38" s="57" customFormat="1" ht="60" customHeight="1" spans="1:18">
      <c r="A38" s="70">
        <v>3</v>
      </c>
      <c r="B38" s="70" t="s">
        <v>187</v>
      </c>
      <c r="C38" s="78" t="s">
        <v>188</v>
      </c>
      <c r="D38" s="70" t="s">
        <v>181</v>
      </c>
      <c r="E38" s="32">
        <v>2</v>
      </c>
      <c r="F38" s="134">
        <v>30</v>
      </c>
      <c r="G38" s="134">
        <v>463.92</v>
      </c>
      <c r="H38" s="220"/>
      <c r="I38" s="142"/>
      <c r="J38" s="134">
        <v>4.94</v>
      </c>
      <c r="K38" s="134">
        <v>19.95</v>
      </c>
      <c r="L38" s="134">
        <f t="shared" si="23"/>
        <v>46.6929</v>
      </c>
      <c r="M38" s="134">
        <f t="shared" si="24"/>
        <v>565.5029</v>
      </c>
      <c r="N38" s="149">
        <f t="shared" si="25"/>
        <v>1131.0058</v>
      </c>
      <c r="O38" s="70" t="s">
        <v>185</v>
      </c>
      <c r="P38" s="70" t="s">
        <v>189</v>
      </c>
      <c r="Q38" s="241"/>
      <c r="R38" s="244"/>
    </row>
    <row r="39" s="103" customFormat="1" ht="60" customHeight="1" spans="1:18">
      <c r="A39" s="70">
        <v>4</v>
      </c>
      <c r="B39" s="70" t="s">
        <v>190</v>
      </c>
      <c r="C39" s="72" t="s">
        <v>191</v>
      </c>
      <c r="D39" s="73" t="s">
        <v>130</v>
      </c>
      <c r="E39" s="32">
        <f>2</f>
        <v>2</v>
      </c>
      <c r="F39" s="134">
        <v>30</v>
      </c>
      <c r="G39" s="134">
        <f t="shared" si="20"/>
        <v>37.2105263157895</v>
      </c>
      <c r="H39" s="220">
        <v>36.8421052631579</v>
      </c>
      <c r="I39" s="142">
        <v>0.01</v>
      </c>
      <c r="J39" s="234">
        <f t="shared" si="21"/>
        <v>0.672105263157895</v>
      </c>
      <c r="K39" s="234">
        <f t="shared" si="22"/>
        <v>6.10943684210526</v>
      </c>
      <c r="L39" s="234">
        <f t="shared" si="23"/>
        <v>6.65928615789474</v>
      </c>
      <c r="M39" s="235">
        <f t="shared" si="24"/>
        <v>80.6513545789474</v>
      </c>
      <c r="N39" s="138">
        <f t="shared" si="25"/>
        <v>161.302709157895</v>
      </c>
      <c r="O39" s="70" t="s">
        <v>120</v>
      </c>
      <c r="P39" s="70" t="s">
        <v>190</v>
      </c>
      <c r="Q39" s="241"/>
      <c r="R39" s="108"/>
    </row>
    <row r="40" s="103" customFormat="1" ht="60" customHeight="1" spans="1:18">
      <c r="A40" s="70">
        <v>5</v>
      </c>
      <c r="B40" s="70" t="s">
        <v>128</v>
      </c>
      <c r="C40" s="72" t="s">
        <v>129</v>
      </c>
      <c r="D40" s="73" t="s">
        <v>130</v>
      </c>
      <c r="E40" s="32">
        <v>2</v>
      </c>
      <c r="F40" s="134">
        <v>20</v>
      </c>
      <c r="G40" s="134">
        <f t="shared" si="20"/>
        <v>162.663157894736</v>
      </c>
      <c r="H40" s="220">
        <v>161.052631578947</v>
      </c>
      <c r="I40" s="142">
        <v>0.01</v>
      </c>
      <c r="J40" s="234">
        <f t="shared" si="21"/>
        <v>1.82663157894736</v>
      </c>
      <c r="K40" s="234">
        <f t="shared" si="22"/>
        <v>16.6040810526315</v>
      </c>
      <c r="L40" s="234">
        <f t="shared" si="23"/>
        <v>18.0984483473684</v>
      </c>
      <c r="M40" s="235">
        <f t="shared" si="24"/>
        <v>219.192318873684</v>
      </c>
      <c r="N40" s="138">
        <f t="shared" si="25"/>
        <v>438.384637747368</v>
      </c>
      <c r="O40" s="70" t="s">
        <v>120</v>
      </c>
      <c r="P40" s="70" t="s">
        <v>128</v>
      </c>
      <c r="Q40" s="241"/>
      <c r="R40" s="108"/>
    </row>
    <row r="41" s="103" customFormat="1" ht="60" customHeight="1" spans="1:18">
      <c r="A41" s="70">
        <v>6</v>
      </c>
      <c r="B41" s="70" t="s">
        <v>192</v>
      </c>
      <c r="C41" s="72" t="s">
        <v>193</v>
      </c>
      <c r="D41" s="73" t="s">
        <v>114</v>
      </c>
      <c r="E41" s="32">
        <v>626.28</v>
      </c>
      <c r="F41" s="134">
        <v>1.2</v>
      </c>
      <c r="G41" s="134">
        <f t="shared" si="20"/>
        <v>2.3937</v>
      </c>
      <c r="H41" s="220">
        <v>2.37</v>
      </c>
      <c r="I41" s="142">
        <v>0.01</v>
      </c>
      <c r="J41" s="234">
        <f t="shared" si="21"/>
        <v>0.035937</v>
      </c>
      <c r="K41" s="234">
        <f t="shared" si="22"/>
        <v>0.32666733</v>
      </c>
      <c r="L41" s="234">
        <f t="shared" si="23"/>
        <v>0.3560673897</v>
      </c>
      <c r="M41" s="235">
        <f t="shared" si="24"/>
        <v>4.3123717197</v>
      </c>
      <c r="N41" s="138">
        <f t="shared" si="25"/>
        <v>2700.75216061372</v>
      </c>
      <c r="O41" s="70" t="s">
        <v>120</v>
      </c>
      <c r="P41" s="70" t="s">
        <v>192</v>
      </c>
      <c r="Q41" s="241"/>
      <c r="R41" s="108"/>
    </row>
    <row r="42" s="103" customFormat="1" ht="60" customHeight="1" spans="1:18">
      <c r="A42" s="70">
        <v>7</v>
      </c>
      <c r="B42" s="70" t="s">
        <v>194</v>
      </c>
      <c r="C42" s="72" t="s">
        <v>195</v>
      </c>
      <c r="D42" s="73" t="s">
        <v>114</v>
      </c>
      <c r="E42" s="32">
        <v>244.8</v>
      </c>
      <c r="F42" s="134">
        <v>1.2</v>
      </c>
      <c r="G42" s="134">
        <f t="shared" si="20"/>
        <v>2.72168421052631</v>
      </c>
      <c r="H42" s="220">
        <v>2.69473684210526</v>
      </c>
      <c r="I42" s="142">
        <v>0.01</v>
      </c>
      <c r="J42" s="234">
        <f t="shared" si="21"/>
        <v>0.0392168421052631</v>
      </c>
      <c r="K42" s="234">
        <f t="shared" si="22"/>
        <v>0.356481094736842</v>
      </c>
      <c r="L42" s="234">
        <f t="shared" si="23"/>
        <v>0.388564393263158</v>
      </c>
      <c r="M42" s="235">
        <f t="shared" si="24"/>
        <v>4.70594654063158</v>
      </c>
      <c r="N42" s="138">
        <f t="shared" si="25"/>
        <v>1152.01571314661</v>
      </c>
      <c r="O42" s="70" t="s">
        <v>120</v>
      </c>
      <c r="P42" s="70" t="s">
        <v>194</v>
      </c>
      <c r="Q42" s="242"/>
      <c r="R42" s="108"/>
    </row>
    <row r="43" s="204" customFormat="1" ht="27" customHeight="1" spans="1:18">
      <c r="A43" s="215"/>
      <c r="B43" s="215" t="s">
        <v>111</v>
      </c>
      <c r="C43" s="216"/>
      <c r="D43" s="215"/>
      <c r="E43" s="217"/>
      <c r="F43" s="218"/>
      <c r="G43" s="218"/>
      <c r="H43" s="219"/>
      <c r="I43" s="236"/>
      <c r="J43" s="218"/>
      <c r="K43" s="218"/>
      <c r="L43" s="218"/>
      <c r="M43" s="231"/>
      <c r="N43" s="232">
        <f>SUM(N44:N50)</f>
        <v>26254.5894325941</v>
      </c>
      <c r="O43" s="233"/>
      <c r="P43" s="233"/>
      <c r="Q43" s="233"/>
      <c r="R43" s="238"/>
    </row>
    <row r="44" s="103" customFormat="1" ht="96" customHeight="1" spans="1:18">
      <c r="A44" s="70">
        <v>1</v>
      </c>
      <c r="B44" s="70" t="s">
        <v>196</v>
      </c>
      <c r="C44" s="72" t="s">
        <v>142</v>
      </c>
      <c r="D44" s="73" t="s">
        <v>181</v>
      </c>
      <c r="E44" s="32">
        <v>13</v>
      </c>
      <c r="F44" s="134">
        <v>58</v>
      </c>
      <c r="G44" s="134">
        <f>H44*(1+I44)</f>
        <v>323.2</v>
      </c>
      <c r="H44" s="220">
        <v>320</v>
      </c>
      <c r="I44" s="142">
        <v>0.01</v>
      </c>
      <c r="J44" s="234">
        <f t="shared" ref="J44:J50" si="26">(F44+G44)*1%</f>
        <v>3.812</v>
      </c>
      <c r="K44" s="234">
        <f t="shared" ref="K44:K50" si="27">(F44+G44+J44)*9%</f>
        <v>34.65108</v>
      </c>
      <c r="L44" s="234">
        <f t="shared" ref="L44:L50" si="28">(F44+G44+J44+K44)*9%</f>
        <v>37.7696772</v>
      </c>
      <c r="M44" s="235">
        <f t="shared" ref="M44:M50" si="29">F44+G44+J44+K44+L44</f>
        <v>457.4327572</v>
      </c>
      <c r="N44" s="138">
        <f t="shared" ref="N44:N50" si="30">M44*E44</f>
        <v>5946.6258436</v>
      </c>
      <c r="O44" s="70" t="s">
        <v>197</v>
      </c>
      <c r="P44" s="70" t="s">
        <v>198</v>
      </c>
      <c r="Q44" s="240" t="s">
        <v>199</v>
      </c>
      <c r="R44" s="108"/>
    </row>
    <row r="45" s="103" customFormat="1" ht="28" customHeight="1" spans="1:18">
      <c r="A45" s="70">
        <v>2</v>
      </c>
      <c r="B45" s="70" t="s">
        <v>200</v>
      </c>
      <c r="C45" s="72" t="s">
        <v>201</v>
      </c>
      <c r="D45" s="73" t="s">
        <v>181</v>
      </c>
      <c r="E45" s="32">
        <v>7</v>
      </c>
      <c r="F45" s="134">
        <v>150</v>
      </c>
      <c r="G45" s="134">
        <f t="shared" ref="G44:G50" si="31">H45*(1+I45)</f>
        <v>146.45</v>
      </c>
      <c r="H45" s="220">
        <v>145</v>
      </c>
      <c r="I45" s="142">
        <v>0.01</v>
      </c>
      <c r="J45" s="234">
        <f t="shared" si="26"/>
        <v>2.9645</v>
      </c>
      <c r="K45" s="234">
        <f t="shared" si="27"/>
        <v>26.947305</v>
      </c>
      <c r="L45" s="234">
        <f t="shared" si="28"/>
        <v>29.37256245</v>
      </c>
      <c r="M45" s="235">
        <f t="shared" si="29"/>
        <v>355.73436745</v>
      </c>
      <c r="N45" s="138">
        <f t="shared" si="30"/>
        <v>2490.14057215</v>
      </c>
      <c r="O45" s="70" t="s">
        <v>202</v>
      </c>
      <c r="P45" s="70"/>
      <c r="Q45" s="242"/>
      <c r="R45" s="108"/>
    </row>
    <row r="46" s="103" customFormat="1" ht="35" customHeight="1" spans="1:18">
      <c r="A46" s="70">
        <v>3</v>
      </c>
      <c r="B46" s="70" t="s">
        <v>203</v>
      </c>
      <c r="C46" s="72" t="s">
        <v>204</v>
      </c>
      <c r="D46" s="73" t="s">
        <v>181</v>
      </c>
      <c r="E46" s="32">
        <v>1</v>
      </c>
      <c r="F46" s="134">
        <v>10</v>
      </c>
      <c r="G46" s="134">
        <f t="shared" si="31"/>
        <v>35.35</v>
      </c>
      <c r="H46" s="220">
        <v>35</v>
      </c>
      <c r="I46" s="142">
        <v>0.01</v>
      </c>
      <c r="J46" s="234">
        <f t="shared" si="26"/>
        <v>0.4535</v>
      </c>
      <c r="K46" s="234">
        <f t="shared" si="27"/>
        <v>4.122315</v>
      </c>
      <c r="L46" s="234">
        <f t="shared" si="28"/>
        <v>4.49332335</v>
      </c>
      <c r="M46" s="235">
        <f t="shared" si="29"/>
        <v>54.41913835</v>
      </c>
      <c r="N46" s="138">
        <f t="shared" si="30"/>
        <v>54.41913835</v>
      </c>
      <c r="O46" s="70" t="s">
        <v>202</v>
      </c>
      <c r="P46" s="70" t="s">
        <v>204</v>
      </c>
      <c r="Q46" s="239" t="s">
        <v>205</v>
      </c>
      <c r="R46" s="108"/>
    </row>
    <row r="47" s="103" customFormat="1" ht="60" customHeight="1" spans="1:18">
      <c r="A47" s="70">
        <v>4</v>
      </c>
      <c r="B47" s="73" t="s">
        <v>206</v>
      </c>
      <c r="C47" s="72" t="s">
        <v>207</v>
      </c>
      <c r="D47" s="73" t="s">
        <v>133</v>
      </c>
      <c r="E47" s="74">
        <v>10</v>
      </c>
      <c r="F47" s="134">
        <v>300</v>
      </c>
      <c r="G47" s="134">
        <f t="shared" si="31"/>
        <v>252.5</v>
      </c>
      <c r="H47" s="220">
        <v>250</v>
      </c>
      <c r="I47" s="142">
        <v>0.01</v>
      </c>
      <c r="J47" s="134">
        <f t="shared" si="26"/>
        <v>5.525</v>
      </c>
      <c r="K47" s="149">
        <f t="shared" si="27"/>
        <v>50.22225</v>
      </c>
      <c r="L47" s="150">
        <f t="shared" si="28"/>
        <v>54.7422525</v>
      </c>
      <c r="M47" s="149">
        <f t="shared" si="29"/>
        <v>662.9895025</v>
      </c>
      <c r="N47" s="149">
        <f t="shared" si="30"/>
        <v>6629.895025</v>
      </c>
      <c r="O47" s="74" t="s">
        <v>120</v>
      </c>
      <c r="P47" s="74" t="s">
        <v>206</v>
      </c>
      <c r="Q47" s="239" t="s">
        <v>208</v>
      </c>
      <c r="R47" s="108"/>
    </row>
    <row r="48" s="103" customFormat="1" ht="60" customHeight="1" spans="1:18">
      <c r="A48" s="70">
        <v>5</v>
      </c>
      <c r="B48" s="73" t="s">
        <v>209</v>
      </c>
      <c r="C48" s="72" t="s">
        <v>210</v>
      </c>
      <c r="D48" s="73" t="s">
        <v>181</v>
      </c>
      <c r="E48" s="32">
        <v>1</v>
      </c>
      <c r="F48" s="134">
        <v>80</v>
      </c>
      <c r="G48" s="134">
        <f t="shared" si="31"/>
        <v>3535</v>
      </c>
      <c r="H48" s="225">
        <v>3500</v>
      </c>
      <c r="I48" s="142">
        <v>0.01</v>
      </c>
      <c r="J48" s="134">
        <f t="shared" si="26"/>
        <v>36.15</v>
      </c>
      <c r="K48" s="149">
        <f t="shared" si="27"/>
        <v>328.6035</v>
      </c>
      <c r="L48" s="150">
        <f t="shared" si="28"/>
        <v>358.177815</v>
      </c>
      <c r="M48" s="149">
        <f t="shared" si="29"/>
        <v>4337.931315</v>
      </c>
      <c r="N48" s="149">
        <f t="shared" si="30"/>
        <v>4337.931315</v>
      </c>
      <c r="O48" s="46" t="s">
        <v>139</v>
      </c>
      <c r="P48" s="46" t="s">
        <v>211</v>
      </c>
      <c r="Q48" s="239" t="s">
        <v>212</v>
      </c>
      <c r="R48" s="108"/>
    </row>
    <row r="49" s="103" customFormat="1" ht="51" customHeight="1" spans="1:18">
      <c r="A49" s="70">
        <v>6</v>
      </c>
      <c r="B49" s="70" t="s">
        <v>112</v>
      </c>
      <c r="C49" s="72" t="s">
        <v>113</v>
      </c>
      <c r="D49" s="73" t="s">
        <v>114</v>
      </c>
      <c r="E49" s="32">
        <f>73*6+90*6+12+2.5*6+860+124</f>
        <v>1989</v>
      </c>
      <c r="F49" s="134">
        <v>1.2</v>
      </c>
      <c r="G49" s="134">
        <f t="shared" si="31"/>
        <v>1.46715789473684</v>
      </c>
      <c r="H49" s="220">
        <v>1.45263157894737</v>
      </c>
      <c r="I49" s="142">
        <v>0.01</v>
      </c>
      <c r="J49" s="234">
        <f t="shared" si="26"/>
        <v>0.0266715789473684</v>
      </c>
      <c r="K49" s="234">
        <f t="shared" si="27"/>
        <v>0.242444652631579</v>
      </c>
      <c r="L49" s="234">
        <f t="shared" si="28"/>
        <v>0.264264671368421</v>
      </c>
      <c r="M49" s="235">
        <f t="shared" si="29"/>
        <v>3.20053879768421</v>
      </c>
      <c r="N49" s="138">
        <f t="shared" si="30"/>
        <v>6365.8716685939</v>
      </c>
      <c r="O49" s="70" t="s">
        <v>115</v>
      </c>
      <c r="P49" s="70" t="s">
        <v>112</v>
      </c>
      <c r="Q49" s="239" t="s">
        <v>213</v>
      </c>
      <c r="R49" s="108"/>
    </row>
    <row r="50" s="103" customFormat="1" ht="53" customHeight="1" spans="1:18">
      <c r="A50" s="70">
        <v>7</v>
      </c>
      <c r="B50" s="70" t="s">
        <v>171</v>
      </c>
      <c r="C50" s="72" t="s">
        <v>172</v>
      </c>
      <c r="D50" s="73" t="s">
        <v>114</v>
      </c>
      <c r="E50" s="32">
        <v>108</v>
      </c>
      <c r="F50" s="134">
        <v>1.2</v>
      </c>
      <c r="G50" s="134">
        <f t="shared" si="31"/>
        <v>2.11568421052631</v>
      </c>
      <c r="H50" s="220">
        <v>2.09473684210526</v>
      </c>
      <c r="I50" s="142">
        <v>0.01</v>
      </c>
      <c r="J50" s="234">
        <f t="shared" si="26"/>
        <v>0.0331568421052631</v>
      </c>
      <c r="K50" s="234">
        <f t="shared" si="27"/>
        <v>0.301395694736842</v>
      </c>
      <c r="L50" s="234">
        <f t="shared" si="28"/>
        <v>0.328521307263158</v>
      </c>
      <c r="M50" s="235">
        <f t="shared" si="29"/>
        <v>3.97875805463158</v>
      </c>
      <c r="N50" s="138">
        <f t="shared" si="30"/>
        <v>429.70586990021</v>
      </c>
      <c r="O50" s="70" t="s">
        <v>115</v>
      </c>
      <c r="P50" s="70" t="s">
        <v>171</v>
      </c>
      <c r="Q50" s="239" t="s">
        <v>214</v>
      </c>
      <c r="R50" s="108"/>
    </row>
    <row r="51" s="204" customFormat="1" ht="27" customHeight="1" spans="1:18">
      <c r="A51" s="215"/>
      <c r="B51" s="215" t="s">
        <v>215</v>
      </c>
      <c r="C51" s="216"/>
      <c r="D51" s="215"/>
      <c r="E51" s="217"/>
      <c r="F51" s="218"/>
      <c r="G51" s="218"/>
      <c r="H51" s="219"/>
      <c r="I51" s="230"/>
      <c r="J51" s="218"/>
      <c r="K51" s="218"/>
      <c r="L51" s="218"/>
      <c r="M51" s="231"/>
      <c r="N51" s="232">
        <f>N52</f>
        <v>0</v>
      </c>
      <c r="O51" s="233"/>
      <c r="P51" s="233"/>
      <c r="Q51" s="233"/>
      <c r="R51" s="238"/>
    </row>
    <row r="52" s="103" customFormat="1" ht="57" customHeight="1" spans="1:18">
      <c r="A52" s="70">
        <v>1</v>
      </c>
      <c r="B52" s="70" t="s">
        <v>171</v>
      </c>
      <c r="C52" s="72" t="s">
        <v>172</v>
      </c>
      <c r="D52" s="73" t="s">
        <v>114</v>
      </c>
      <c r="E52" s="32">
        <f>1200*0</f>
        <v>0</v>
      </c>
      <c r="F52" s="134">
        <v>1.2</v>
      </c>
      <c r="G52" s="134">
        <f>H52*(1+I52)</f>
        <v>2.11568421052631</v>
      </c>
      <c r="H52" s="220">
        <v>2.09473684210526</v>
      </c>
      <c r="I52" s="142">
        <v>0.01</v>
      </c>
      <c r="J52" s="234">
        <f>(F52+G52)*1%</f>
        <v>0.0331568421052631</v>
      </c>
      <c r="K52" s="234">
        <f>(F52+G52+J52)*9%</f>
        <v>0.301395694736842</v>
      </c>
      <c r="L52" s="234">
        <f>(F52+G52+J52+K52)*9%</f>
        <v>0.328521307263158</v>
      </c>
      <c r="M52" s="235">
        <f>F52+G52+J52+K52+L52</f>
        <v>3.97875805463158</v>
      </c>
      <c r="N52" s="138">
        <f>M52*E52</f>
        <v>0</v>
      </c>
      <c r="O52" s="70" t="s">
        <v>115</v>
      </c>
      <c r="P52" s="70" t="s">
        <v>171</v>
      </c>
      <c r="Q52" s="239" t="s">
        <v>216</v>
      </c>
      <c r="R52" s="108"/>
    </row>
    <row r="53" s="204" customFormat="1" ht="27" customHeight="1" spans="1:18">
      <c r="A53" s="215"/>
      <c r="B53" s="215" t="s">
        <v>117</v>
      </c>
      <c r="C53" s="216"/>
      <c r="D53" s="215"/>
      <c r="E53" s="217"/>
      <c r="F53" s="218"/>
      <c r="G53" s="218"/>
      <c r="H53" s="219"/>
      <c r="I53" s="236"/>
      <c r="J53" s="218"/>
      <c r="K53" s="218"/>
      <c r="L53" s="218"/>
      <c r="M53" s="231"/>
      <c r="N53" s="232">
        <f>SUM(N54:N59)</f>
        <v>7743.29332703022</v>
      </c>
      <c r="O53" s="233"/>
      <c r="P53" s="233"/>
      <c r="Q53" s="233"/>
      <c r="R53" s="238"/>
    </row>
    <row r="54" s="103" customFormat="1" ht="50" customHeight="1" spans="1:18">
      <c r="A54" s="70">
        <v>1</v>
      </c>
      <c r="B54" s="70" t="s">
        <v>217</v>
      </c>
      <c r="C54" s="72" t="s">
        <v>218</v>
      </c>
      <c r="D54" s="73" t="s">
        <v>219</v>
      </c>
      <c r="E54" s="32">
        <v>1</v>
      </c>
      <c r="F54" s="134">
        <v>300</v>
      </c>
      <c r="G54" s="134">
        <f t="shared" ref="G54:G59" si="32">H54*(1+I54)</f>
        <v>202</v>
      </c>
      <c r="H54" s="220">
        <v>200</v>
      </c>
      <c r="I54" s="142">
        <v>0.01</v>
      </c>
      <c r="J54" s="234">
        <f t="shared" ref="J54:J59" si="33">(F54+G54)*1%</f>
        <v>5.02</v>
      </c>
      <c r="K54" s="234">
        <f t="shared" ref="K54:K59" si="34">(F54+G54+J54)*9%</f>
        <v>45.6318</v>
      </c>
      <c r="L54" s="234">
        <f t="shared" ref="L54:L59" si="35">(F54+G54+J54+K54)*9%</f>
        <v>49.738662</v>
      </c>
      <c r="M54" s="235">
        <f t="shared" ref="M54:M59" si="36">F54+G54+J54+K54+L54</f>
        <v>602.390462</v>
      </c>
      <c r="N54" s="138">
        <f t="shared" ref="N54:N59" si="37">M54*E54</f>
        <v>602.390462</v>
      </c>
      <c r="O54" s="70" t="s">
        <v>120</v>
      </c>
      <c r="P54" s="70" t="s">
        <v>217</v>
      </c>
      <c r="Q54" s="240" t="s">
        <v>220</v>
      </c>
      <c r="R54" s="108"/>
    </row>
    <row r="55" s="103" customFormat="1" ht="55" customHeight="1" spans="1:18">
      <c r="A55" s="70">
        <v>2</v>
      </c>
      <c r="B55" s="70" t="s">
        <v>221</v>
      </c>
      <c r="C55" s="72" t="s">
        <v>222</v>
      </c>
      <c r="D55" s="73" t="s">
        <v>114</v>
      </c>
      <c r="E55" s="32">
        <v>31.3</v>
      </c>
      <c r="F55" s="134">
        <v>10</v>
      </c>
      <c r="G55" s="134">
        <f t="shared" si="32"/>
        <v>10.1</v>
      </c>
      <c r="H55" s="220">
        <v>10</v>
      </c>
      <c r="I55" s="142">
        <v>0.01</v>
      </c>
      <c r="J55" s="234">
        <f t="shared" si="33"/>
        <v>0.201</v>
      </c>
      <c r="K55" s="234">
        <f t="shared" si="34"/>
        <v>1.82709</v>
      </c>
      <c r="L55" s="234">
        <f t="shared" si="35"/>
        <v>1.9915281</v>
      </c>
      <c r="M55" s="235">
        <f t="shared" si="36"/>
        <v>24.1196181</v>
      </c>
      <c r="N55" s="138">
        <f t="shared" si="37"/>
        <v>754.94404653</v>
      </c>
      <c r="O55" s="70" t="s">
        <v>120</v>
      </c>
      <c r="P55" s="70" t="s">
        <v>221</v>
      </c>
      <c r="Q55" s="242"/>
      <c r="R55" s="108"/>
    </row>
    <row r="56" s="103" customFormat="1" ht="50" customHeight="1" spans="1:18">
      <c r="A56" s="70">
        <v>3</v>
      </c>
      <c r="B56" s="70" t="s">
        <v>118</v>
      </c>
      <c r="C56" s="72" t="s">
        <v>119</v>
      </c>
      <c r="D56" s="73" t="s">
        <v>114</v>
      </c>
      <c r="E56" s="32">
        <v>549.72</v>
      </c>
      <c r="F56" s="134">
        <v>3</v>
      </c>
      <c r="G56" s="134">
        <f t="shared" si="32"/>
        <v>0.9393</v>
      </c>
      <c r="H56" s="220">
        <v>0.93</v>
      </c>
      <c r="I56" s="142">
        <v>0.01</v>
      </c>
      <c r="J56" s="234">
        <f t="shared" si="33"/>
        <v>0.039393</v>
      </c>
      <c r="K56" s="234">
        <f t="shared" si="34"/>
        <v>0.35808237</v>
      </c>
      <c r="L56" s="234">
        <f t="shared" si="35"/>
        <v>0.3903097833</v>
      </c>
      <c r="M56" s="235">
        <f t="shared" si="36"/>
        <v>4.7270851533</v>
      </c>
      <c r="N56" s="138">
        <f t="shared" si="37"/>
        <v>2598.57325047208</v>
      </c>
      <c r="O56" s="70" t="s">
        <v>120</v>
      </c>
      <c r="P56" s="70" t="s">
        <v>118</v>
      </c>
      <c r="Q56" s="240" t="s">
        <v>223</v>
      </c>
      <c r="R56" s="108"/>
    </row>
    <row r="57" s="103" customFormat="1" ht="52" customHeight="1" spans="1:18">
      <c r="A57" s="70">
        <v>4</v>
      </c>
      <c r="B57" s="70" t="s">
        <v>224</v>
      </c>
      <c r="C57" s="72" t="s">
        <v>225</v>
      </c>
      <c r="D57" s="73" t="s">
        <v>114</v>
      </c>
      <c r="E57" s="32">
        <v>50</v>
      </c>
      <c r="F57" s="134">
        <v>3</v>
      </c>
      <c r="G57" s="134">
        <f t="shared" si="32"/>
        <v>1.56284210526316</v>
      </c>
      <c r="H57" s="220">
        <v>1.54736842105263</v>
      </c>
      <c r="I57" s="142">
        <v>0.01</v>
      </c>
      <c r="J57" s="234">
        <f t="shared" si="33"/>
        <v>0.0456284210526316</v>
      </c>
      <c r="K57" s="234">
        <f t="shared" si="34"/>
        <v>0.414762347368421</v>
      </c>
      <c r="L57" s="234">
        <f t="shared" si="35"/>
        <v>0.452090958631579</v>
      </c>
      <c r="M57" s="235">
        <f t="shared" si="36"/>
        <v>5.47532383231579</v>
      </c>
      <c r="N57" s="138">
        <f t="shared" si="37"/>
        <v>273.76619161579</v>
      </c>
      <c r="O57" s="70" t="s">
        <v>120</v>
      </c>
      <c r="P57" s="70" t="s">
        <v>224</v>
      </c>
      <c r="Q57" s="241"/>
      <c r="R57" s="108"/>
    </row>
    <row r="58" s="103" customFormat="1" ht="30" customHeight="1" spans="1:18">
      <c r="A58" s="70">
        <v>5</v>
      </c>
      <c r="B58" s="70" t="s">
        <v>121</v>
      </c>
      <c r="C58" s="72" t="s">
        <v>122</v>
      </c>
      <c r="D58" s="73" t="s">
        <v>123</v>
      </c>
      <c r="E58" s="32">
        <v>71.3118</v>
      </c>
      <c r="F58" s="134">
        <v>25</v>
      </c>
      <c r="G58" s="134">
        <f t="shared" si="32"/>
        <v>6.06</v>
      </c>
      <c r="H58" s="220">
        <v>6</v>
      </c>
      <c r="I58" s="142">
        <v>0.01</v>
      </c>
      <c r="J58" s="234">
        <f t="shared" si="33"/>
        <v>0.3106</v>
      </c>
      <c r="K58" s="234">
        <f t="shared" si="34"/>
        <v>2.823354</v>
      </c>
      <c r="L58" s="234">
        <f t="shared" si="35"/>
        <v>3.07745586</v>
      </c>
      <c r="M58" s="235">
        <f t="shared" si="36"/>
        <v>37.27140986</v>
      </c>
      <c r="N58" s="138">
        <f t="shared" si="37"/>
        <v>2657.89132565435</v>
      </c>
      <c r="O58" s="70" t="s">
        <v>124</v>
      </c>
      <c r="P58" s="70" t="s">
        <v>121</v>
      </c>
      <c r="Q58" s="241"/>
      <c r="R58" s="108"/>
    </row>
    <row r="59" s="103" customFormat="1" ht="37" customHeight="1" spans="1:18">
      <c r="A59" s="70">
        <v>6</v>
      </c>
      <c r="B59" s="70" t="s">
        <v>125</v>
      </c>
      <c r="C59" s="72" t="s">
        <v>126</v>
      </c>
      <c r="D59" s="73" t="s">
        <v>123</v>
      </c>
      <c r="E59" s="32">
        <v>71.3118</v>
      </c>
      <c r="F59" s="134">
        <v>10</v>
      </c>
      <c r="G59" s="134">
        <f t="shared" si="32"/>
        <v>0</v>
      </c>
      <c r="H59" s="220">
        <v>0</v>
      </c>
      <c r="I59" s="142">
        <v>0.01</v>
      </c>
      <c r="J59" s="234">
        <f t="shared" si="33"/>
        <v>0.1</v>
      </c>
      <c r="K59" s="234">
        <f t="shared" si="34"/>
        <v>0.909</v>
      </c>
      <c r="L59" s="234">
        <f t="shared" si="35"/>
        <v>0.99081</v>
      </c>
      <c r="M59" s="235">
        <f t="shared" si="36"/>
        <v>11.99981</v>
      </c>
      <c r="N59" s="138">
        <f t="shared" si="37"/>
        <v>855.728050758</v>
      </c>
      <c r="O59" s="70" t="s">
        <v>124</v>
      </c>
      <c r="P59" s="70" t="s">
        <v>125</v>
      </c>
      <c r="Q59" s="242"/>
      <c r="R59" s="108"/>
    </row>
    <row r="60" s="204" customFormat="1" ht="27" customHeight="1" spans="1:18">
      <c r="A60" s="215"/>
      <c r="B60" s="215" t="s">
        <v>226</v>
      </c>
      <c r="C60" s="216"/>
      <c r="D60" s="215"/>
      <c r="E60" s="217"/>
      <c r="F60" s="218"/>
      <c r="G60" s="218"/>
      <c r="H60" s="219"/>
      <c r="I60" s="236"/>
      <c r="J60" s="218"/>
      <c r="K60" s="218"/>
      <c r="L60" s="218"/>
      <c r="M60" s="231"/>
      <c r="N60" s="232">
        <f>SUM(N61:N66)</f>
        <v>7005.40906453006</v>
      </c>
      <c r="O60" s="233"/>
      <c r="P60" s="233"/>
      <c r="Q60" s="233"/>
      <c r="R60" s="238"/>
    </row>
    <row r="61" s="103" customFormat="1" ht="60" customHeight="1" spans="1:18">
      <c r="A61" s="70">
        <v>1</v>
      </c>
      <c r="B61" s="73" t="s">
        <v>227</v>
      </c>
      <c r="C61" s="72" t="s">
        <v>162</v>
      </c>
      <c r="D61" s="73" t="s">
        <v>138</v>
      </c>
      <c r="E61" s="32">
        <v>2</v>
      </c>
      <c r="F61" s="134">
        <v>80</v>
      </c>
      <c r="G61" s="134">
        <f t="shared" ref="G61:G66" si="38">H61*(1+I61)</f>
        <v>2083.024</v>
      </c>
      <c r="H61" s="220">
        <v>2062.4</v>
      </c>
      <c r="I61" s="142">
        <v>0.01</v>
      </c>
      <c r="J61" s="134">
        <f t="shared" ref="J61:J66" si="39">(F61+G61)*1%</f>
        <v>21.63024</v>
      </c>
      <c r="K61" s="149">
        <f t="shared" ref="K61:K66" si="40">(F61+G61+J61)*9%</f>
        <v>196.6188816</v>
      </c>
      <c r="L61" s="150">
        <f t="shared" ref="L61:L66" si="41">(F61+G61+J61+K61)*9%</f>
        <v>214.314580944</v>
      </c>
      <c r="M61" s="149">
        <f t="shared" ref="M61:M66" si="42">F61+G61+J61+K61+L61</f>
        <v>2595.587702544</v>
      </c>
      <c r="N61" s="149">
        <f t="shared" ref="N61:N66" si="43">M61*E61</f>
        <v>5191.175405088</v>
      </c>
      <c r="O61" s="46" t="s">
        <v>151</v>
      </c>
      <c r="P61" s="70" t="s">
        <v>228</v>
      </c>
      <c r="Q61" s="163" t="s">
        <v>229</v>
      </c>
      <c r="R61" s="108"/>
    </row>
    <row r="62" s="103" customFormat="1" ht="60" customHeight="1" spans="1:18">
      <c r="A62" s="70">
        <v>2</v>
      </c>
      <c r="B62" s="73" t="s">
        <v>154</v>
      </c>
      <c r="C62" s="72" t="s">
        <v>155</v>
      </c>
      <c r="D62" s="73" t="s">
        <v>138</v>
      </c>
      <c r="E62" s="32">
        <v>1</v>
      </c>
      <c r="F62" s="134">
        <v>5</v>
      </c>
      <c r="G62" s="134">
        <f t="shared" si="38"/>
        <v>3.72105263157895</v>
      </c>
      <c r="H62" s="220">
        <v>3.68421052631579</v>
      </c>
      <c r="I62" s="142">
        <v>0.01</v>
      </c>
      <c r="J62" s="134">
        <f t="shared" si="39"/>
        <v>0.0872105263157895</v>
      </c>
      <c r="K62" s="149">
        <f t="shared" si="40"/>
        <v>0.792743684210526</v>
      </c>
      <c r="L62" s="150">
        <f t="shared" si="41"/>
        <v>0.864090615789474</v>
      </c>
      <c r="M62" s="149">
        <f t="shared" si="42"/>
        <v>10.4650974578947</v>
      </c>
      <c r="N62" s="149">
        <f t="shared" si="43"/>
        <v>10.4650974578947</v>
      </c>
      <c r="O62" s="70" t="s">
        <v>120</v>
      </c>
      <c r="P62" s="70" t="s">
        <v>154</v>
      </c>
      <c r="Q62" s="163" t="s">
        <v>230</v>
      </c>
      <c r="R62" s="108"/>
    </row>
    <row r="63" s="103" customFormat="1" ht="60" customHeight="1" spans="1:18">
      <c r="A63" s="70">
        <v>3</v>
      </c>
      <c r="B63" s="73" t="s">
        <v>136</v>
      </c>
      <c r="C63" s="72" t="s">
        <v>137</v>
      </c>
      <c r="D63" s="73" t="s">
        <v>138</v>
      </c>
      <c r="E63" s="32">
        <v>2</v>
      </c>
      <c r="F63" s="134">
        <v>58</v>
      </c>
      <c r="G63" s="134">
        <f t="shared" si="38"/>
        <v>252.5</v>
      </c>
      <c r="H63" s="220">
        <v>250</v>
      </c>
      <c r="I63" s="142">
        <v>0.01</v>
      </c>
      <c r="J63" s="134">
        <f t="shared" si="39"/>
        <v>3.105</v>
      </c>
      <c r="K63" s="149">
        <f t="shared" si="40"/>
        <v>28.22445</v>
      </c>
      <c r="L63" s="150">
        <f t="shared" si="41"/>
        <v>30.7646505</v>
      </c>
      <c r="M63" s="149">
        <f t="shared" si="42"/>
        <v>372.5941005</v>
      </c>
      <c r="N63" s="149">
        <f t="shared" si="43"/>
        <v>745.188201</v>
      </c>
      <c r="O63" s="46" t="s">
        <v>139</v>
      </c>
      <c r="P63" s="46" t="s">
        <v>140</v>
      </c>
      <c r="Q63" s="163" t="s">
        <v>231</v>
      </c>
      <c r="R63" s="108"/>
    </row>
    <row r="64" s="103" customFormat="1" ht="60" customHeight="1" spans="1:18">
      <c r="A64" s="70">
        <v>4</v>
      </c>
      <c r="B64" s="73" t="s">
        <v>141</v>
      </c>
      <c r="C64" s="72" t="s">
        <v>142</v>
      </c>
      <c r="D64" s="73" t="s">
        <v>138</v>
      </c>
      <c r="E64" s="32">
        <v>2</v>
      </c>
      <c r="F64" s="134">
        <v>58</v>
      </c>
      <c r="G64" s="134">
        <f t="shared" si="38"/>
        <v>252.5</v>
      </c>
      <c r="H64" s="220">
        <v>250</v>
      </c>
      <c r="I64" s="142">
        <v>0.01</v>
      </c>
      <c r="J64" s="134">
        <f t="shared" si="39"/>
        <v>3.105</v>
      </c>
      <c r="K64" s="149">
        <f t="shared" si="40"/>
        <v>28.22445</v>
      </c>
      <c r="L64" s="150">
        <f t="shared" si="41"/>
        <v>30.7646505</v>
      </c>
      <c r="M64" s="149">
        <f t="shared" si="42"/>
        <v>372.5941005</v>
      </c>
      <c r="N64" s="149">
        <f t="shared" si="43"/>
        <v>745.188201</v>
      </c>
      <c r="O64" s="46" t="s">
        <v>139</v>
      </c>
      <c r="P64" s="46" t="s">
        <v>143</v>
      </c>
      <c r="Q64" s="163" t="s">
        <v>232</v>
      </c>
      <c r="R64" s="108"/>
    </row>
    <row r="65" s="103" customFormat="1" ht="52" customHeight="1" spans="1:18">
      <c r="A65" s="70">
        <v>5</v>
      </c>
      <c r="B65" s="70" t="s">
        <v>112</v>
      </c>
      <c r="C65" s="72" t="s">
        <v>113</v>
      </c>
      <c r="D65" s="73" t="s">
        <v>114</v>
      </c>
      <c r="E65" s="32">
        <v>74.51</v>
      </c>
      <c r="F65" s="134">
        <v>1.2</v>
      </c>
      <c r="G65" s="134">
        <f t="shared" si="38"/>
        <v>1.46715789473684</v>
      </c>
      <c r="H65" s="220">
        <v>1.45263157894737</v>
      </c>
      <c r="I65" s="142">
        <v>0.01</v>
      </c>
      <c r="J65" s="234">
        <f t="shared" si="39"/>
        <v>0.0266715789473684</v>
      </c>
      <c r="K65" s="234">
        <f t="shared" si="40"/>
        <v>0.242444652631579</v>
      </c>
      <c r="L65" s="234">
        <f t="shared" si="41"/>
        <v>0.264264671368421</v>
      </c>
      <c r="M65" s="235">
        <f t="shared" si="42"/>
        <v>3.20053879768421</v>
      </c>
      <c r="N65" s="138">
        <f t="shared" si="43"/>
        <v>238.472145815451</v>
      </c>
      <c r="O65" s="70" t="s">
        <v>115</v>
      </c>
      <c r="P65" s="70" t="s">
        <v>112</v>
      </c>
      <c r="Q65" s="163" t="s">
        <v>233</v>
      </c>
      <c r="R65" s="108"/>
    </row>
    <row r="66" s="103" customFormat="1" ht="53" customHeight="1" spans="1:18">
      <c r="A66" s="70">
        <v>6</v>
      </c>
      <c r="B66" s="70" t="s">
        <v>171</v>
      </c>
      <c r="C66" s="72" t="s">
        <v>172</v>
      </c>
      <c r="D66" s="73" t="s">
        <v>114</v>
      </c>
      <c r="E66" s="32">
        <v>18.83</v>
      </c>
      <c r="F66" s="134">
        <v>1.2</v>
      </c>
      <c r="G66" s="134">
        <f t="shared" si="38"/>
        <v>2.11568421052631</v>
      </c>
      <c r="H66" s="220">
        <v>2.09473684210526</v>
      </c>
      <c r="I66" s="142">
        <v>0.01</v>
      </c>
      <c r="J66" s="234">
        <f t="shared" si="39"/>
        <v>0.0331568421052631</v>
      </c>
      <c r="K66" s="234">
        <f t="shared" si="40"/>
        <v>0.301395694736842</v>
      </c>
      <c r="L66" s="234">
        <f t="shared" si="41"/>
        <v>0.328521307263158</v>
      </c>
      <c r="M66" s="235">
        <f t="shared" si="42"/>
        <v>3.97875805463158</v>
      </c>
      <c r="N66" s="138">
        <f t="shared" si="43"/>
        <v>74.9200141687127</v>
      </c>
      <c r="O66" s="70" t="s">
        <v>115</v>
      </c>
      <c r="P66" s="70" t="s">
        <v>171</v>
      </c>
      <c r="Q66" s="163" t="s">
        <v>234</v>
      </c>
      <c r="R66" s="108"/>
    </row>
    <row r="67" s="204" customFormat="1" ht="27" customHeight="1" spans="1:18">
      <c r="A67" s="215"/>
      <c r="B67" s="215" t="s">
        <v>235</v>
      </c>
      <c r="C67" s="216"/>
      <c r="D67" s="245"/>
      <c r="E67" s="246"/>
      <c r="F67" s="247"/>
      <c r="G67" s="247"/>
      <c r="H67" s="248"/>
      <c r="I67" s="267"/>
      <c r="J67" s="247"/>
      <c r="K67" s="247"/>
      <c r="L67" s="247"/>
      <c r="M67" s="268"/>
      <c r="N67" s="232">
        <f>N68</f>
        <v>11676.00712696</v>
      </c>
      <c r="O67" s="269"/>
      <c r="P67" s="269"/>
      <c r="Q67" s="269"/>
      <c r="R67" s="238"/>
    </row>
    <row r="68" s="103" customFormat="1" ht="98" customHeight="1" spans="1:18">
      <c r="A68" s="70">
        <v>1</v>
      </c>
      <c r="B68" s="73" t="s">
        <v>236</v>
      </c>
      <c r="C68" s="72" t="s">
        <v>237</v>
      </c>
      <c r="D68" s="249" t="s">
        <v>130</v>
      </c>
      <c r="E68" s="70">
        <v>44</v>
      </c>
      <c r="F68" s="70">
        <v>5</v>
      </c>
      <c r="G68" s="70">
        <f t="shared" ref="G68:G71" si="44">H68*(1+I68)</f>
        <v>216.14</v>
      </c>
      <c r="H68" s="250">
        <v>214</v>
      </c>
      <c r="I68" s="70">
        <v>0.01</v>
      </c>
      <c r="J68" s="70">
        <f t="shared" ref="J68:J71" si="45">(F68+G68)*1%</f>
        <v>2.2114</v>
      </c>
      <c r="K68" s="32">
        <f t="shared" ref="K68:K71" si="46">(F68+G68+J68)*9%</f>
        <v>20.101626</v>
      </c>
      <c r="L68" s="32">
        <f t="shared" ref="L68:L71" si="47">(F68+G68+J68+K68)*9%</f>
        <v>21.91077234</v>
      </c>
      <c r="M68" s="32">
        <f t="shared" ref="M68:M71" si="48">F68+G68+J68+K68+L68</f>
        <v>265.36379834</v>
      </c>
      <c r="N68" s="270">
        <f t="shared" ref="N68:N71" si="49">M68*E68</f>
        <v>11676.00712696</v>
      </c>
      <c r="O68" s="70" t="s">
        <v>120</v>
      </c>
      <c r="P68" s="70" t="s">
        <v>238</v>
      </c>
      <c r="Q68" s="70" t="s">
        <v>239</v>
      </c>
      <c r="R68" s="108"/>
    </row>
    <row r="69" s="205" customFormat="1" ht="32" customHeight="1" spans="1:18">
      <c r="A69" s="251"/>
      <c r="B69" s="215" t="s">
        <v>81</v>
      </c>
      <c r="C69" s="216"/>
      <c r="D69" s="252"/>
      <c r="E69" s="253"/>
      <c r="F69" s="254"/>
      <c r="G69" s="254"/>
      <c r="H69" s="255"/>
      <c r="I69" s="267"/>
      <c r="J69" s="271"/>
      <c r="K69" s="271"/>
      <c r="L69" s="271"/>
      <c r="M69" s="268"/>
      <c r="N69" s="232">
        <f>SUM(N70:N71)</f>
        <v>2931.56621437894</v>
      </c>
      <c r="O69" s="272"/>
      <c r="P69" s="272"/>
      <c r="Q69" s="279"/>
      <c r="R69" s="243"/>
    </row>
    <row r="70" s="103" customFormat="1" ht="60" customHeight="1" spans="1:18">
      <c r="A70" s="256">
        <v>1</v>
      </c>
      <c r="B70" s="73" t="s">
        <v>240</v>
      </c>
      <c r="C70" s="72" t="s">
        <v>241</v>
      </c>
      <c r="D70" s="73" t="s">
        <v>138</v>
      </c>
      <c r="E70" s="70">
        <v>78</v>
      </c>
      <c r="F70" s="46">
        <v>8</v>
      </c>
      <c r="G70" s="46">
        <f t="shared" si="44"/>
        <v>3.72105263157895</v>
      </c>
      <c r="H70" s="224">
        <v>3.68421052631579</v>
      </c>
      <c r="I70" s="142">
        <v>0.01</v>
      </c>
      <c r="J70" s="46">
        <f t="shared" si="45"/>
        <v>0.117210526315789</v>
      </c>
      <c r="K70" s="80">
        <f t="shared" si="46"/>
        <v>1.06544368421053</v>
      </c>
      <c r="L70" s="151">
        <f t="shared" si="47"/>
        <v>1.16133361578947</v>
      </c>
      <c r="M70" s="80">
        <f t="shared" si="48"/>
        <v>14.0650404578947</v>
      </c>
      <c r="N70" s="270">
        <f t="shared" si="49"/>
        <v>1097.07315571579</v>
      </c>
      <c r="O70" s="70" t="s">
        <v>120</v>
      </c>
      <c r="P70" s="70" t="s">
        <v>240</v>
      </c>
      <c r="Q70" s="129" t="s">
        <v>242</v>
      </c>
      <c r="R70" s="108"/>
    </row>
    <row r="71" s="103" customFormat="1" ht="58" customHeight="1" spans="1:18">
      <c r="A71" s="256">
        <v>2</v>
      </c>
      <c r="B71" s="188" t="s">
        <v>243</v>
      </c>
      <c r="C71" s="257" t="s">
        <v>244</v>
      </c>
      <c r="D71" s="188" t="s">
        <v>114</v>
      </c>
      <c r="E71" s="186">
        <v>660</v>
      </c>
      <c r="F71" s="258">
        <v>1.2</v>
      </c>
      <c r="G71" s="258">
        <f t="shared" si="44"/>
        <v>1.11631578947369</v>
      </c>
      <c r="H71" s="259">
        <v>1.10526315789474</v>
      </c>
      <c r="I71" s="273">
        <v>0.01</v>
      </c>
      <c r="J71" s="258">
        <f t="shared" si="45"/>
        <v>0.0231631578947369</v>
      </c>
      <c r="K71" s="173">
        <f t="shared" si="46"/>
        <v>0.210553105263158</v>
      </c>
      <c r="L71" s="274">
        <f t="shared" si="47"/>
        <v>0.229502884736842</v>
      </c>
      <c r="M71" s="173">
        <f t="shared" si="48"/>
        <v>2.77953493736842</v>
      </c>
      <c r="N71" s="270">
        <f t="shared" si="49"/>
        <v>1834.49305866316</v>
      </c>
      <c r="O71" s="258" t="s">
        <v>115</v>
      </c>
      <c r="P71" s="186" t="s">
        <v>243</v>
      </c>
      <c r="Q71" s="129" t="s">
        <v>242</v>
      </c>
      <c r="R71" s="108"/>
    </row>
    <row r="72" s="205" customFormat="1" ht="60" customHeight="1" spans="1:18">
      <c r="A72" s="251"/>
      <c r="B72" s="215" t="s">
        <v>82</v>
      </c>
      <c r="C72" s="216"/>
      <c r="D72" s="252"/>
      <c r="E72" s="253"/>
      <c r="F72" s="254"/>
      <c r="G72" s="254"/>
      <c r="H72" s="255"/>
      <c r="I72" s="267"/>
      <c r="J72" s="271"/>
      <c r="K72" s="271"/>
      <c r="L72" s="271"/>
      <c r="M72" s="268"/>
      <c r="N72" s="232">
        <f>SUM(N73:N83)</f>
        <v>3255.00541170355</v>
      </c>
      <c r="O72" s="272"/>
      <c r="P72" s="272"/>
      <c r="Q72" s="279"/>
      <c r="R72" s="243"/>
    </row>
    <row r="73" s="103" customFormat="1" ht="54" customHeight="1" spans="1:18">
      <c r="A73" s="122">
        <v>1</v>
      </c>
      <c r="B73" s="122" t="s">
        <v>245</v>
      </c>
      <c r="C73" s="123" t="s">
        <v>246</v>
      </c>
      <c r="D73" s="122" t="s">
        <v>138</v>
      </c>
      <c r="E73" s="122">
        <v>3</v>
      </c>
      <c r="F73" s="46">
        <v>5</v>
      </c>
      <c r="G73" s="46">
        <f t="shared" ref="G73:G83" si="50">H73*(1+I73)</f>
        <v>242.15053</v>
      </c>
      <c r="H73" s="224">
        <v>239.753</v>
      </c>
      <c r="I73" s="142">
        <v>0.01</v>
      </c>
      <c r="J73" s="46">
        <f t="shared" ref="J73:J83" si="51">(F73+G73)*1%</f>
        <v>2.4715053</v>
      </c>
      <c r="K73" s="80">
        <f t="shared" ref="K73:K83" si="52">(F73+G73+J73)*9%</f>
        <v>22.465983177</v>
      </c>
      <c r="L73" s="80">
        <f t="shared" ref="L73:L83" si="53">(F73+G73+J73+K73)*9%</f>
        <v>24.48792166293</v>
      </c>
      <c r="M73" s="80">
        <f t="shared" ref="M73:M83" si="54">F73+G73+J73+K73+L73</f>
        <v>296.57594013993</v>
      </c>
      <c r="N73" s="270">
        <f t="shared" ref="N73:N83" si="55">M73*E73</f>
        <v>889.72782041979</v>
      </c>
      <c r="O73" s="122" t="s">
        <v>247</v>
      </c>
      <c r="P73" s="143" t="s">
        <v>248</v>
      </c>
      <c r="Q73" s="163" t="s">
        <v>249</v>
      </c>
      <c r="R73" s="108"/>
    </row>
    <row r="74" s="103" customFormat="1" ht="53" customHeight="1" spans="1:18">
      <c r="A74" s="122">
        <v>2</v>
      </c>
      <c r="B74" s="122" t="s">
        <v>240</v>
      </c>
      <c r="C74" s="123" t="s">
        <v>241</v>
      </c>
      <c r="D74" s="122" t="s">
        <v>138</v>
      </c>
      <c r="E74" s="122">
        <v>3</v>
      </c>
      <c r="F74" s="46">
        <v>8</v>
      </c>
      <c r="G74" s="46">
        <f t="shared" si="50"/>
        <v>45.45</v>
      </c>
      <c r="H74" s="224">
        <v>45</v>
      </c>
      <c r="I74" s="142">
        <v>0.01</v>
      </c>
      <c r="J74" s="46">
        <f t="shared" si="51"/>
        <v>0.5345</v>
      </c>
      <c r="K74" s="80">
        <f t="shared" si="52"/>
        <v>4.858605</v>
      </c>
      <c r="L74" s="80">
        <f t="shared" si="53"/>
        <v>5.29587945</v>
      </c>
      <c r="M74" s="80">
        <f t="shared" si="54"/>
        <v>64.13898445</v>
      </c>
      <c r="N74" s="270">
        <f t="shared" si="55"/>
        <v>192.41695335</v>
      </c>
      <c r="O74" s="122" t="s">
        <v>120</v>
      </c>
      <c r="P74" s="143" t="s">
        <v>240</v>
      </c>
      <c r="Q74" s="163" t="s">
        <v>250</v>
      </c>
      <c r="R74" s="108"/>
    </row>
    <row r="75" s="103" customFormat="1" ht="51" customHeight="1" spans="1:18">
      <c r="A75" s="122">
        <v>3</v>
      </c>
      <c r="B75" s="122" t="s">
        <v>171</v>
      </c>
      <c r="C75" s="123" t="s">
        <v>172</v>
      </c>
      <c r="D75" s="122" t="s">
        <v>114</v>
      </c>
      <c r="E75" s="122">
        <v>30</v>
      </c>
      <c r="F75" s="46">
        <v>1.2</v>
      </c>
      <c r="G75" s="46">
        <f t="shared" si="50"/>
        <v>2.11568421052631</v>
      </c>
      <c r="H75" s="224">
        <v>2.09473684210526</v>
      </c>
      <c r="I75" s="142">
        <v>0.01</v>
      </c>
      <c r="J75" s="46">
        <f t="shared" si="51"/>
        <v>0.0331568421052631</v>
      </c>
      <c r="K75" s="80">
        <f t="shared" si="52"/>
        <v>0.301395694736842</v>
      </c>
      <c r="L75" s="80">
        <f t="shared" si="53"/>
        <v>0.328521307263158</v>
      </c>
      <c r="M75" s="80">
        <f t="shared" si="54"/>
        <v>3.97875805463158</v>
      </c>
      <c r="N75" s="270">
        <f t="shared" si="55"/>
        <v>119.362741638947</v>
      </c>
      <c r="O75" s="122" t="s">
        <v>115</v>
      </c>
      <c r="P75" s="143" t="s">
        <v>171</v>
      </c>
      <c r="Q75" s="163" t="s">
        <v>242</v>
      </c>
      <c r="R75" s="108"/>
    </row>
    <row r="76" s="103" customFormat="1" ht="53" customHeight="1" spans="1:18">
      <c r="A76" s="122">
        <v>4</v>
      </c>
      <c r="B76" s="122" t="s">
        <v>112</v>
      </c>
      <c r="C76" s="123" t="s">
        <v>168</v>
      </c>
      <c r="D76" s="122" t="s">
        <v>114</v>
      </c>
      <c r="E76" s="122">
        <v>110</v>
      </c>
      <c r="F76" s="46">
        <v>1.2</v>
      </c>
      <c r="G76" s="46">
        <f t="shared" si="50"/>
        <v>1.46715789473684</v>
      </c>
      <c r="H76" s="224">
        <v>1.45263157894737</v>
      </c>
      <c r="I76" s="142">
        <v>0.01</v>
      </c>
      <c r="J76" s="46">
        <f t="shared" si="51"/>
        <v>0.0266715789473684</v>
      </c>
      <c r="K76" s="80">
        <f t="shared" si="52"/>
        <v>0.242444652631579</v>
      </c>
      <c r="L76" s="80">
        <f t="shared" si="53"/>
        <v>0.264264671368421</v>
      </c>
      <c r="M76" s="80">
        <f t="shared" si="54"/>
        <v>3.20053879768421</v>
      </c>
      <c r="N76" s="270">
        <f t="shared" si="55"/>
        <v>352.059267745263</v>
      </c>
      <c r="O76" s="122" t="s">
        <v>115</v>
      </c>
      <c r="P76" s="143" t="s">
        <v>112</v>
      </c>
      <c r="Q76" s="163" t="s">
        <v>242</v>
      </c>
      <c r="R76" s="108"/>
    </row>
    <row r="77" s="103" customFormat="1" ht="46" customHeight="1" spans="1:18">
      <c r="A77" s="122">
        <v>5</v>
      </c>
      <c r="B77" s="122" t="s">
        <v>243</v>
      </c>
      <c r="C77" s="123" t="s">
        <v>244</v>
      </c>
      <c r="D77" s="122" t="s">
        <v>114</v>
      </c>
      <c r="E77" s="122">
        <v>50</v>
      </c>
      <c r="F77" s="46">
        <v>1.2</v>
      </c>
      <c r="G77" s="46">
        <f t="shared" si="50"/>
        <v>1.11631578947369</v>
      </c>
      <c r="H77" s="224">
        <v>1.10526315789474</v>
      </c>
      <c r="I77" s="142">
        <v>0.01</v>
      </c>
      <c r="J77" s="46">
        <f t="shared" si="51"/>
        <v>0.0231631578947369</v>
      </c>
      <c r="K77" s="80">
        <f t="shared" si="52"/>
        <v>0.210553105263158</v>
      </c>
      <c r="L77" s="80">
        <f t="shared" si="53"/>
        <v>0.229502884736842</v>
      </c>
      <c r="M77" s="80">
        <f t="shared" si="54"/>
        <v>2.77953493736842</v>
      </c>
      <c r="N77" s="270">
        <f t="shared" si="55"/>
        <v>138.976746868421</v>
      </c>
      <c r="O77" s="122" t="s">
        <v>115</v>
      </c>
      <c r="P77" s="143" t="s">
        <v>243</v>
      </c>
      <c r="Q77" s="163" t="s">
        <v>242</v>
      </c>
      <c r="R77" s="108"/>
    </row>
    <row r="78" s="103" customFormat="1" ht="53" customHeight="1" spans="1:18">
      <c r="A78" s="122">
        <v>6</v>
      </c>
      <c r="B78" s="122" t="s">
        <v>169</v>
      </c>
      <c r="C78" s="123" t="s">
        <v>170</v>
      </c>
      <c r="D78" s="122" t="s">
        <v>114</v>
      </c>
      <c r="E78" s="122">
        <v>4</v>
      </c>
      <c r="F78" s="46">
        <v>1.2</v>
      </c>
      <c r="G78" s="46">
        <f t="shared" si="50"/>
        <v>3.95494736842105</v>
      </c>
      <c r="H78" s="224">
        <v>3.91578947368421</v>
      </c>
      <c r="I78" s="142">
        <v>0.01</v>
      </c>
      <c r="J78" s="46">
        <f t="shared" si="51"/>
        <v>0.0515494736842105</v>
      </c>
      <c r="K78" s="80">
        <f t="shared" si="52"/>
        <v>0.468584715789474</v>
      </c>
      <c r="L78" s="80">
        <f t="shared" si="53"/>
        <v>0.510757340210526</v>
      </c>
      <c r="M78" s="80">
        <f t="shared" si="54"/>
        <v>6.18583889810526</v>
      </c>
      <c r="N78" s="270">
        <f t="shared" si="55"/>
        <v>24.743355592421</v>
      </c>
      <c r="O78" s="122" t="s">
        <v>115</v>
      </c>
      <c r="P78" s="143" t="s">
        <v>169</v>
      </c>
      <c r="Q78" s="163" t="s">
        <v>242</v>
      </c>
      <c r="R78" s="108"/>
    </row>
    <row r="79" s="103" customFormat="1" ht="21" customHeight="1" spans="1:18">
      <c r="A79" s="122">
        <v>7</v>
      </c>
      <c r="B79" s="122" t="s">
        <v>251</v>
      </c>
      <c r="C79" s="123" t="s">
        <v>252</v>
      </c>
      <c r="D79" s="122" t="s">
        <v>114</v>
      </c>
      <c r="E79" s="122">
        <f>5+6*2</f>
        <v>17</v>
      </c>
      <c r="F79" s="46">
        <v>30</v>
      </c>
      <c r="G79" s="46">
        <f t="shared" si="50"/>
        <v>15.15</v>
      </c>
      <c r="H79" s="224">
        <v>15</v>
      </c>
      <c r="I79" s="142">
        <v>0.01</v>
      </c>
      <c r="J79" s="46">
        <f t="shared" si="51"/>
        <v>0.4515</v>
      </c>
      <c r="K79" s="80">
        <f t="shared" si="52"/>
        <v>4.104135</v>
      </c>
      <c r="L79" s="80">
        <f t="shared" si="53"/>
        <v>4.47350715</v>
      </c>
      <c r="M79" s="80">
        <f t="shared" si="54"/>
        <v>54.17914215</v>
      </c>
      <c r="N79" s="270">
        <f t="shared" si="55"/>
        <v>921.04541655</v>
      </c>
      <c r="O79" s="122"/>
      <c r="P79" s="143"/>
      <c r="Q79" s="163" t="s">
        <v>250</v>
      </c>
      <c r="R79" s="108"/>
    </row>
    <row r="80" s="103" customFormat="1" ht="49" customHeight="1" spans="1:18">
      <c r="A80" s="122">
        <v>8</v>
      </c>
      <c r="B80" s="122" t="s">
        <v>253</v>
      </c>
      <c r="C80" s="123" t="s">
        <v>254</v>
      </c>
      <c r="D80" s="122" t="s">
        <v>255</v>
      </c>
      <c r="E80" s="122">
        <v>45</v>
      </c>
      <c r="F80" s="46">
        <v>3</v>
      </c>
      <c r="G80" s="46">
        <f t="shared" si="50"/>
        <v>1.56284210526316</v>
      </c>
      <c r="H80" s="224">
        <v>1.54736842105263</v>
      </c>
      <c r="I80" s="142">
        <v>0.01</v>
      </c>
      <c r="J80" s="46">
        <f t="shared" si="51"/>
        <v>0.0456284210526316</v>
      </c>
      <c r="K80" s="80">
        <f t="shared" si="52"/>
        <v>0.414762347368421</v>
      </c>
      <c r="L80" s="80">
        <f t="shared" si="53"/>
        <v>0.452090958631579</v>
      </c>
      <c r="M80" s="80">
        <f t="shared" si="54"/>
        <v>5.47532383231579</v>
      </c>
      <c r="N80" s="270">
        <f t="shared" si="55"/>
        <v>246.389572454211</v>
      </c>
      <c r="O80" s="144" t="s">
        <v>120</v>
      </c>
      <c r="P80" s="145" t="s">
        <v>224</v>
      </c>
      <c r="Q80" s="163" t="s">
        <v>242</v>
      </c>
      <c r="R80" s="108"/>
    </row>
    <row r="81" s="103" customFormat="1" ht="60" customHeight="1" spans="1:18">
      <c r="A81" s="122">
        <v>9</v>
      </c>
      <c r="B81" s="122" t="s">
        <v>253</v>
      </c>
      <c r="C81" s="123" t="s">
        <v>256</v>
      </c>
      <c r="D81" s="122" t="s">
        <v>255</v>
      </c>
      <c r="E81" s="122">
        <v>45</v>
      </c>
      <c r="F81" s="46">
        <v>3</v>
      </c>
      <c r="G81" s="46">
        <f t="shared" si="50"/>
        <v>0.9393</v>
      </c>
      <c r="H81" s="224">
        <v>0.93</v>
      </c>
      <c r="I81" s="142">
        <v>0.01</v>
      </c>
      <c r="J81" s="46">
        <f t="shared" si="51"/>
        <v>0.039393</v>
      </c>
      <c r="K81" s="80">
        <f t="shared" si="52"/>
        <v>0.35808237</v>
      </c>
      <c r="L81" s="80">
        <f t="shared" si="53"/>
        <v>0.3903097833</v>
      </c>
      <c r="M81" s="80">
        <f t="shared" si="54"/>
        <v>4.7270851533</v>
      </c>
      <c r="N81" s="270">
        <f t="shared" si="55"/>
        <v>212.7188318985</v>
      </c>
      <c r="O81" s="144" t="s">
        <v>120</v>
      </c>
      <c r="P81" s="145" t="s">
        <v>118</v>
      </c>
      <c r="Q81" s="163" t="s">
        <v>242</v>
      </c>
      <c r="R81" s="108"/>
    </row>
    <row r="82" s="103" customFormat="1" ht="52" customHeight="1" spans="1:18">
      <c r="A82" s="122">
        <v>10</v>
      </c>
      <c r="B82" s="122" t="s">
        <v>257</v>
      </c>
      <c r="C82" s="123" t="s">
        <v>258</v>
      </c>
      <c r="D82" s="122" t="s">
        <v>255</v>
      </c>
      <c r="E82" s="122">
        <v>10</v>
      </c>
      <c r="F82" s="46">
        <v>4</v>
      </c>
      <c r="G82" s="46">
        <f t="shared" si="50"/>
        <v>5.555</v>
      </c>
      <c r="H82" s="224">
        <v>5.5</v>
      </c>
      <c r="I82" s="142">
        <v>0.01</v>
      </c>
      <c r="J82" s="46">
        <f t="shared" si="51"/>
        <v>0.09555</v>
      </c>
      <c r="K82" s="80">
        <f t="shared" si="52"/>
        <v>0.8685495</v>
      </c>
      <c r="L82" s="80">
        <f t="shared" si="53"/>
        <v>0.946718955</v>
      </c>
      <c r="M82" s="80">
        <f t="shared" si="54"/>
        <v>11.465818455</v>
      </c>
      <c r="N82" s="270">
        <f t="shared" si="55"/>
        <v>114.65818455</v>
      </c>
      <c r="O82" s="144" t="s">
        <v>120</v>
      </c>
      <c r="P82" s="145" t="s">
        <v>259</v>
      </c>
      <c r="Q82" s="163" t="s">
        <v>260</v>
      </c>
      <c r="R82" s="108"/>
    </row>
    <row r="83" s="103" customFormat="1" ht="49" customHeight="1" spans="1:18">
      <c r="A83" s="122">
        <v>11</v>
      </c>
      <c r="B83" s="122" t="s">
        <v>261</v>
      </c>
      <c r="C83" s="123" t="s">
        <v>262</v>
      </c>
      <c r="D83" s="122" t="s">
        <v>138</v>
      </c>
      <c r="E83" s="122">
        <v>4</v>
      </c>
      <c r="F83" s="46">
        <v>5</v>
      </c>
      <c r="G83" s="46">
        <f t="shared" si="50"/>
        <v>3.939</v>
      </c>
      <c r="H83" s="224">
        <v>3.9</v>
      </c>
      <c r="I83" s="142">
        <v>0.01</v>
      </c>
      <c r="J83" s="46">
        <f t="shared" si="51"/>
        <v>0.08939</v>
      </c>
      <c r="K83" s="80">
        <f t="shared" si="52"/>
        <v>0.8125551</v>
      </c>
      <c r="L83" s="80">
        <f t="shared" si="53"/>
        <v>0.885685059</v>
      </c>
      <c r="M83" s="80">
        <f t="shared" si="54"/>
        <v>10.726630159</v>
      </c>
      <c r="N83" s="270">
        <f t="shared" si="55"/>
        <v>42.906520636</v>
      </c>
      <c r="O83" s="144" t="s">
        <v>202</v>
      </c>
      <c r="P83" s="144" t="s">
        <v>261</v>
      </c>
      <c r="Q83" s="163" t="s">
        <v>260</v>
      </c>
      <c r="R83" s="108"/>
    </row>
    <row r="84" s="206" customFormat="1" ht="29" customHeight="1" spans="1:18">
      <c r="A84" s="260" t="s">
        <v>69</v>
      </c>
      <c r="B84" s="261"/>
      <c r="C84" s="262"/>
      <c r="D84" s="261"/>
      <c r="E84" s="263"/>
      <c r="F84" s="264"/>
      <c r="G84" s="265"/>
      <c r="H84" s="266"/>
      <c r="I84" s="275"/>
      <c r="J84" s="264"/>
      <c r="K84" s="264"/>
      <c r="L84" s="264"/>
      <c r="M84" s="276"/>
      <c r="N84" s="277">
        <f>N5+N34</f>
        <v>-62575.120838917</v>
      </c>
      <c r="O84" s="278"/>
      <c r="P84" s="278"/>
      <c r="Q84" s="278"/>
      <c r="R84" s="280"/>
    </row>
  </sheetData>
  <autoFilter xmlns:etc="http://www.wps.cn/officeDocument/2017/etCustomData" ref="A2:R84" etc:filterBottomFollowUsedRange="0">
    <extLst/>
  </autoFilter>
  <mergeCells count="38">
    <mergeCell ref="A1:Q1"/>
    <mergeCell ref="F2:L2"/>
    <mergeCell ref="B5:C5"/>
    <mergeCell ref="B6:C6"/>
    <mergeCell ref="B8:C8"/>
    <mergeCell ref="B12:C12"/>
    <mergeCell ref="B15:C15"/>
    <mergeCell ref="E15:F15"/>
    <mergeCell ref="G15:H15"/>
    <mergeCell ref="I15:J15"/>
    <mergeCell ref="K15:L15"/>
    <mergeCell ref="O15:P15"/>
    <mergeCell ref="B34:C34"/>
    <mergeCell ref="B35:C35"/>
    <mergeCell ref="B43:C43"/>
    <mergeCell ref="B51:C51"/>
    <mergeCell ref="B53:C53"/>
    <mergeCell ref="B60:C60"/>
    <mergeCell ref="B67:C67"/>
    <mergeCell ref="B69:C69"/>
    <mergeCell ref="B72:C72"/>
    <mergeCell ref="A84:E84"/>
    <mergeCell ref="A2:A4"/>
    <mergeCell ref="B2:B4"/>
    <mergeCell ref="C2:C4"/>
    <mergeCell ref="D2:D4"/>
    <mergeCell ref="E2:E4"/>
    <mergeCell ref="F3:F4"/>
    <mergeCell ref="J3:J4"/>
    <mergeCell ref="M2:M4"/>
    <mergeCell ref="N2:N4"/>
    <mergeCell ref="Q2:Q4"/>
    <mergeCell ref="Q9:Q11"/>
    <mergeCell ref="Q36:Q42"/>
    <mergeCell ref="Q44:Q45"/>
    <mergeCell ref="Q54:Q55"/>
    <mergeCell ref="Q56:Q59"/>
    <mergeCell ref="O2:P4"/>
  </mergeCells>
  <pageMargins left="0.751388888888889" right="0.751388888888889" top="0.60625" bottom="0.60625" header="0.5" footer="0.5"/>
  <pageSetup paperSize="9" scale="54"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R87"/>
  <sheetViews>
    <sheetView view="pageBreakPreview" zoomScaleNormal="100" topLeftCell="A58" workbookViewId="0">
      <selection activeCell="B68" sqref="B68:Q69"/>
    </sheetView>
  </sheetViews>
  <sheetFormatPr defaultColWidth="10.1619047619048" defaultRowHeight="12"/>
  <cols>
    <col min="1" max="1" width="6" style="103" customWidth="1"/>
    <col min="2" max="2" width="14.2857142857143" style="103" customWidth="1"/>
    <col min="3" max="3" width="45.8571428571429" style="107" customWidth="1"/>
    <col min="4" max="4" width="6.57142857142857" style="103" customWidth="1"/>
    <col min="5" max="5" width="12.847619047619" style="108" customWidth="1"/>
    <col min="6" max="8" width="11.5714285714286" style="109" customWidth="1"/>
    <col min="9" max="9" width="11.5714285714286" style="110" customWidth="1"/>
    <col min="10" max="13" width="11.5714285714286" style="109" customWidth="1"/>
    <col min="14" max="14" width="18.0095238095238" style="109" customWidth="1"/>
    <col min="15" max="15" width="10.1619047619048" style="103"/>
    <col min="16" max="16" width="13.3904761904762" style="103" customWidth="1"/>
    <col min="17" max="17" width="25.6285714285714" style="103" customWidth="1"/>
    <col min="18" max="16384" width="10.1619047619048" style="103"/>
  </cols>
  <sheetData>
    <row r="1" s="103" customFormat="1" ht="45" customHeight="1" spans="1:17">
      <c r="A1" s="111" t="s">
        <v>263</v>
      </c>
      <c r="B1" s="112"/>
      <c r="C1" s="113"/>
      <c r="D1" s="112"/>
      <c r="E1" s="114"/>
      <c r="F1" s="115"/>
      <c r="G1" s="115"/>
      <c r="H1" s="115"/>
      <c r="I1" s="139"/>
      <c r="J1" s="115"/>
      <c r="K1" s="115"/>
      <c r="L1" s="115"/>
      <c r="M1" s="115"/>
      <c r="N1" s="115"/>
      <c r="O1" s="112"/>
      <c r="P1" s="112"/>
      <c r="Q1" s="112"/>
    </row>
    <row r="2" s="103" customFormat="1" ht="39" customHeight="1" spans="1:17">
      <c r="A2" s="65" t="s">
        <v>32</v>
      </c>
      <c r="B2" s="65" t="s">
        <v>92</v>
      </c>
      <c r="C2" s="116" t="s">
        <v>93</v>
      </c>
      <c r="D2" s="65" t="s">
        <v>94</v>
      </c>
      <c r="E2" s="66" t="s">
        <v>95</v>
      </c>
      <c r="F2" s="117" t="s">
        <v>96</v>
      </c>
      <c r="G2" s="117"/>
      <c r="H2" s="117"/>
      <c r="I2" s="140"/>
      <c r="J2" s="117"/>
      <c r="K2" s="117"/>
      <c r="L2" s="117"/>
      <c r="M2" s="117" t="s">
        <v>97</v>
      </c>
      <c r="N2" s="117" t="s">
        <v>98</v>
      </c>
      <c r="O2" s="83" t="s">
        <v>99</v>
      </c>
      <c r="P2" s="83"/>
      <c r="Q2" s="83" t="s">
        <v>68</v>
      </c>
    </row>
    <row r="3" s="103" customFormat="1" ht="51" customHeight="1" spans="1:17">
      <c r="A3" s="65"/>
      <c r="B3" s="65"/>
      <c r="C3" s="116"/>
      <c r="D3" s="65"/>
      <c r="E3" s="66"/>
      <c r="F3" s="117" t="s">
        <v>100</v>
      </c>
      <c r="G3" s="117" t="s">
        <v>101</v>
      </c>
      <c r="H3" s="117" t="s">
        <v>102</v>
      </c>
      <c r="I3" s="140" t="s">
        <v>103</v>
      </c>
      <c r="J3" s="117" t="s">
        <v>104</v>
      </c>
      <c r="K3" s="117" t="s">
        <v>105</v>
      </c>
      <c r="L3" s="117" t="s">
        <v>106</v>
      </c>
      <c r="M3" s="117"/>
      <c r="N3" s="117"/>
      <c r="O3" s="83"/>
      <c r="P3" s="83"/>
      <c r="Q3" s="83"/>
    </row>
    <row r="4" s="103" customFormat="1" ht="26" customHeight="1" spans="1:17">
      <c r="A4" s="65"/>
      <c r="B4" s="65"/>
      <c r="C4" s="116"/>
      <c r="D4" s="65"/>
      <c r="E4" s="66"/>
      <c r="F4" s="117"/>
      <c r="G4" s="117" t="s">
        <v>107</v>
      </c>
      <c r="H4" s="117" t="s">
        <v>108</v>
      </c>
      <c r="I4" s="140" t="s">
        <v>109</v>
      </c>
      <c r="J4" s="117"/>
      <c r="K4" s="117"/>
      <c r="L4" s="117"/>
      <c r="M4" s="117"/>
      <c r="N4" s="117"/>
      <c r="O4" s="83"/>
      <c r="P4" s="83"/>
      <c r="Q4" s="83"/>
    </row>
    <row r="5" s="103" customFormat="1" ht="45" customHeight="1" spans="1:17">
      <c r="A5" s="118" t="s">
        <v>264</v>
      </c>
      <c r="B5" s="118"/>
      <c r="C5" s="119"/>
      <c r="D5" s="118"/>
      <c r="E5" s="120"/>
      <c r="F5" s="121"/>
      <c r="G5" s="121"/>
      <c r="H5" s="121"/>
      <c r="I5" s="141"/>
      <c r="J5" s="121"/>
      <c r="K5" s="121"/>
      <c r="L5" s="121"/>
      <c r="M5" s="121"/>
      <c r="N5" s="121"/>
      <c r="O5" s="118"/>
      <c r="P5" s="118"/>
      <c r="Q5" s="118"/>
    </row>
    <row r="6" s="103" customFormat="1" ht="53" customHeight="1" spans="1:17">
      <c r="A6" s="122">
        <v>1</v>
      </c>
      <c r="B6" s="122" t="s">
        <v>169</v>
      </c>
      <c r="C6" s="123" t="s">
        <v>170</v>
      </c>
      <c r="D6" s="122" t="s">
        <v>114</v>
      </c>
      <c r="E6" s="122">
        <v>23.5</v>
      </c>
      <c r="F6" s="46">
        <v>1.2</v>
      </c>
      <c r="G6" s="46">
        <f t="shared" ref="G6:G9" si="0">H6*(1+I6)</f>
        <v>3.95494736842105</v>
      </c>
      <c r="H6" s="46">
        <v>3.91578947368421</v>
      </c>
      <c r="I6" s="142">
        <v>0.01</v>
      </c>
      <c r="J6" s="46">
        <f t="shared" ref="J6:J9" si="1">(F6+G6)*1%</f>
        <v>0.0515494736842105</v>
      </c>
      <c r="K6" s="80">
        <f t="shared" ref="K6:K9" si="2">(F6+G6+J6)*9%</f>
        <v>0.468584715789474</v>
      </c>
      <c r="L6" s="80">
        <f t="shared" ref="L6:L9" si="3">(F6+G6+J6+K6)*9%</f>
        <v>0.510757340210526</v>
      </c>
      <c r="M6" s="80">
        <f t="shared" ref="M6:M9" si="4">F6+G6+J6+K6+L6</f>
        <v>6.18583889810526</v>
      </c>
      <c r="N6" s="80">
        <f t="shared" ref="N6:N12" si="5">M6*E6</f>
        <v>145.367214105474</v>
      </c>
      <c r="O6" s="122" t="s">
        <v>115</v>
      </c>
      <c r="P6" s="143" t="s">
        <v>169</v>
      </c>
      <c r="Q6" s="163" t="s">
        <v>265</v>
      </c>
    </row>
    <row r="7" s="103" customFormat="1" ht="52" customHeight="1" spans="1:17">
      <c r="A7" s="122">
        <v>2</v>
      </c>
      <c r="B7" s="122" t="s">
        <v>171</v>
      </c>
      <c r="C7" s="123" t="s">
        <v>172</v>
      </c>
      <c r="D7" s="122" t="s">
        <v>114</v>
      </c>
      <c r="E7" s="122">
        <v>104</v>
      </c>
      <c r="F7" s="46">
        <v>1.2</v>
      </c>
      <c r="G7" s="46">
        <f t="shared" si="0"/>
        <v>2.11568421052631</v>
      </c>
      <c r="H7" s="46">
        <v>2.09473684210526</v>
      </c>
      <c r="I7" s="142">
        <v>0.01</v>
      </c>
      <c r="J7" s="46">
        <f t="shared" si="1"/>
        <v>0.0331568421052631</v>
      </c>
      <c r="K7" s="80">
        <f t="shared" si="2"/>
        <v>0.301395694736842</v>
      </c>
      <c r="L7" s="80">
        <f t="shared" si="3"/>
        <v>0.328521307263158</v>
      </c>
      <c r="M7" s="80">
        <f t="shared" si="4"/>
        <v>3.97875805463158</v>
      </c>
      <c r="N7" s="80">
        <f t="shared" si="5"/>
        <v>413.790837681684</v>
      </c>
      <c r="O7" s="122" t="s">
        <v>115</v>
      </c>
      <c r="P7" s="143" t="s">
        <v>171</v>
      </c>
      <c r="Q7" s="163" t="s">
        <v>265</v>
      </c>
    </row>
    <row r="8" s="103" customFormat="1" ht="50" customHeight="1" spans="1:17">
      <c r="A8" s="122">
        <v>3</v>
      </c>
      <c r="B8" s="122" t="s">
        <v>112</v>
      </c>
      <c r="C8" s="123" t="s">
        <v>168</v>
      </c>
      <c r="D8" s="122" t="s">
        <v>114</v>
      </c>
      <c r="E8" s="122">
        <v>91.6</v>
      </c>
      <c r="F8" s="46">
        <v>1.2</v>
      </c>
      <c r="G8" s="46">
        <f t="shared" si="0"/>
        <v>1.46715789473684</v>
      </c>
      <c r="H8" s="46">
        <v>1.45263157894737</v>
      </c>
      <c r="I8" s="142">
        <v>0.01</v>
      </c>
      <c r="J8" s="46">
        <f t="shared" si="1"/>
        <v>0.0266715789473684</v>
      </c>
      <c r="K8" s="80">
        <f t="shared" si="2"/>
        <v>0.242444652631579</v>
      </c>
      <c r="L8" s="80">
        <f t="shared" si="3"/>
        <v>0.264264671368421</v>
      </c>
      <c r="M8" s="80">
        <f t="shared" si="4"/>
        <v>3.20053879768421</v>
      </c>
      <c r="N8" s="80">
        <f t="shared" si="5"/>
        <v>293.169353867874</v>
      </c>
      <c r="O8" s="122" t="s">
        <v>115</v>
      </c>
      <c r="P8" s="143" t="s">
        <v>112</v>
      </c>
      <c r="Q8" s="163" t="s">
        <v>265</v>
      </c>
    </row>
    <row r="9" s="103" customFormat="1" ht="52" customHeight="1" spans="1:17">
      <c r="A9" s="122">
        <v>4</v>
      </c>
      <c r="B9" s="122" t="s">
        <v>253</v>
      </c>
      <c r="C9" s="123" t="s">
        <v>254</v>
      </c>
      <c r="D9" s="122" t="s">
        <v>114</v>
      </c>
      <c r="E9" s="122">
        <v>6.9</v>
      </c>
      <c r="F9" s="46">
        <v>3</v>
      </c>
      <c r="G9" s="46">
        <f t="shared" si="0"/>
        <v>1.56284210526316</v>
      </c>
      <c r="H9" s="46">
        <v>1.54736842105263</v>
      </c>
      <c r="I9" s="142">
        <v>0.01</v>
      </c>
      <c r="J9" s="46">
        <f t="shared" si="1"/>
        <v>0.0456284210526316</v>
      </c>
      <c r="K9" s="80">
        <f t="shared" si="2"/>
        <v>0.414762347368421</v>
      </c>
      <c r="L9" s="80">
        <f t="shared" si="3"/>
        <v>0.452090958631579</v>
      </c>
      <c r="M9" s="80">
        <f t="shared" si="4"/>
        <v>5.47532383231579</v>
      </c>
      <c r="N9" s="80">
        <f t="shared" si="5"/>
        <v>37.7797344429789</v>
      </c>
      <c r="O9" s="144" t="s">
        <v>120</v>
      </c>
      <c r="P9" s="145" t="s">
        <v>224</v>
      </c>
      <c r="Q9" s="163" t="s">
        <v>265</v>
      </c>
    </row>
    <row r="10" s="103" customFormat="1" ht="25" customHeight="1" spans="1:17">
      <c r="A10" s="122">
        <v>5</v>
      </c>
      <c r="B10" s="124" t="s">
        <v>266</v>
      </c>
      <c r="C10" s="125"/>
      <c r="D10" s="122" t="s">
        <v>138</v>
      </c>
      <c r="E10" s="122">
        <v>15</v>
      </c>
      <c r="F10" s="46"/>
      <c r="G10" s="46"/>
      <c r="H10" s="46"/>
      <c r="I10" s="142"/>
      <c r="J10" s="46"/>
      <c r="K10" s="80"/>
      <c r="L10" s="80"/>
      <c r="M10" s="80">
        <v>10.73</v>
      </c>
      <c r="N10" s="80">
        <f t="shared" si="5"/>
        <v>160.95</v>
      </c>
      <c r="O10" s="144"/>
      <c r="P10" s="145"/>
      <c r="Q10" s="163" t="s">
        <v>267</v>
      </c>
    </row>
    <row r="11" s="103" customFormat="1" ht="25" customHeight="1" spans="1:17">
      <c r="A11" s="122">
        <v>6</v>
      </c>
      <c r="B11" s="124" t="s">
        <v>268</v>
      </c>
      <c r="C11" s="125"/>
      <c r="D11" s="122" t="s">
        <v>114</v>
      </c>
      <c r="E11" s="122">
        <v>12.9</v>
      </c>
      <c r="F11" s="46"/>
      <c r="G11" s="46"/>
      <c r="H11" s="46"/>
      <c r="I11" s="142"/>
      <c r="J11" s="46"/>
      <c r="K11" s="80"/>
      <c r="L11" s="80"/>
      <c r="M11" s="80">
        <v>46.32</v>
      </c>
      <c r="N11" s="80">
        <f t="shared" si="5"/>
        <v>597.528</v>
      </c>
      <c r="O11" s="144"/>
      <c r="P11" s="145"/>
      <c r="Q11" s="163" t="s">
        <v>267</v>
      </c>
    </row>
    <row r="12" s="103" customFormat="1" ht="25" customHeight="1" spans="1:17">
      <c r="A12" s="122">
        <v>7</v>
      </c>
      <c r="B12" s="124" t="s">
        <v>259</v>
      </c>
      <c r="C12" s="125"/>
      <c r="D12" s="122" t="s">
        <v>114</v>
      </c>
      <c r="E12" s="122">
        <v>9</v>
      </c>
      <c r="F12" s="46"/>
      <c r="G12" s="46"/>
      <c r="H12" s="46"/>
      <c r="I12" s="142"/>
      <c r="J12" s="46"/>
      <c r="K12" s="80"/>
      <c r="L12" s="80"/>
      <c r="M12" s="80">
        <v>11.47</v>
      </c>
      <c r="N12" s="80">
        <f t="shared" si="5"/>
        <v>103.23</v>
      </c>
      <c r="O12" s="144"/>
      <c r="P12" s="145"/>
      <c r="Q12" s="163" t="s">
        <v>267</v>
      </c>
    </row>
    <row r="13" s="103" customFormat="1" ht="25" customHeight="1" spans="1:17">
      <c r="A13" s="122">
        <v>8</v>
      </c>
      <c r="B13" s="124" t="s">
        <v>269</v>
      </c>
      <c r="C13" s="125"/>
      <c r="D13" s="122"/>
      <c r="E13" s="122"/>
      <c r="F13" s="46"/>
      <c r="G13" s="46"/>
      <c r="H13" s="46"/>
      <c r="I13" s="142"/>
      <c r="J13" s="46"/>
      <c r="K13" s="80"/>
      <c r="L13" s="80"/>
      <c r="M13" s="80"/>
      <c r="N13" s="80">
        <f>SUM(N6:N12)</f>
        <v>1751.81514009801</v>
      </c>
      <c r="O13" s="144"/>
      <c r="P13" s="145"/>
      <c r="Q13" s="163" t="s">
        <v>267</v>
      </c>
    </row>
    <row r="14" s="104" customFormat="1" ht="25" customHeight="1" spans="1:17">
      <c r="A14" s="126">
        <v>9</v>
      </c>
      <c r="B14" s="127" t="s">
        <v>270</v>
      </c>
      <c r="C14" s="128"/>
      <c r="D14" s="126"/>
      <c r="E14" s="126"/>
      <c r="F14" s="67"/>
      <c r="G14" s="67"/>
      <c r="H14" s="67"/>
      <c r="I14" s="140"/>
      <c r="J14" s="67"/>
      <c r="K14" s="86"/>
      <c r="L14" s="86"/>
      <c r="M14" s="86"/>
      <c r="N14" s="86">
        <v>1750</v>
      </c>
      <c r="O14" s="146"/>
      <c r="P14" s="147"/>
      <c r="Q14" s="164"/>
    </row>
    <row r="15" s="103" customFormat="1" ht="45" customHeight="1" spans="1:17">
      <c r="A15" s="118" t="s">
        <v>271</v>
      </c>
      <c r="B15" s="118"/>
      <c r="C15" s="119"/>
      <c r="D15" s="118"/>
      <c r="E15" s="120"/>
      <c r="F15" s="121"/>
      <c r="G15" s="121"/>
      <c r="H15" s="121"/>
      <c r="I15" s="141"/>
      <c r="J15" s="121"/>
      <c r="K15" s="121"/>
      <c r="L15" s="121"/>
      <c r="M15" s="121"/>
      <c r="N15" s="121"/>
      <c r="O15" s="118"/>
      <c r="P15" s="118"/>
      <c r="Q15" s="118"/>
    </row>
    <row r="16" s="105" customFormat="1" ht="51" customHeight="1" spans="1:17">
      <c r="A16" s="73">
        <v>1</v>
      </c>
      <c r="B16" s="73" t="s">
        <v>272</v>
      </c>
      <c r="C16" s="71" t="s">
        <v>273</v>
      </c>
      <c r="D16" s="73" t="s">
        <v>138</v>
      </c>
      <c r="E16" s="70">
        <v>1</v>
      </c>
      <c r="F16" s="46">
        <v>58</v>
      </c>
      <c r="G16" s="46">
        <f t="shared" ref="G16:G24" si="6">H16*(1+I16)</f>
        <v>252.5</v>
      </c>
      <c r="H16" s="46">
        <v>250</v>
      </c>
      <c r="I16" s="142">
        <v>0.01</v>
      </c>
      <c r="J16" s="46">
        <f t="shared" ref="J16:J24" si="7">(F16+G16)*1%</f>
        <v>3.105</v>
      </c>
      <c r="K16" s="80">
        <f t="shared" ref="K16:K24" si="8">(F16+G16+J16)*9%</f>
        <v>28.22445</v>
      </c>
      <c r="L16" s="80">
        <f t="shared" ref="L16:L24" si="9">(F16+G16+J16+K16)*9%</f>
        <v>30.7646505</v>
      </c>
      <c r="M16" s="80">
        <f t="shared" ref="M16:M24" si="10">F16+G16+J16+K16+L16</f>
        <v>372.5941005</v>
      </c>
      <c r="N16" s="80">
        <f t="shared" ref="N16:N24" si="11">M16*E16</f>
        <v>372.5941005</v>
      </c>
      <c r="O16" s="46" t="s">
        <v>139</v>
      </c>
      <c r="P16" s="46" t="s">
        <v>143</v>
      </c>
      <c r="Q16" s="163" t="s">
        <v>265</v>
      </c>
    </row>
    <row r="17" s="105" customFormat="1" ht="28" customHeight="1" spans="1:17">
      <c r="A17" s="73">
        <v>2</v>
      </c>
      <c r="B17" s="73" t="s">
        <v>274</v>
      </c>
      <c r="C17" s="71" t="s">
        <v>275</v>
      </c>
      <c r="D17" s="73" t="s">
        <v>138</v>
      </c>
      <c r="E17" s="70">
        <v>1</v>
      </c>
      <c r="F17" s="46">
        <v>150</v>
      </c>
      <c r="G17" s="46">
        <f t="shared" si="6"/>
        <v>131.3</v>
      </c>
      <c r="H17" s="46">
        <v>130</v>
      </c>
      <c r="I17" s="142">
        <v>0.01</v>
      </c>
      <c r="J17" s="46">
        <f t="shared" si="7"/>
        <v>2.813</v>
      </c>
      <c r="K17" s="80">
        <f t="shared" si="8"/>
        <v>25.57017</v>
      </c>
      <c r="L17" s="80">
        <f t="shared" si="9"/>
        <v>27.8714853</v>
      </c>
      <c r="M17" s="80">
        <f t="shared" si="10"/>
        <v>337.5546553</v>
      </c>
      <c r="N17" s="80">
        <f t="shared" si="11"/>
        <v>337.5546553</v>
      </c>
      <c r="O17" s="46" t="s">
        <v>120</v>
      </c>
      <c r="P17" s="46" t="s">
        <v>274</v>
      </c>
      <c r="Q17" s="163" t="s">
        <v>267</v>
      </c>
    </row>
    <row r="18" s="105" customFormat="1" ht="24" customHeight="1" spans="1:17">
      <c r="A18" s="73">
        <v>3</v>
      </c>
      <c r="B18" s="73" t="s">
        <v>276</v>
      </c>
      <c r="C18" s="71" t="s">
        <v>277</v>
      </c>
      <c r="D18" s="73" t="s">
        <v>138</v>
      </c>
      <c r="E18" s="70">
        <v>1</v>
      </c>
      <c r="F18" s="46">
        <v>20</v>
      </c>
      <c r="G18" s="46">
        <f t="shared" si="6"/>
        <v>191.368421052631</v>
      </c>
      <c r="H18" s="46">
        <v>189.473684210526</v>
      </c>
      <c r="I18" s="142">
        <v>0.01</v>
      </c>
      <c r="J18" s="46">
        <f t="shared" si="7"/>
        <v>2.11368421052631</v>
      </c>
      <c r="K18" s="80">
        <f t="shared" si="8"/>
        <v>19.2133894736842</v>
      </c>
      <c r="L18" s="80">
        <f t="shared" si="9"/>
        <v>20.9425945263158</v>
      </c>
      <c r="M18" s="80">
        <f t="shared" si="10"/>
        <v>253.638089263157</v>
      </c>
      <c r="N18" s="80">
        <f t="shared" si="11"/>
        <v>253.638089263157</v>
      </c>
      <c r="O18" s="46" t="s">
        <v>185</v>
      </c>
      <c r="P18" s="46" t="s">
        <v>278</v>
      </c>
      <c r="Q18" s="163" t="s">
        <v>267</v>
      </c>
    </row>
    <row r="19" s="105" customFormat="1" ht="26" customHeight="1" spans="1:17">
      <c r="A19" s="73">
        <v>4</v>
      </c>
      <c r="B19" s="73" t="s">
        <v>203</v>
      </c>
      <c r="C19" s="71" t="s">
        <v>279</v>
      </c>
      <c r="D19" s="73" t="s">
        <v>138</v>
      </c>
      <c r="E19" s="129">
        <v>1</v>
      </c>
      <c r="F19" s="80">
        <v>10</v>
      </c>
      <c r="G19" s="46">
        <f t="shared" si="6"/>
        <v>35.35</v>
      </c>
      <c r="H19" s="80">
        <v>35</v>
      </c>
      <c r="I19" s="148">
        <v>0.01</v>
      </c>
      <c r="J19" s="46">
        <f t="shared" si="7"/>
        <v>0.4535</v>
      </c>
      <c r="K19" s="80">
        <f t="shared" si="8"/>
        <v>4.122315</v>
      </c>
      <c r="L19" s="80">
        <f t="shared" si="9"/>
        <v>4.49332335</v>
      </c>
      <c r="M19" s="80">
        <f t="shared" si="10"/>
        <v>54.41913835</v>
      </c>
      <c r="N19" s="80">
        <f t="shared" si="11"/>
        <v>54.41913835</v>
      </c>
      <c r="O19" s="129" t="s">
        <v>120</v>
      </c>
      <c r="P19" s="129" t="s">
        <v>279</v>
      </c>
      <c r="Q19" s="163" t="s">
        <v>267</v>
      </c>
    </row>
    <row r="20" s="105" customFormat="1" ht="51" customHeight="1" spans="1:17">
      <c r="A20" s="73">
        <v>5</v>
      </c>
      <c r="B20" s="73" t="s">
        <v>112</v>
      </c>
      <c r="C20" s="71" t="s">
        <v>280</v>
      </c>
      <c r="D20" s="73" t="s">
        <v>114</v>
      </c>
      <c r="E20" s="70">
        <v>75</v>
      </c>
      <c r="F20" s="46">
        <v>1.2</v>
      </c>
      <c r="G20" s="46">
        <f t="shared" si="6"/>
        <v>1.46715789473684</v>
      </c>
      <c r="H20" s="46">
        <v>1.45263157894737</v>
      </c>
      <c r="I20" s="142">
        <v>0.01</v>
      </c>
      <c r="J20" s="46">
        <f t="shared" si="7"/>
        <v>0.0266715789473684</v>
      </c>
      <c r="K20" s="80">
        <f t="shared" si="8"/>
        <v>0.242444652631579</v>
      </c>
      <c r="L20" s="80">
        <f t="shared" si="9"/>
        <v>0.264264671368421</v>
      </c>
      <c r="M20" s="80">
        <f t="shared" si="10"/>
        <v>3.20053879768421</v>
      </c>
      <c r="N20" s="80">
        <f t="shared" si="11"/>
        <v>240.040409826316</v>
      </c>
      <c r="O20" s="70" t="s">
        <v>115</v>
      </c>
      <c r="P20" s="70" t="s">
        <v>112</v>
      </c>
      <c r="Q20" s="163" t="s">
        <v>265</v>
      </c>
    </row>
    <row r="21" s="105" customFormat="1" ht="51" customHeight="1" spans="1:17">
      <c r="A21" s="73">
        <v>6</v>
      </c>
      <c r="B21" s="73" t="s">
        <v>171</v>
      </c>
      <c r="C21" s="71" t="s">
        <v>281</v>
      </c>
      <c r="D21" s="73" t="s">
        <v>114</v>
      </c>
      <c r="E21" s="70">
        <v>75</v>
      </c>
      <c r="F21" s="46">
        <v>1.2</v>
      </c>
      <c r="G21" s="46">
        <f t="shared" si="6"/>
        <v>2.11568421052631</v>
      </c>
      <c r="H21" s="46">
        <v>2.09473684210526</v>
      </c>
      <c r="I21" s="142">
        <v>0.01</v>
      </c>
      <c r="J21" s="46">
        <f t="shared" si="7"/>
        <v>0.0331568421052631</v>
      </c>
      <c r="K21" s="80">
        <f t="shared" si="8"/>
        <v>0.301395694736842</v>
      </c>
      <c r="L21" s="80">
        <f t="shared" si="9"/>
        <v>0.328521307263158</v>
      </c>
      <c r="M21" s="80">
        <f t="shared" si="10"/>
        <v>3.97875805463158</v>
      </c>
      <c r="N21" s="80">
        <f t="shared" si="11"/>
        <v>298.406854097368</v>
      </c>
      <c r="O21" s="46" t="s">
        <v>115</v>
      </c>
      <c r="P21" s="70" t="s">
        <v>171</v>
      </c>
      <c r="Q21" s="163" t="s">
        <v>265</v>
      </c>
    </row>
    <row r="22" s="105" customFormat="1" ht="51" customHeight="1" spans="1:17">
      <c r="A22" s="73">
        <v>7</v>
      </c>
      <c r="B22" s="73" t="s">
        <v>224</v>
      </c>
      <c r="C22" s="71" t="s">
        <v>282</v>
      </c>
      <c r="D22" s="73" t="s">
        <v>114</v>
      </c>
      <c r="E22" s="70">
        <v>75</v>
      </c>
      <c r="F22" s="46">
        <v>3</v>
      </c>
      <c r="G22" s="46">
        <f t="shared" si="6"/>
        <v>1.56284210526316</v>
      </c>
      <c r="H22" s="46">
        <v>1.54736842105263</v>
      </c>
      <c r="I22" s="142">
        <v>0.01</v>
      </c>
      <c r="J22" s="46">
        <f t="shared" si="7"/>
        <v>0.0456284210526316</v>
      </c>
      <c r="K22" s="80">
        <f t="shared" si="8"/>
        <v>0.414762347368421</v>
      </c>
      <c r="L22" s="80">
        <f t="shared" si="9"/>
        <v>0.452090958631579</v>
      </c>
      <c r="M22" s="80">
        <f t="shared" si="10"/>
        <v>5.47532383231579</v>
      </c>
      <c r="N22" s="80">
        <f t="shared" si="11"/>
        <v>410.649287423684</v>
      </c>
      <c r="O22" s="74" t="s">
        <v>120</v>
      </c>
      <c r="P22" s="70" t="s">
        <v>224</v>
      </c>
      <c r="Q22" s="165" t="s">
        <v>265</v>
      </c>
    </row>
    <row r="23" s="105" customFormat="1" ht="22" customHeight="1" spans="1:17">
      <c r="A23" s="73">
        <v>8</v>
      </c>
      <c r="B23" s="73" t="s">
        <v>121</v>
      </c>
      <c r="C23" s="71" t="s">
        <v>283</v>
      </c>
      <c r="D23" s="73" t="s">
        <v>123</v>
      </c>
      <c r="E23" s="70">
        <v>2.4</v>
      </c>
      <c r="F23" s="46">
        <v>25</v>
      </c>
      <c r="G23" s="46">
        <f t="shared" si="6"/>
        <v>6.06</v>
      </c>
      <c r="H23" s="46">
        <v>6</v>
      </c>
      <c r="I23" s="142">
        <v>0.01</v>
      </c>
      <c r="J23" s="46">
        <f t="shared" si="7"/>
        <v>0.3106</v>
      </c>
      <c r="K23" s="80">
        <f t="shared" si="8"/>
        <v>2.823354</v>
      </c>
      <c r="L23" s="80">
        <f t="shared" si="9"/>
        <v>3.07745586</v>
      </c>
      <c r="M23" s="80">
        <f t="shared" si="10"/>
        <v>37.27140986</v>
      </c>
      <c r="N23" s="80">
        <f t="shared" si="11"/>
        <v>89.451383664</v>
      </c>
      <c r="O23" s="74"/>
      <c r="P23" s="70" t="s">
        <v>121</v>
      </c>
      <c r="Q23" s="165" t="s">
        <v>265</v>
      </c>
    </row>
    <row r="24" s="105" customFormat="1" ht="30" customHeight="1" spans="1:17">
      <c r="A24" s="73">
        <v>9</v>
      </c>
      <c r="B24" s="129" t="s">
        <v>125</v>
      </c>
      <c r="C24" s="78" t="s">
        <v>126</v>
      </c>
      <c r="D24" s="129" t="s">
        <v>123</v>
      </c>
      <c r="E24" s="70">
        <v>2.4</v>
      </c>
      <c r="F24" s="46">
        <v>10</v>
      </c>
      <c r="G24" s="46">
        <f t="shared" si="6"/>
        <v>0</v>
      </c>
      <c r="H24" s="46">
        <v>0</v>
      </c>
      <c r="I24" s="142">
        <v>0.01</v>
      </c>
      <c r="J24" s="46">
        <f t="shared" si="7"/>
        <v>0.1</v>
      </c>
      <c r="K24" s="80">
        <f t="shared" si="8"/>
        <v>0.909</v>
      </c>
      <c r="L24" s="80">
        <f t="shared" si="9"/>
        <v>0.99081</v>
      </c>
      <c r="M24" s="80">
        <f t="shared" si="10"/>
        <v>11.99981</v>
      </c>
      <c r="N24" s="80">
        <f t="shared" si="11"/>
        <v>28.799544</v>
      </c>
      <c r="O24" s="74"/>
      <c r="P24" s="70" t="s">
        <v>125</v>
      </c>
      <c r="Q24" s="165" t="s">
        <v>265</v>
      </c>
    </row>
    <row r="25" s="105" customFormat="1" ht="30" customHeight="1" spans="1:17">
      <c r="A25" s="130"/>
      <c r="B25" s="131" t="s">
        <v>269</v>
      </c>
      <c r="C25" s="132"/>
      <c r="D25" s="130"/>
      <c r="E25" s="130"/>
      <c r="F25" s="133"/>
      <c r="G25" s="80"/>
      <c r="H25" s="80"/>
      <c r="I25" s="148"/>
      <c r="J25" s="80"/>
      <c r="K25" s="80"/>
      <c r="L25" s="80"/>
      <c r="M25" s="80"/>
      <c r="N25" s="86">
        <f>SUM(N16:N24)</f>
        <v>2085.55346242453</v>
      </c>
      <c r="O25" s="129"/>
      <c r="P25" s="129"/>
      <c r="Q25" s="165"/>
    </row>
    <row r="26" s="103" customFormat="1" ht="45" customHeight="1" spans="1:17">
      <c r="A26" s="118" t="s">
        <v>284</v>
      </c>
      <c r="B26" s="118"/>
      <c r="C26" s="119"/>
      <c r="D26" s="118"/>
      <c r="E26" s="120"/>
      <c r="F26" s="121"/>
      <c r="G26" s="121"/>
      <c r="H26" s="121"/>
      <c r="I26" s="141"/>
      <c r="J26" s="121"/>
      <c r="K26" s="121"/>
      <c r="L26" s="121"/>
      <c r="M26" s="121"/>
      <c r="N26" s="121"/>
      <c r="O26" s="118"/>
      <c r="P26" s="118"/>
      <c r="Q26" s="118"/>
    </row>
    <row r="27" s="106" customFormat="1" ht="60" customHeight="1" spans="1:17">
      <c r="A27" s="122">
        <v>1</v>
      </c>
      <c r="B27" s="122" t="s">
        <v>245</v>
      </c>
      <c r="C27" s="123" t="s">
        <v>246</v>
      </c>
      <c r="D27" s="122" t="s">
        <v>138</v>
      </c>
      <c r="E27" s="122">
        <v>794</v>
      </c>
      <c r="F27" s="46">
        <v>5</v>
      </c>
      <c r="G27" s="46">
        <f t="shared" ref="G27:G30" si="12">H27*(1+I27)</f>
        <v>242.15053</v>
      </c>
      <c r="H27" s="46">
        <v>239.753</v>
      </c>
      <c r="I27" s="142">
        <v>0.01</v>
      </c>
      <c r="J27" s="46">
        <f t="shared" ref="J27:J30" si="13">(F27+G27)*1%</f>
        <v>2.4715053</v>
      </c>
      <c r="K27" s="80">
        <f t="shared" ref="K27:K30" si="14">(F27+G27+J27)*9%</f>
        <v>22.465983177</v>
      </c>
      <c r="L27" s="80">
        <f t="shared" ref="L27:L30" si="15">(F27+G27+J27+K27)*9%</f>
        <v>24.48792166293</v>
      </c>
      <c r="M27" s="80">
        <v>296.58</v>
      </c>
      <c r="N27" s="80">
        <f t="shared" ref="N27:N30" si="16">M27*E27</f>
        <v>235484.52</v>
      </c>
      <c r="O27" s="122" t="s">
        <v>247</v>
      </c>
      <c r="P27" s="143" t="s">
        <v>248</v>
      </c>
      <c r="Q27" s="163" t="s">
        <v>267</v>
      </c>
    </row>
    <row r="28" s="106" customFormat="1" ht="36" customHeight="1" spans="1:17">
      <c r="A28" s="122">
        <v>2</v>
      </c>
      <c r="B28" s="73" t="s">
        <v>161</v>
      </c>
      <c r="C28" s="72" t="s">
        <v>285</v>
      </c>
      <c r="D28" s="73" t="s">
        <v>138</v>
      </c>
      <c r="E28" s="70">
        <v>76</v>
      </c>
      <c r="F28" s="134">
        <v>80</v>
      </c>
      <c r="G28" s="134">
        <f t="shared" si="12"/>
        <v>2083.024</v>
      </c>
      <c r="H28" s="134">
        <v>2062.4</v>
      </c>
      <c r="I28" s="142">
        <v>0.01</v>
      </c>
      <c r="J28" s="134">
        <f t="shared" si="13"/>
        <v>21.63024</v>
      </c>
      <c r="K28" s="149">
        <f t="shared" si="14"/>
        <v>196.6188816</v>
      </c>
      <c r="L28" s="150">
        <f t="shared" si="15"/>
        <v>214.314580944</v>
      </c>
      <c r="M28" s="149">
        <v>2595.5</v>
      </c>
      <c r="N28" s="80">
        <f t="shared" si="16"/>
        <v>197258</v>
      </c>
      <c r="O28" s="73" t="s">
        <v>151</v>
      </c>
      <c r="P28" s="73" t="s">
        <v>286</v>
      </c>
      <c r="Q28" s="163" t="s">
        <v>267</v>
      </c>
    </row>
    <row r="29" s="57" customFormat="1" ht="60" spans="1:17">
      <c r="A29" s="70">
        <v>3</v>
      </c>
      <c r="B29" s="73" t="s">
        <v>287</v>
      </c>
      <c r="C29" s="72" t="s">
        <v>246</v>
      </c>
      <c r="D29" s="73" t="s">
        <v>138</v>
      </c>
      <c r="E29" s="70">
        <v>-794</v>
      </c>
      <c r="F29" s="46">
        <v>5</v>
      </c>
      <c r="G29" s="46">
        <f t="shared" si="12"/>
        <v>217.15</v>
      </c>
      <c r="H29" s="46">
        <v>215</v>
      </c>
      <c r="I29" s="142">
        <v>0.01</v>
      </c>
      <c r="J29" s="46">
        <f t="shared" si="13"/>
        <v>2.2215</v>
      </c>
      <c r="K29" s="80">
        <f t="shared" si="14"/>
        <v>20.193435</v>
      </c>
      <c r="L29" s="151">
        <f t="shared" si="15"/>
        <v>22.01084415</v>
      </c>
      <c r="M29" s="80">
        <v>266.58</v>
      </c>
      <c r="N29" s="80">
        <f t="shared" si="16"/>
        <v>-211664.52</v>
      </c>
      <c r="O29" s="46" t="s">
        <v>151</v>
      </c>
      <c r="P29" s="70" t="s">
        <v>288</v>
      </c>
      <c r="Q29" s="163" t="s">
        <v>265</v>
      </c>
    </row>
    <row r="30" s="57" customFormat="1" ht="72" spans="1:17">
      <c r="A30" s="70">
        <v>4</v>
      </c>
      <c r="B30" s="73" t="s">
        <v>161</v>
      </c>
      <c r="C30" s="72" t="s">
        <v>162</v>
      </c>
      <c r="D30" s="73" t="s">
        <v>138</v>
      </c>
      <c r="E30" s="70">
        <v>-76</v>
      </c>
      <c r="F30" s="46">
        <v>80</v>
      </c>
      <c r="G30" s="46">
        <f t="shared" si="12"/>
        <v>1593.78</v>
      </c>
      <c r="H30" s="46">
        <v>1578</v>
      </c>
      <c r="I30" s="142">
        <v>0.01</v>
      </c>
      <c r="J30" s="46">
        <f t="shared" si="13"/>
        <v>16.7378</v>
      </c>
      <c r="K30" s="80">
        <f t="shared" si="14"/>
        <v>152.146602</v>
      </c>
      <c r="L30" s="151">
        <f t="shared" si="15"/>
        <v>165.83979618</v>
      </c>
      <c r="M30" s="80">
        <v>2008.5</v>
      </c>
      <c r="N30" s="80">
        <f t="shared" si="16"/>
        <v>-152646</v>
      </c>
      <c r="O30" s="46" t="s">
        <v>151</v>
      </c>
      <c r="P30" s="70" t="s">
        <v>163</v>
      </c>
      <c r="Q30" s="163" t="s">
        <v>265</v>
      </c>
    </row>
    <row r="31" s="105" customFormat="1" ht="30" customHeight="1" spans="1:17">
      <c r="A31" s="130"/>
      <c r="B31" s="131" t="s">
        <v>269</v>
      </c>
      <c r="C31" s="132"/>
      <c r="D31" s="130"/>
      <c r="E31" s="130"/>
      <c r="F31" s="133"/>
      <c r="G31" s="133"/>
      <c r="H31" s="133"/>
      <c r="I31" s="152"/>
      <c r="J31" s="133"/>
      <c r="K31" s="133"/>
      <c r="L31" s="133"/>
      <c r="M31" s="133"/>
      <c r="N31" s="153">
        <f>SUM(N27:N30)</f>
        <v>68432</v>
      </c>
      <c r="O31" s="130"/>
      <c r="P31" s="130"/>
      <c r="Q31" s="163"/>
    </row>
    <row r="32" s="103" customFormat="1" ht="33" customHeight="1" spans="1:17">
      <c r="A32" s="118" t="s">
        <v>289</v>
      </c>
      <c r="B32" s="118"/>
      <c r="C32" s="119"/>
      <c r="D32" s="118"/>
      <c r="E32" s="120"/>
      <c r="F32" s="121"/>
      <c r="G32" s="121"/>
      <c r="H32" s="121"/>
      <c r="I32" s="141"/>
      <c r="J32" s="121"/>
      <c r="K32" s="121"/>
      <c r="L32" s="121"/>
      <c r="M32" s="121"/>
      <c r="N32" s="121"/>
      <c r="O32" s="118"/>
      <c r="P32" s="118"/>
      <c r="Q32" s="118"/>
    </row>
    <row r="33" ht="28" customHeight="1" spans="1:17">
      <c r="A33" s="68" t="s">
        <v>38</v>
      </c>
      <c r="B33" s="135" t="s">
        <v>290</v>
      </c>
      <c r="C33" s="136"/>
      <c r="D33" s="136"/>
      <c r="E33" s="136"/>
      <c r="F33" s="137"/>
      <c r="G33" s="137"/>
      <c r="H33" s="137"/>
      <c r="I33" s="154"/>
      <c r="J33" s="137"/>
      <c r="K33" s="137"/>
      <c r="L33" s="137"/>
      <c r="M33" s="137"/>
      <c r="N33" s="137"/>
      <c r="O33" s="137"/>
      <c r="P33" s="137"/>
      <c r="Q33" s="166"/>
    </row>
    <row r="34" ht="48" spans="1:17">
      <c r="A34" s="70">
        <v>1</v>
      </c>
      <c r="B34" s="70" t="s">
        <v>291</v>
      </c>
      <c r="C34" s="78" t="s">
        <v>292</v>
      </c>
      <c r="D34" s="70" t="s">
        <v>293</v>
      </c>
      <c r="E34" s="32">
        <v>1</v>
      </c>
      <c r="F34" s="32" t="s">
        <v>294</v>
      </c>
      <c r="G34" s="138"/>
      <c r="H34" s="138"/>
      <c r="I34" s="155"/>
      <c r="J34" s="138"/>
      <c r="K34" s="138"/>
      <c r="L34" s="138"/>
      <c r="M34" s="156">
        <v>3069.23076923077</v>
      </c>
      <c r="N34" s="157">
        <f t="shared" ref="N34:N40" si="17">M34*E34</f>
        <v>3069.23076923077</v>
      </c>
      <c r="O34" s="158" t="s">
        <v>294</v>
      </c>
      <c r="P34" s="159"/>
      <c r="Q34" s="159" t="s">
        <v>267</v>
      </c>
    </row>
    <row r="35" ht="60" spans="1:17">
      <c r="A35" s="70">
        <v>2</v>
      </c>
      <c r="B35" s="70" t="s">
        <v>295</v>
      </c>
      <c r="C35" s="78" t="s">
        <v>296</v>
      </c>
      <c r="D35" s="70" t="s">
        <v>181</v>
      </c>
      <c r="E35" s="32">
        <v>1</v>
      </c>
      <c r="F35" s="32" t="s">
        <v>294</v>
      </c>
      <c r="G35" s="138"/>
      <c r="H35" s="138"/>
      <c r="I35" s="155"/>
      <c r="J35" s="138"/>
      <c r="K35" s="138"/>
      <c r="L35" s="138"/>
      <c r="M35" s="160">
        <v>4733.07692307692</v>
      </c>
      <c r="N35" s="80">
        <f t="shared" si="17"/>
        <v>4733.07692307692</v>
      </c>
      <c r="O35" s="161" t="s">
        <v>294</v>
      </c>
      <c r="P35" s="159"/>
      <c r="Q35" s="159" t="s">
        <v>267</v>
      </c>
    </row>
    <row r="36" ht="24" spans="1:17">
      <c r="A36" s="70">
        <v>3</v>
      </c>
      <c r="B36" s="70" t="s">
        <v>297</v>
      </c>
      <c r="C36" s="78" t="s">
        <v>298</v>
      </c>
      <c r="D36" s="70" t="s">
        <v>181</v>
      </c>
      <c r="E36" s="32">
        <v>1</v>
      </c>
      <c r="F36" s="32" t="s">
        <v>294</v>
      </c>
      <c r="G36" s="138"/>
      <c r="H36" s="138"/>
      <c r="I36" s="155"/>
      <c r="J36" s="138"/>
      <c r="K36" s="138"/>
      <c r="L36" s="138"/>
      <c r="M36" s="160">
        <v>387.692307692308</v>
      </c>
      <c r="N36" s="80">
        <f t="shared" si="17"/>
        <v>387.692307692308</v>
      </c>
      <c r="O36" s="161" t="s">
        <v>294</v>
      </c>
      <c r="P36" s="159"/>
      <c r="Q36" s="159" t="s">
        <v>267</v>
      </c>
    </row>
    <row r="37" ht="24" spans="1:17">
      <c r="A37" s="70">
        <v>4</v>
      </c>
      <c r="B37" s="70" t="s">
        <v>299</v>
      </c>
      <c r="C37" s="78" t="s">
        <v>300</v>
      </c>
      <c r="D37" s="70" t="s">
        <v>181</v>
      </c>
      <c r="E37" s="32">
        <v>1</v>
      </c>
      <c r="F37" s="32" t="s">
        <v>294</v>
      </c>
      <c r="G37" s="138"/>
      <c r="H37" s="138"/>
      <c r="I37" s="155"/>
      <c r="J37" s="138"/>
      <c r="K37" s="138"/>
      <c r="L37" s="138"/>
      <c r="M37" s="160">
        <v>2503.84615384615</v>
      </c>
      <c r="N37" s="80">
        <f t="shared" si="17"/>
        <v>2503.84615384615</v>
      </c>
      <c r="O37" s="161" t="s">
        <v>294</v>
      </c>
      <c r="P37" s="159"/>
      <c r="Q37" s="159" t="s">
        <v>267</v>
      </c>
    </row>
    <row r="38" ht="36" spans="1:17">
      <c r="A38" s="70">
        <v>5</v>
      </c>
      <c r="B38" s="70" t="s">
        <v>301</v>
      </c>
      <c r="C38" s="78" t="s">
        <v>302</v>
      </c>
      <c r="D38" s="70" t="s">
        <v>181</v>
      </c>
      <c r="E38" s="32">
        <v>1</v>
      </c>
      <c r="F38" s="32" t="s">
        <v>294</v>
      </c>
      <c r="G38" s="138"/>
      <c r="H38" s="138"/>
      <c r="I38" s="155"/>
      <c r="J38" s="138"/>
      <c r="K38" s="138"/>
      <c r="L38" s="138"/>
      <c r="M38" s="160">
        <v>4038.46153846154</v>
      </c>
      <c r="N38" s="80">
        <f t="shared" si="17"/>
        <v>4038.46153846154</v>
      </c>
      <c r="O38" s="161" t="s">
        <v>294</v>
      </c>
      <c r="P38" s="159"/>
      <c r="Q38" s="159" t="s">
        <v>267</v>
      </c>
    </row>
    <row r="39" ht="36" spans="1:17">
      <c r="A39" s="70">
        <v>6</v>
      </c>
      <c r="B39" s="70" t="s">
        <v>303</v>
      </c>
      <c r="C39" s="78" t="s">
        <v>304</v>
      </c>
      <c r="D39" s="70" t="s">
        <v>181</v>
      </c>
      <c r="E39" s="32">
        <v>1</v>
      </c>
      <c r="F39" s="32" t="s">
        <v>120</v>
      </c>
      <c r="G39" s="138"/>
      <c r="H39" s="138"/>
      <c r="I39" s="155"/>
      <c r="J39" s="138"/>
      <c r="K39" s="138"/>
      <c r="L39" s="138"/>
      <c r="M39" s="160">
        <v>1100</v>
      </c>
      <c r="N39" s="80">
        <f t="shared" si="17"/>
        <v>1100</v>
      </c>
      <c r="O39" s="161" t="s">
        <v>120</v>
      </c>
      <c r="P39" s="159"/>
      <c r="Q39" s="159" t="s">
        <v>267</v>
      </c>
    </row>
    <row r="40" spans="1:17">
      <c r="A40" s="70">
        <v>7</v>
      </c>
      <c r="B40" s="70" t="s">
        <v>305</v>
      </c>
      <c r="C40" s="78" t="s">
        <v>306</v>
      </c>
      <c r="D40" s="70" t="s">
        <v>307</v>
      </c>
      <c r="E40" s="32">
        <v>1</v>
      </c>
      <c r="F40" s="32" t="s">
        <v>120</v>
      </c>
      <c r="G40" s="138"/>
      <c r="H40" s="138"/>
      <c r="I40" s="155"/>
      <c r="J40" s="138"/>
      <c r="K40" s="138"/>
      <c r="L40" s="138"/>
      <c r="M40" s="160">
        <v>2100</v>
      </c>
      <c r="N40" s="80">
        <f t="shared" si="17"/>
        <v>2100</v>
      </c>
      <c r="O40" s="161" t="s">
        <v>120</v>
      </c>
      <c r="P40" s="159"/>
      <c r="Q40" s="159" t="s">
        <v>267</v>
      </c>
    </row>
    <row r="41" spans="1:17">
      <c r="A41" s="70">
        <v>8</v>
      </c>
      <c r="B41" s="68" t="s">
        <v>308</v>
      </c>
      <c r="C41" s="78"/>
      <c r="D41" s="70"/>
      <c r="E41" s="32"/>
      <c r="F41" s="32"/>
      <c r="G41" s="138"/>
      <c r="H41" s="138"/>
      <c r="I41" s="155"/>
      <c r="J41" s="138"/>
      <c r="K41" s="138"/>
      <c r="L41" s="138"/>
      <c r="M41" s="160"/>
      <c r="N41" s="80">
        <f>SUM(N34:N40)</f>
        <v>17932.3076923077</v>
      </c>
      <c r="O41" s="159"/>
      <c r="P41" s="159"/>
      <c r="Q41" s="159"/>
    </row>
    <row r="42" s="103" customFormat="1" ht="22" customHeight="1" spans="1:17">
      <c r="A42" s="70">
        <v>9</v>
      </c>
      <c r="B42" s="124" t="s">
        <v>270</v>
      </c>
      <c r="C42" s="125"/>
      <c r="D42" s="70"/>
      <c r="E42" s="32"/>
      <c r="F42" s="32"/>
      <c r="G42" s="138"/>
      <c r="H42" s="138"/>
      <c r="I42" s="155"/>
      <c r="J42" s="138"/>
      <c r="K42" s="138"/>
      <c r="L42" s="138"/>
      <c r="M42" s="160"/>
      <c r="N42" s="80">
        <v>16000</v>
      </c>
      <c r="O42" s="159"/>
      <c r="P42" s="159"/>
      <c r="Q42" s="159"/>
    </row>
    <row r="43" ht="21" customHeight="1" spans="1:17">
      <c r="A43" s="68" t="s">
        <v>44</v>
      </c>
      <c r="B43" s="135" t="s">
        <v>309</v>
      </c>
      <c r="C43" s="136"/>
      <c r="D43" s="136"/>
      <c r="E43" s="136"/>
      <c r="F43" s="137"/>
      <c r="G43" s="137"/>
      <c r="H43" s="137"/>
      <c r="I43" s="154"/>
      <c r="J43" s="137"/>
      <c r="K43" s="137"/>
      <c r="L43" s="137"/>
      <c r="M43" s="137"/>
      <c r="N43" s="137"/>
      <c r="O43" s="137"/>
      <c r="P43" s="137"/>
      <c r="Q43" s="166"/>
    </row>
    <row r="44" spans="1:17">
      <c r="A44" s="68" t="s">
        <v>38</v>
      </c>
      <c r="B44" s="69" t="s">
        <v>215</v>
      </c>
      <c r="C44" s="69"/>
      <c r="D44" s="68"/>
      <c r="E44" s="68"/>
      <c r="F44" s="67"/>
      <c r="G44" s="46"/>
      <c r="H44" s="67"/>
      <c r="I44" s="142"/>
      <c r="J44" s="46"/>
      <c r="K44" s="80">
        <f>(F44+G44+J44)*9%</f>
        <v>0</v>
      </c>
      <c r="L44" s="151"/>
      <c r="M44" s="86"/>
      <c r="N44" s="86"/>
      <c r="O44" s="68"/>
      <c r="P44" s="68"/>
      <c r="Q44" s="129"/>
    </row>
    <row r="45" ht="60" spans="1:17">
      <c r="A45" s="70">
        <v>3</v>
      </c>
      <c r="B45" s="73" t="s">
        <v>287</v>
      </c>
      <c r="C45" s="72" t="s">
        <v>246</v>
      </c>
      <c r="D45" s="73" t="s">
        <v>138</v>
      </c>
      <c r="E45" s="70">
        <v>1</v>
      </c>
      <c r="F45" s="46"/>
      <c r="G45" s="46">
        <f t="shared" ref="G45:G47" si="18">H45*(1+I45)</f>
        <v>239.753</v>
      </c>
      <c r="H45" s="46">
        <v>239.753</v>
      </c>
      <c r="I45" s="142">
        <v>0</v>
      </c>
      <c r="J45" s="46"/>
      <c r="K45" s="80"/>
      <c r="L45" s="80">
        <f t="shared" ref="L45:L47" si="19">(F45+G45+J45+K45)*9%</f>
        <v>21.57777</v>
      </c>
      <c r="M45" s="80">
        <f t="shared" ref="M45:M47" si="20">F45+G45+J45+K45+L45</f>
        <v>261.33077</v>
      </c>
      <c r="N45" s="80">
        <f t="shared" ref="N45:N47" si="21">M45*E45</f>
        <v>261.33077</v>
      </c>
      <c r="O45" s="73" t="s">
        <v>151</v>
      </c>
      <c r="P45" s="73" t="s">
        <v>310</v>
      </c>
      <c r="Q45" s="129" t="s">
        <v>311</v>
      </c>
    </row>
    <row r="46" ht="72" spans="1:17">
      <c r="A46" s="70">
        <v>4</v>
      </c>
      <c r="B46" s="73" t="s">
        <v>240</v>
      </c>
      <c r="C46" s="72" t="s">
        <v>241</v>
      </c>
      <c r="D46" s="73" t="s">
        <v>138</v>
      </c>
      <c r="E46" s="70">
        <v>1</v>
      </c>
      <c r="F46" s="46"/>
      <c r="G46" s="46">
        <f t="shared" si="18"/>
        <v>3.68421052631579</v>
      </c>
      <c r="H46" s="46">
        <v>3.68421052631579</v>
      </c>
      <c r="I46" s="142">
        <v>0</v>
      </c>
      <c r="J46" s="46"/>
      <c r="K46" s="80"/>
      <c r="L46" s="151">
        <f t="shared" si="19"/>
        <v>0.331578947368421</v>
      </c>
      <c r="M46" s="80">
        <f t="shared" si="20"/>
        <v>4.01578947368421</v>
      </c>
      <c r="N46" s="80">
        <f t="shared" si="21"/>
        <v>4.01578947368421</v>
      </c>
      <c r="O46" s="70" t="s">
        <v>120</v>
      </c>
      <c r="P46" s="70" t="s">
        <v>240</v>
      </c>
      <c r="Q46" s="129" t="s">
        <v>40</v>
      </c>
    </row>
    <row r="47" ht="72" spans="1:17">
      <c r="A47" s="70">
        <v>5</v>
      </c>
      <c r="B47" s="73" t="s">
        <v>161</v>
      </c>
      <c r="C47" s="72" t="s">
        <v>162</v>
      </c>
      <c r="D47" s="73" t="s">
        <v>138</v>
      </c>
      <c r="E47" s="70">
        <v>1</v>
      </c>
      <c r="F47" s="46"/>
      <c r="G47" s="46">
        <f t="shared" si="18"/>
        <v>2062.331</v>
      </c>
      <c r="H47" s="46">
        <v>2062.331</v>
      </c>
      <c r="I47" s="142">
        <v>0</v>
      </c>
      <c r="J47" s="46"/>
      <c r="K47" s="80"/>
      <c r="L47" s="80">
        <f t="shared" si="19"/>
        <v>185.60979</v>
      </c>
      <c r="M47" s="80">
        <f t="shared" si="20"/>
        <v>2247.94079</v>
      </c>
      <c r="N47" s="80">
        <f t="shared" si="21"/>
        <v>2247.94079</v>
      </c>
      <c r="O47" s="73" t="s">
        <v>151</v>
      </c>
      <c r="P47" s="73" t="s">
        <v>286</v>
      </c>
      <c r="Q47" s="129" t="s">
        <v>311</v>
      </c>
    </row>
    <row r="48" spans="1:17">
      <c r="A48" s="68" t="s">
        <v>44</v>
      </c>
      <c r="B48" s="69" t="s">
        <v>111</v>
      </c>
      <c r="C48" s="69"/>
      <c r="D48" s="68"/>
      <c r="E48" s="68"/>
      <c r="F48" s="67"/>
      <c r="G48" s="46"/>
      <c r="H48" s="67"/>
      <c r="I48" s="142"/>
      <c r="J48" s="46"/>
      <c r="K48" s="80"/>
      <c r="L48" s="151"/>
      <c r="M48" s="86"/>
      <c r="N48" s="86"/>
      <c r="O48" s="68"/>
      <c r="P48" s="68"/>
      <c r="Q48" s="129"/>
    </row>
    <row r="49" ht="72" spans="1:17">
      <c r="A49" s="70">
        <v>1</v>
      </c>
      <c r="B49" s="73" t="s">
        <v>136</v>
      </c>
      <c r="C49" s="72" t="s">
        <v>137</v>
      </c>
      <c r="D49" s="73" t="s">
        <v>138</v>
      </c>
      <c r="E49" s="32">
        <v>1</v>
      </c>
      <c r="F49" s="46"/>
      <c r="G49" s="46">
        <f t="shared" ref="G49:G52" si="22">H49*(1+I49)</f>
        <v>250</v>
      </c>
      <c r="H49" s="46">
        <v>250</v>
      </c>
      <c r="I49" s="142">
        <v>0</v>
      </c>
      <c r="J49" s="46"/>
      <c r="K49" s="80"/>
      <c r="L49" s="151">
        <f t="shared" ref="L49:L52" si="23">(F49+G49+J49+K49)*9%</f>
        <v>22.5</v>
      </c>
      <c r="M49" s="80">
        <f t="shared" ref="M49:M52" si="24">F49+G49+J49+K49+L49</f>
        <v>272.5</v>
      </c>
      <c r="N49" s="80">
        <f t="shared" ref="N49:N52" si="25">M49*E49</f>
        <v>272.5</v>
      </c>
      <c r="O49" s="46" t="s">
        <v>139</v>
      </c>
      <c r="P49" s="46" t="s">
        <v>140</v>
      </c>
      <c r="Q49" s="129" t="s">
        <v>40</v>
      </c>
    </row>
    <row r="50" ht="72" spans="1:17">
      <c r="A50" s="70">
        <v>2</v>
      </c>
      <c r="B50" s="73" t="s">
        <v>141</v>
      </c>
      <c r="C50" s="72" t="s">
        <v>142</v>
      </c>
      <c r="D50" s="73" t="s">
        <v>138</v>
      </c>
      <c r="E50" s="70">
        <v>1</v>
      </c>
      <c r="F50" s="46"/>
      <c r="G50" s="46">
        <f t="shared" si="22"/>
        <v>250</v>
      </c>
      <c r="H50" s="46">
        <v>250</v>
      </c>
      <c r="I50" s="142">
        <v>0</v>
      </c>
      <c r="J50" s="46"/>
      <c r="K50" s="80"/>
      <c r="L50" s="151">
        <f t="shared" si="23"/>
        <v>22.5</v>
      </c>
      <c r="M50" s="80">
        <f t="shared" si="24"/>
        <v>272.5</v>
      </c>
      <c r="N50" s="80">
        <f t="shared" si="25"/>
        <v>272.5</v>
      </c>
      <c r="O50" s="46" t="s">
        <v>139</v>
      </c>
      <c r="P50" s="46" t="s">
        <v>143</v>
      </c>
      <c r="Q50" s="129" t="s">
        <v>40</v>
      </c>
    </row>
    <row r="51" ht="72" spans="1:17">
      <c r="A51" s="70">
        <v>3</v>
      </c>
      <c r="B51" s="73" t="s">
        <v>312</v>
      </c>
      <c r="C51" s="72" t="s">
        <v>313</v>
      </c>
      <c r="D51" s="73" t="s">
        <v>138</v>
      </c>
      <c r="E51" s="70">
        <v>1</v>
      </c>
      <c r="F51" s="46"/>
      <c r="G51" s="46">
        <f t="shared" si="22"/>
        <v>250</v>
      </c>
      <c r="H51" s="46">
        <v>250</v>
      </c>
      <c r="I51" s="142">
        <v>0</v>
      </c>
      <c r="J51" s="46"/>
      <c r="K51" s="80"/>
      <c r="L51" s="151">
        <f t="shared" si="23"/>
        <v>22.5</v>
      </c>
      <c r="M51" s="80">
        <f t="shared" si="24"/>
        <v>272.5</v>
      </c>
      <c r="N51" s="80">
        <f t="shared" si="25"/>
        <v>272.5</v>
      </c>
      <c r="O51" s="46" t="s">
        <v>139</v>
      </c>
      <c r="P51" s="46" t="s">
        <v>143</v>
      </c>
      <c r="Q51" s="129" t="s">
        <v>40</v>
      </c>
    </row>
    <row r="52" ht="60" spans="1:17">
      <c r="A52" s="70">
        <v>4</v>
      </c>
      <c r="B52" s="73" t="s">
        <v>144</v>
      </c>
      <c r="C52" s="72" t="s">
        <v>145</v>
      </c>
      <c r="D52" s="73" t="s">
        <v>138</v>
      </c>
      <c r="E52" s="70">
        <v>1</v>
      </c>
      <c r="F52" s="46"/>
      <c r="G52" s="46">
        <f t="shared" si="22"/>
        <v>250</v>
      </c>
      <c r="H52" s="46">
        <v>250</v>
      </c>
      <c r="I52" s="142">
        <v>0</v>
      </c>
      <c r="J52" s="46"/>
      <c r="K52" s="80"/>
      <c r="L52" s="151">
        <f t="shared" si="23"/>
        <v>22.5</v>
      </c>
      <c r="M52" s="80">
        <f t="shared" si="24"/>
        <v>272.5</v>
      </c>
      <c r="N52" s="80">
        <f t="shared" si="25"/>
        <v>272.5</v>
      </c>
      <c r="O52" s="46" t="s">
        <v>139</v>
      </c>
      <c r="P52" s="46" t="s">
        <v>140</v>
      </c>
      <c r="Q52" s="129" t="s">
        <v>40</v>
      </c>
    </row>
    <row r="53" spans="1:17">
      <c r="A53" s="68" t="s">
        <v>47</v>
      </c>
      <c r="B53" s="69" t="s">
        <v>314</v>
      </c>
      <c r="C53" s="69"/>
      <c r="D53" s="68"/>
      <c r="E53" s="68"/>
      <c r="F53" s="67"/>
      <c r="G53" s="46"/>
      <c r="H53" s="67"/>
      <c r="I53" s="142"/>
      <c r="J53" s="46"/>
      <c r="K53" s="80"/>
      <c r="L53" s="151"/>
      <c r="M53" s="86"/>
      <c r="N53" s="86"/>
      <c r="O53" s="68"/>
      <c r="P53" s="68"/>
      <c r="Q53" s="129"/>
    </row>
    <row r="54" ht="60" spans="1:17">
      <c r="A54" s="70">
        <v>1</v>
      </c>
      <c r="B54" s="73" t="s">
        <v>315</v>
      </c>
      <c r="C54" s="72" t="s">
        <v>316</v>
      </c>
      <c r="D54" s="73" t="s">
        <v>138</v>
      </c>
      <c r="E54" s="32">
        <v>1</v>
      </c>
      <c r="F54" s="46"/>
      <c r="G54" s="46">
        <f t="shared" ref="G54:G56" si="26">H54*(1+I54)</f>
        <v>5.26315789473684</v>
      </c>
      <c r="H54" s="46">
        <v>5.26315789473684</v>
      </c>
      <c r="I54" s="142">
        <v>0</v>
      </c>
      <c r="J54" s="46"/>
      <c r="K54" s="80"/>
      <c r="L54" s="151">
        <f t="shared" ref="L54:L56" si="27">(F54+G54+J54+K54)*9%</f>
        <v>0.473684210526316</v>
      </c>
      <c r="M54" s="80">
        <f t="shared" ref="M54:M56" si="28">F54+G54+J54+K54+L54</f>
        <v>5.73684210526316</v>
      </c>
      <c r="N54" s="80">
        <f t="shared" ref="N54:N56" si="29">M54*E54</f>
        <v>5.73684210526316</v>
      </c>
      <c r="O54" s="32" t="s">
        <v>317</v>
      </c>
      <c r="P54" s="32" t="s">
        <v>318</v>
      </c>
      <c r="Q54" s="129" t="s">
        <v>40</v>
      </c>
    </row>
    <row r="55" ht="48" spans="1:17">
      <c r="A55" s="70">
        <v>2</v>
      </c>
      <c r="B55" s="73" t="s">
        <v>319</v>
      </c>
      <c r="C55" s="72" t="s">
        <v>320</v>
      </c>
      <c r="D55" s="73" t="s">
        <v>138</v>
      </c>
      <c r="E55" s="70">
        <v>1</v>
      </c>
      <c r="F55" s="46"/>
      <c r="G55" s="46">
        <f t="shared" si="26"/>
        <v>631.578947368421</v>
      </c>
      <c r="H55" s="46">
        <v>631.578947368421</v>
      </c>
      <c r="I55" s="142">
        <v>0</v>
      </c>
      <c r="J55" s="46"/>
      <c r="K55" s="80"/>
      <c r="L55" s="151">
        <f t="shared" si="27"/>
        <v>56.8421052631579</v>
      </c>
      <c r="M55" s="80">
        <f t="shared" si="28"/>
        <v>688.421052631579</v>
      </c>
      <c r="N55" s="80">
        <f t="shared" si="29"/>
        <v>688.421052631579</v>
      </c>
      <c r="O55" s="32" t="s">
        <v>317</v>
      </c>
      <c r="P55" s="32" t="s">
        <v>321</v>
      </c>
      <c r="Q55" s="129" t="s">
        <v>40</v>
      </c>
    </row>
    <row r="56" ht="36" spans="1:17">
      <c r="A56" s="70">
        <v>3</v>
      </c>
      <c r="B56" s="73" t="s">
        <v>322</v>
      </c>
      <c r="C56" s="72" t="s">
        <v>323</v>
      </c>
      <c r="D56" s="73" t="s">
        <v>130</v>
      </c>
      <c r="E56" s="73">
        <v>0</v>
      </c>
      <c r="F56" s="46"/>
      <c r="G56" s="46">
        <f t="shared" si="26"/>
        <v>474</v>
      </c>
      <c r="H56" s="46">
        <v>474</v>
      </c>
      <c r="I56" s="142">
        <v>0</v>
      </c>
      <c r="J56" s="46"/>
      <c r="K56" s="80"/>
      <c r="L56" s="151">
        <f t="shared" si="27"/>
        <v>42.66</v>
      </c>
      <c r="M56" s="80">
        <f t="shared" si="28"/>
        <v>516.66</v>
      </c>
      <c r="N56" s="80">
        <f t="shared" si="29"/>
        <v>0</v>
      </c>
      <c r="O56" s="32" t="s">
        <v>317</v>
      </c>
      <c r="P56" s="32" t="s">
        <v>324</v>
      </c>
      <c r="Q56" s="129" t="s">
        <v>40</v>
      </c>
    </row>
    <row r="57" spans="1:17">
      <c r="A57" s="68" t="s">
        <v>51</v>
      </c>
      <c r="B57" s="69" t="s">
        <v>325</v>
      </c>
      <c r="C57" s="69"/>
      <c r="D57" s="68"/>
      <c r="E57" s="68"/>
      <c r="F57" s="67"/>
      <c r="G57" s="46"/>
      <c r="H57" s="67"/>
      <c r="I57" s="142"/>
      <c r="J57" s="46"/>
      <c r="K57" s="80"/>
      <c r="L57" s="151"/>
      <c r="M57" s="86"/>
      <c r="N57" s="86"/>
      <c r="O57" s="68"/>
      <c r="P57" s="68"/>
      <c r="Q57" s="129"/>
    </row>
    <row r="58" ht="84" spans="1:17">
      <c r="A58" s="70">
        <v>1</v>
      </c>
      <c r="B58" s="73" t="s">
        <v>326</v>
      </c>
      <c r="C58" s="72" t="s">
        <v>327</v>
      </c>
      <c r="D58" s="73" t="s">
        <v>130</v>
      </c>
      <c r="E58" s="74">
        <v>1</v>
      </c>
      <c r="F58" s="46"/>
      <c r="G58" s="46">
        <f t="shared" ref="G58:G61" si="30">H58*(1+I58)</f>
        <v>18</v>
      </c>
      <c r="H58" s="46">
        <v>18</v>
      </c>
      <c r="I58" s="142">
        <v>0</v>
      </c>
      <c r="J58" s="46"/>
      <c r="K58" s="80"/>
      <c r="L58" s="151">
        <f t="shared" ref="L58:L61" si="31">(F58+G58+J58+K58)*9%</f>
        <v>1.62</v>
      </c>
      <c r="M58" s="80">
        <f t="shared" ref="M58:M61" si="32">F58+G58+J58+K58+L58</f>
        <v>19.62</v>
      </c>
      <c r="N58" s="80">
        <f t="shared" ref="N58:N61" si="33">M58*E58</f>
        <v>19.62</v>
      </c>
      <c r="O58" s="94" t="s">
        <v>328</v>
      </c>
      <c r="P58" s="94" t="s">
        <v>329</v>
      </c>
      <c r="Q58" s="129" t="s">
        <v>40</v>
      </c>
    </row>
    <row r="59" ht="60" spans="1:17">
      <c r="A59" s="70">
        <v>2</v>
      </c>
      <c r="B59" s="73" t="s">
        <v>330</v>
      </c>
      <c r="C59" s="72" t="s">
        <v>331</v>
      </c>
      <c r="D59" s="73" t="s">
        <v>138</v>
      </c>
      <c r="E59" s="92">
        <v>1</v>
      </c>
      <c r="F59" s="46"/>
      <c r="G59" s="46">
        <f t="shared" si="30"/>
        <v>55</v>
      </c>
      <c r="H59" s="46">
        <v>55</v>
      </c>
      <c r="I59" s="142">
        <v>0</v>
      </c>
      <c r="J59" s="46"/>
      <c r="K59" s="80"/>
      <c r="L59" s="151">
        <f t="shared" si="31"/>
        <v>4.95</v>
      </c>
      <c r="M59" s="80">
        <f t="shared" si="32"/>
        <v>59.95</v>
      </c>
      <c r="N59" s="80">
        <f t="shared" si="33"/>
        <v>59.95</v>
      </c>
      <c r="O59" s="94" t="s">
        <v>328</v>
      </c>
      <c r="P59" s="94" t="s">
        <v>332</v>
      </c>
      <c r="Q59" s="129" t="s">
        <v>40</v>
      </c>
    </row>
    <row r="60" spans="1:17">
      <c r="A60" s="68" t="s">
        <v>55</v>
      </c>
      <c r="B60" s="69" t="s">
        <v>333</v>
      </c>
      <c r="C60" s="69"/>
      <c r="D60" s="68"/>
      <c r="E60" s="68"/>
      <c r="F60" s="67"/>
      <c r="G60" s="46"/>
      <c r="H60" s="67"/>
      <c r="I60" s="142"/>
      <c r="J60" s="46"/>
      <c r="K60" s="80"/>
      <c r="L60" s="151"/>
      <c r="M60" s="86"/>
      <c r="N60" s="86"/>
      <c r="O60" s="68"/>
      <c r="P60" s="68"/>
      <c r="Q60" s="129"/>
    </row>
    <row r="61" ht="60" spans="1:17">
      <c r="A61" s="70">
        <v>1</v>
      </c>
      <c r="B61" s="73" t="s">
        <v>334</v>
      </c>
      <c r="C61" s="72" t="s">
        <v>335</v>
      </c>
      <c r="D61" s="73" t="s">
        <v>130</v>
      </c>
      <c r="E61" s="74">
        <v>1</v>
      </c>
      <c r="F61" s="46"/>
      <c r="G61" s="46">
        <f t="shared" si="30"/>
        <v>241.052631578947</v>
      </c>
      <c r="H61" s="46">
        <v>241.052631578947</v>
      </c>
      <c r="I61" s="142">
        <v>0</v>
      </c>
      <c r="J61" s="46"/>
      <c r="K61" s="80"/>
      <c r="L61" s="151">
        <f t="shared" si="31"/>
        <v>21.6947368421052</v>
      </c>
      <c r="M61" s="80">
        <f t="shared" si="32"/>
        <v>262.747368421052</v>
      </c>
      <c r="N61" s="80">
        <f t="shared" si="33"/>
        <v>262.747368421052</v>
      </c>
      <c r="O61" s="74" t="s">
        <v>336</v>
      </c>
      <c r="P61" s="74" t="s">
        <v>337</v>
      </c>
      <c r="Q61" s="129" t="s">
        <v>40</v>
      </c>
    </row>
    <row r="62" spans="1:17">
      <c r="A62" s="68" t="s">
        <v>59</v>
      </c>
      <c r="B62" s="95" t="s">
        <v>36</v>
      </c>
      <c r="C62" s="95"/>
      <c r="D62" s="96"/>
      <c r="E62" s="96"/>
      <c r="F62" s="86"/>
      <c r="G62" s="86"/>
      <c r="H62" s="86"/>
      <c r="I62" s="162"/>
      <c r="J62" s="86"/>
      <c r="K62" s="86"/>
      <c r="L62" s="86"/>
      <c r="M62" s="86"/>
      <c r="N62" s="80">
        <f>SUM(N45:N61)</f>
        <v>4639.76261263158</v>
      </c>
      <c r="O62" s="96"/>
      <c r="P62" s="129"/>
      <c r="Q62" s="129"/>
    </row>
    <row r="63" ht="16.5" spans="1:17">
      <c r="A63" s="68" t="s">
        <v>61</v>
      </c>
      <c r="B63" s="127" t="s">
        <v>270</v>
      </c>
      <c r="C63" s="128"/>
      <c r="D63" s="130"/>
      <c r="E63" s="130"/>
      <c r="F63" s="133"/>
      <c r="G63" s="133"/>
      <c r="H63" s="133"/>
      <c r="I63" s="152"/>
      <c r="J63" s="133"/>
      <c r="K63" s="133"/>
      <c r="L63" s="133"/>
      <c r="M63" s="133"/>
      <c r="N63" s="153">
        <f>N62+N42</f>
        <v>20639.7626126316</v>
      </c>
      <c r="O63" s="130"/>
      <c r="P63" s="130"/>
      <c r="Q63" s="163"/>
    </row>
    <row r="64" s="103" customFormat="1" ht="32" customHeight="1" spans="1:17">
      <c r="A64" s="118" t="s">
        <v>338</v>
      </c>
      <c r="B64" s="118"/>
      <c r="C64" s="119"/>
      <c r="D64" s="118"/>
      <c r="E64" s="120"/>
      <c r="F64" s="121"/>
      <c r="G64" s="121"/>
      <c r="H64" s="121"/>
      <c r="I64" s="141"/>
      <c r="J64" s="121"/>
      <c r="K64" s="121"/>
      <c r="L64" s="121"/>
      <c r="M64" s="121"/>
      <c r="N64" s="121"/>
      <c r="O64" s="118"/>
      <c r="P64" s="118"/>
      <c r="Q64" s="118"/>
    </row>
    <row r="65" spans="1:17">
      <c r="A65" s="73">
        <v>1</v>
      </c>
      <c r="B65" s="73" t="s">
        <v>339</v>
      </c>
      <c r="C65" s="71"/>
      <c r="D65" s="73" t="s">
        <v>138</v>
      </c>
      <c r="E65" s="73">
        <v>1</v>
      </c>
      <c r="F65" s="167"/>
      <c r="G65" s="168"/>
      <c r="H65" s="167"/>
      <c r="I65" s="142"/>
      <c r="J65" s="185"/>
      <c r="K65" s="185"/>
      <c r="L65" s="185"/>
      <c r="M65" s="185">
        <v>356.33</v>
      </c>
      <c r="N65" s="185">
        <f t="shared" ref="N65:N72" si="34">E65*M65</f>
        <v>356.33</v>
      </c>
      <c r="O65" s="186" t="s">
        <v>120</v>
      </c>
      <c r="P65" s="186" t="s">
        <v>154</v>
      </c>
      <c r="Q65" s="197" t="s">
        <v>267</v>
      </c>
    </row>
    <row r="66" spans="1:17">
      <c r="A66" s="73">
        <v>2</v>
      </c>
      <c r="B66" s="73" t="s">
        <v>156</v>
      </c>
      <c r="C66" s="71" t="s">
        <v>340</v>
      </c>
      <c r="D66" s="73" t="s">
        <v>130</v>
      </c>
      <c r="E66" s="73">
        <v>1</v>
      </c>
      <c r="F66" s="167">
        <v>100</v>
      </c>
      <c r="G66" s="168">
        <f t="shared" ref="G66:G71" si="35">H66*(1+I66)</f>
        <v>181.8</v>
      </c>
      <c r="H66" s="167">
        <v>180</v>
      </c>
      <c r="I66" s="142">
        <v>0.01</v>
      </c>
      <c r="J66" s="185">
        <f t="shared" ref="J66:J71" si="36">(F66+G66)*1%</f>
        <v>2.818</v>
      </c>
      <c r="K66" s="185">
        <f t="shared" ref="K66:K71" si="37">(F66+G66+J66)*9%</f>
        <v>25.61562</v>
      </c>
      <c r="L66" s="185">
        <f t="shared" ref="L66:L71" si="38">(F66+G66+J66+K66)*9%</f>
        <v>27.9210258</v>
      </c>
      <c r="M66" s="185">
        <f t="shared" ref="M66:M71" si="39">F66+G66+J66+K66+L66</f>
        <v>338.1546458</v>
      </c>
      <c r="N66" s="185">
        <f t="shared" si="34"/>
        <v>338.1546458</v>
      </c>
      <c r="O66" s="70" t="s">
        <v>120</v>
      </c>
      <c r="P66" s="70" t="s">
        <v>156</v>
      </c>
      <c r="Q66" s="198" t="s">
        <v>265</v>
      </c>
    </row>
    <row r="67" spans="1:17">
      <c r="A67" s="73">
        <v>3</v>
      </c>
      <c r="B67" s="73" t="s">
        <v>341</v>
      </c>
      <c r="C67" s="71" t="s">
        <v>342</v>
      </c>
      <c r="D67" s="73" t="s">
        <v>130</v>
      </c>
      <c r="E67" s="73">
        <v>1</v>
      </c>
      <c r="F67" s="167"/>
      <c r="G67" s="168"/>
      <c r="H67" s="167"/>
      <c r="I67" s="142"/>
      <c r="J67" s="185"/>
      <c r="K67" s="185"/>
      <c r="L67" s="185"/>
      <c r="M67" s="185">
        <v>800</v>
      </c>
      <c r="N67" s="185">
        <f t="shared" si="34"/>
        <v>800</v>
      </c>
      <c r="O67" s="167" t="s">
        <v>120</v>
      </c>
      <c r="P67" s="167" t="s">
        <v>341</v>
      </c>
      <c r="Q67" s="197" t="s">
        <v>267</v>
      </c>
    </row>
    <row r="68" ht="60" spans="1:17">
      <c r="A68" s="73">
        <v>4</v>
      </c>
      <c r="B68" s="73" t="s">
        <v>166</v>
      </c>
      <c r="C68" s="71" t="s">
        <v>167</v>
      </c>
      <c r="D68" s="73" t="s">
        <v>114</v>
      </c>
      <c r="E68" s="169">
        <v>38.1</v>
      </c>
      <c r="F68" s="167">
        <v>1.2</v>
      </c>
      <c r="G68" s="168">
        <f t="shared" si="35"/>
        <v>1.7861052631579</v>
      </c>
      <c r="H68" s="167">
        <v>1.76842105263158</v>
      </c>
      <c r="I68" s="187">
        <v>0.01</v>
      </c>
      <c r="J68" s="185">
        <f t="shared" si="36"/>
        <v>0.029861052631579</v>
      </c>
      <c r="K68" s="185">
        <f t="shared" si="37"/>
        <v>0.271436968421053</v>
      </c>
      <c r="L68" s="185">
        <f t="shared" si="38"/>
        <v>0.295866295578947</v>
      </c>
      <c r="M68" s="185">
        <f t="shared" si="39"/>
        <v>3.58326957978947</v>
      </c>
      <c r="N68" s="185">
        <f t="shared" si="34"/>
        <v>136.522570989979</v>
      </c>
      <c r="O68" s="70" t="s">
        <v>115</v>
      </c>
      <c r="P68" s="70" t="s">
        <v>166</v>
      </c>
      <c r="Q68" s="197" t="s">
        <v>265</v>
      </c>
    </row>
    <row r="69" ht="60" spans="1:17">
      <c r="A69" s="73">
        <v>5</v>
      </c>
      <c r="B69" s="73" t="s">
        <v>171</v>
      </c>
      <c r="C69" s="71" t="s">
        <v>172</v>
      </c>
      <c r="D69" s="73" t="s">
        <v>114</v>
      </c>
      <c r="E69" s="169">
        <v>38.1</v>
      </c>
      <c r="F69" s="167">
        <v>1.2</v>
      </c>
      <c r="G69" s="168">
        <f t="shared" si="35"/>
        <v>2.11568421052631</v>
      </c>
      <c r="H69" s="167">
        <v>2.09473684210526</v>
      </c>
      <c r="I69" s="187">
        <v>0.01</v>
      </c>
      <c r="J69" s="185">
        <f t="shared" si="36"/>
        <v>0.0331568421052631</v>
      </c>
      <c r="K69" s="185">
        <f t="shared" si="37"/>
        <v>0.301395694736842</v>
      </c>
      <c r="L69" s="185">
        <f t="shared" si="38"/>
        <v>0.328521307263158</v>
      </c>
      <c r="M69" s="185">
        <f t="shared" si="39"/>
        <v>3.97875805463158</v>
      </c>
      <c r="N69" s="185">
        <f t="shared" si="34"/>
        <v>151.590681881463</v>
      </c>
      <c r="O69" s="46" t="s">
        <v>115</v>
      </c>
      <c r="P69" s="70" t="s">
        <v>171</v>
      </c>
      <c r="Q69" s="197" t="s">
        <v>265</v>
      </c>
    </row>
    <row r="70" s="103" customFormat="1" ht="46" customHeight="1" spans="1:17">
      <c r="A70" s="73">
        <v>6</v>
      </c>
      <c r="B70" s="122" t="s">
        <v>118</v>
      </c>
      <c r="C70" s="123" t="s">
        <v>256</v>
      </c>
      <c r="D70" s="122" t="s">
        <v>255</v>
      </c>
      <c r="E70" s="169">
        <v>9.3</v>
      </c>
      <c r="F70" s="167">
        <v>3</v>
      </c>
      <c r="G70" s="168">
        <f t="shared" si="35"/>
        <v>0.9393</v>
      </c>
      <c r="H70" s="167">
        <v>0.93</v>
      </c>
      <c r="I70" s="187">
        <v>0.01</v>
      </c>
      <c r="J70" s="185">
        <f t="shared" si="36"/>
        <v>0.039393</v>
      </c>
      <c r="K70" s="185">
        <f t="shared" si="37"/>
        <v>0.35808237</v>
      </c>
      <c r="L70" s="185">
        <f t="shared" si="38"/>
        <v>0.3903097833</v>
      </c>
      <c r="M70" s="185">
        <f t="shared" si="39"/>
        <v>4.7270851533</v>
      </c>
      <c r="N70" s="185">
        <f t="shared" si="34"/>
        <v>43.96189192569</v>
      </c>
      <c r="O70" s="144" t="s">
        <v>120</v>
      </c>
      <c r="P70" s="145" t="s">
        <v>118</v>
      </c>
      <c r="Q70" s="198" t="s">
        <v>265</v>
      </c>
    </row>
    <row r="71" ht="60" spans="1:17">
      <c r="A71" s="73">
        <v>7</v>
      </c>
      <c r="B71" s="73" t="s">
        <v>224</v>
      </c>
      <c r="C71" s="71" t="s">
        <v>225</v>
      </c>
      <c r="D71" s="73" t="s">
        <v>114</v>
      </c>
      <c r="E71" s="169">
        <v>25.1</v>
      </c>
      <c r="F71" s="167">
        <v>3</v>
      </c>
      <c r="G71" s="168">
        <f t="shared" si="35"/>
        <v>1.56284210526316</v>
      </c>
      <c r="H71" s="167">
        <v>1.54736842105263</v>
      </c>
      <c r="I71" s="187">
        <v>0.01</v>
      </c>
      <c r="J71" s="185">
        <f t="shared" si="36"/>
        <v>0.0456284210526316</v>
      </c>
      <c r="K71" s="185">
        <f t="shared" si="37"/>
        <v>0.414762347368421</v>
      </c>
      <c r="L71" s="185">
        <f t="shared" si="38"/>
        <v>0.452090958631579</v>
      </c>
      <c r="M71" s="185">
        <f t="shared" si="39"/>
        <v>5.47532383231579</v>
      </c>
      <c r="N71" s="185">
        <f t="shared" si="34"/>
        <v>137.430628191126</v>
      </c>
      <c r="O71" s="188" t="s">
        <v>120</v>
      </c>
      <c r="P71" s="188" t="s">
        <v>224</v>
      </c>
      <c r="Q71" s="198" t="s">
        <v>265</v>
      </c>
    </row>
    <row r="72" ht="24" spans="1:17">
      <c r="A72" s="73">
        <v>8</v>
      </c>
      <c r="B72" s="73" t="s">
        <v>343</v>
      </c>
      <c r="C72" s="71"/>
      <c r="D72" s="73" t="s">
        <v>138</v>
      </c>
      <c r="E72" s="73">
        <v>2</v>
      </c>
      <c r="F72" s="167"/>
      <c r="G72" s="168"/>
      <c r="H72" s="167"/>
      <c r="I72" s="142"/>
      <c r="J72" s="185"/>
      <c r="K72" s="185"/>
      <c r="L72" s="185"/>
      <c r="M72" s="185">
        <v>100</v>
      </c>
      <c r="N72" s="185">
        <f t="shared" si="34"/>
        <v>200</v>
      </c>
      <c r="O72" s="70" t="s">
        <v>124</v>
      </c>
      <c r="P72" s="70" t="s">
        <v>344</v>
      </c>
      <c r="Q72" s="197" t="s">
        <v>267</v>
      </c>
    </row>
    <row r="73" ht="24" spans="1:17">
      <c r="A73" s="73">
        <v>9</v>
      </c>
      <c r="B73" s="73" t="s">
        <v>345</v>
      </c>
      <c r="C73" s="72" t="s">
        <v>346</v>
      </c>
      <c r="D73" s="73" t="s">
        <v>138</v>
      </c>
      <c r="E73" s="70">
        <v>2</v>
      </c>
      <c r="F73" s="167">
        <v>200</v>
      </c>
      <c r="G73" s="168">
        <f>H73*(1+I73)</f>
        <v>878.7</v>
      </c>
      <c r="H73" s="167">
        <v>870</v>
      </c>
      <c r="I73" s="187">
        <v>0.01</v>
      </c>
      <c r="J73" s="185">
        <f>(F73+G73)*1%</f>
        <v>10.787</v>
      </c>
      <c r="K73" s="185">
        <f>(F73+G73+J73)*9%</f>
        <v>98.05383</v>
      </c>
      <c r="L73" s="185">
        <f>(F73+G73+J73+K73)*9%</f>
        <v>106.8786747</v>
      </c>
      <c r="M73" s="185">
        <f>F73+G73+J73+K73+L73</f>
        <v>1294.4195047</v>
      </c>
      <c r="N73" s="185">
        <f>M73*E73</f>
        <v>2588.8390094</v>
      </c>
      <c r="O73" s="70" t="s">
        <v>347</v>
      </c>
      <c r="P73" s="70" t="s">
        <v>345</v>
      </c>
      <c r="Q73" s="197" t="s">
        <v>267</v>
      </c>
    </row>
    <row r="74" ht="16.5" spans="1:17">
      <c r="A74" s="130"/>
      <c r="B74" s="131" t="s">
        <v>269</v>
      </c>
      <c r="C74" s="132"/>
      <c r="D74" s="130"/>
      <c r="E74" s="130"/>
      <c r="F74" s="133"/>
      <c r="G74" s="133"/>
      <c r="H74" s="133"/>
      <c r="I74" s="152"/>
      <c r="J74" s="133"/>
      <c r="K74" s="133"/>
      <c r="L74" s="133"/>
      <c r="M74" s="133"/>
      <c r="N74" s="133">
        <f>SUM(N65:N73)</f>
        <v>4752.82942818826</v>
      </c>
      <c r="O74" s="130"/>
      <c r="P74" s="130"/>
      <c r="Q74" s="163"/>
    </row>
    <row r="75" ht="16.5" spans="1:17">
      <c r="A75" s="170"/>
      <c r="B75" s="171" t="s">
        <v>270</v>
      </c>
      <c r="C75" s="172"/>
      <c r="D75" s="170"/>
      <c r="E75" s="170"/>
      <c r="F75" s="173"/>
      <c r="G75" s="173"/>
      <c r="H75" s="173"/>
      <c r="I75" s="189"/>
      <c r="J75" s="173"/>
      <c r="K75" s="173"/>
      <c r="L75" s="173"/>
      <c r="M75" s="173"/>
      <c r="N75" s="190">
        <v>4750</v>
      </c>
      <c r="O75" s="170"/>
      <c r="P75" s="170"/>
      <c r="Q75" s="199"/>
    </row>
    <row r="76" ht="51" customHeight="1" spans="1:17">
      <c r="A76" s="174" t="s">
        <v>348</v>
      </c>
      <c r="B76" s="174"/>
      <c r="C76" s="174"/>
      <c r="D76" s="174"/>
      <c r="E76" s="174"/>
      <c r="F76" s="174"/>
      <c r="G76" s="174"/>
      <c r="H76" s="174"/>
      <c r="I76" s="174"/>
      <c r="J76" s="174"/>
      <c r="K76" s="174"/>
      <c r="L76" s="174"/>
      <c r="M76" s="174"/>
      <c r="N76" s="174"/>
      <c r="O76" s="174"/>
      <c r="P76" s="174"/>
      <c r="Q76" s="174"/>
    </row>
    <row r="77" ht="24" customHeight="1" spans="1:17">
      <c r="A77" s="175">
        <v>1</v>
      </c>
      <c r="B77" s="175" t="s">
        <v>158</v>
      </c>
      <c r="C77" s="176"/>
      <c r="D77" s="175" t="s">
        <v>349</v>
      </c>
      <c r="E77" s="175">
        <v>1</v>
      </c>
      <c r="F77" s="175">
        <v>120</v>
      </c>
      <c r="G77" s="175">
        <v>252.5</v>
      </c>
      <c r="H77" s="175">
        <v>250</v>
      </c>
      <c r="I77" s="175">
        <v>0.01</v>
      </c>
      <c r="J77" s="175">
        <v>3.73</v>
      </c>
      <c r="K77" s="191">
        <v>33.86</v>
      </c>
      <c r="L77" s="191">
        <v>36.91</v>
      </c>
      <c r="M77" s="191">
        <v>446.99</v>
      </c>
      <c r="N77" s="191">
        <v>446.99</v>
      </c>
      <c r="O77" s="175" t="s">
        <v>120</v>
      </c>
      <c r="P77" s="175" t="s">
        <v>350</v>
      </c>
      <c r="Q77" s="200"/>
    </row>
    <row r="78" ht="24" customHeight="1" spans="1:17">
      <c r="A78" s="177">
        <v>2</v>
      </c>
      <c r="B78" s="177" t="s">
        <v>154</v>
      </c>
      <c r="C78" s="178"/>
      <c r="D78" s="177" t="s">
        <v>138</v>
      </c>
      <c r="E78" s="177">
        <v>1</v>
      </c>
      <c r="F78" s="177">
        <v>5</v>
      </c>
      <c r="G78" s="177">
        <v>3.72</v>
      </c>
      <c r="H78" s="177">
        <v>3.68</v>
      </c>
      <c r="I78" s="177">
        <v>0.01</v>
      </c>
      <c r="J78" s="177">
        <v>0.09</v>
      </c>
      <c r="K78" s="192">
        <v>0.79</v>
      </c>
      <c r="L78" s="192">
        <v>0.86</v>
      </c>
      <c r="M78" s="192">
        <v>10.47</v>
      </c>
      <c r="N78" s="192">
        <v>10.47</v>
      </c>
      <c r="O78" s="177" t="s">
        <v>120</v>
      </c>
      <c r="P78" s="177" t="s">
        <v>351</v>
      </c>
      <c r="Q78" s="179"/>
    </row>
    <row r="79" ht="24" customHeight="1" spans="1:17">
      <c r="A79" s="177">
        <v>3</v>
      </c>
      <c r="B79" s="177" t="s">
        <v>352</v>
      </c>
      <c r="C79" s="178"/>
      <c r="D79" s="177" t="s">
        <v>138</v>
      </c>
      <c r="E79" s="177">
        <v>9</v>
      </c>
      <c r="F79" s="177">
        <v>8</v>
      </c>
      <c r="G79" s="177">
        <v>3.72</v>
      </c>
      <c r="H79" s="177">
        <v>3.68</v>
      </c>
      <c r="I79" s="177">
        <v>0.01</v>
      </c>
      <c r="J79" s="177">
        <v>0.12</v>
      </c>
      <c r="K79" s="192">
        <v>1.07</v>
      </c>
      <c r="L79" s="192">
        <v>1.16</v>
      </c>
      <c r="M79" s="192">
        <v>14.07</v>
      </c>
      <c r="N79" s="192">
        <v>126.59</v>
      </c>
      <c r="O79" s="177" t="s">
        <v>120</v>
      </c>
      <c r="P79" s="177" t="s">
        <v>353</v>
      </c>
      <c r="Q79" s="177" t="s">
        <v>354</v>
      </c>
    </row>
    <row r="80" ht="24" customHeight="1" spans="1:17">
      <c r="A80" s="177">
        <v>4</v>
      </c>
      <c r="B80" s="177" t="s">
        <v>355</v>
      </c>
      <c r="C80" s="178"/>
      <c r="D80" s="177" t="s">
        <v>181</v>
      </c>
      <c r="E80" s="177">
        <v>1</v>
      </c>
      <c r="F80" s="177">
        <v>50</v>
      </c>
      <c r="G80" s="177">
        <v>252.5</v>
      </c>
      <c r="H80" s="177">
        <v>250</v>
      </c>
      <c r="I80" s="177">
        <v>0.01</v>
      </c>
      <c r="J80" s="177">
        <v>3.03</v>
      </c>
      <c r="K80" s="192">
        <v>27.5</v>
      </c>
      <c r="L80" s="192">
        <v>29.97</v>
      </c>
      <c r="M80" s="192">
        <v>362.99</v>
      </c>
      <c r="N80" s="192">
        <v>362.99</v>
      </c>
      <c r="O80" s="177" t="s">
        <v>139</v>
      </c>
      <c r="P80" s="177" t="s">
        <v>356</v>
      </c>
      <c r="Q80" s="179"/>
    </row>
    <row r="81" ht="24" customHeight="1" spans="1:17">
      <c r="A81" s="177">
        <v>5</v>
      </c>
      <c r="B81" s="177" t="s">
        <v>357</v>
      </c>
      <c r="C81" s="178"/>
      <c r="D81" s="177" t="s">
        <v>255</v>
      </c>
      <c r="E81" s="177">
        <v>160</v>
      </c>
      <c r="F81" s="177">
        <v>1.2</v>
      </c>
      <c r="G81" s="177">
        <v>1.47</v>
      </c>
      <c r="H81" s="177">
        <v>1.45</v>
      </c>
      <c r="I81" s="177">
        <v>0.01</v>
      </c>
      <c r="J81" s="177">
        <v>0.03</v>
      </c>
      <c r="K81" s="192">
        <v>0.24</v>
      </c>
      <c r="L81" s="192">
        <v>0.26</v>
      </c>
      <c r="M81" s="192">
        <v>3.2</v>
      </c>
      <c r="N81" s="192">
        <v>512.09</v>
      </c>
      <c r="O81" s="177" t="s">
        <v>115</v>
      </c>
      <c r="P81" s="177" t="s">
        <v>358</v>
      </c>
      <c r="Q81" s="179"/>
    </row>
    <row r="82" ht="24" customHeight="1" spans="1:17">
      <c r="A82" s="177">
        <v>6</v>
      </c>
      <c r="B82" s="177" t="s">
        <v>357</v>
      </c>
      <c r="C82" s="178"/>
      <c r="D82" s="177" t="s">
        <v>255</v>
      </c>
      <c r="E82" s="177">
        <v>90</v>
      </c>
      <c r="F82" s="177">
        <v>1.2</v>
      </c>
      <c r="G82" s="177">
        <v>1.12</v>
      </c>
      <c r="H82" s="177">
        <v>1.11</v>
      </c>
      <c r="I82" s="177">
        <v>0.01</v>
      </c>
      <c r="J82" s="177">
        <v>0.02</v>
      </c>
      <c r="K82" s="192">
        <v>0.21</v>
      </c>
      <c r="L82" s="192">
        <v>0.23</v>
      </c>
      <c r="M82" s="192">
        <v>2.78</v>
      </c>
      <c r="N82" s="192">
        <v>250.16</v>
      </c>
      <c r="O82" s="177" t="s">
        <v>115</v>
      </c>
      <c r="P82" s="177" t="s">
        <v>359</v>
      </c>
      <c r="Q82" s="179"/>
    </row>
    <row r="83" ht="24" customHeight="1" spans="1:17">
      <c r="A83" s="177">
        <v>7</v>
      </c>
      <c r="B83" s="177" t="s">
        <v>357</v>
      </c>
      <c r="C83" s="178"/>
      <c r="D83" s="177" t="s">
        <v>255</v>
      </c>
      <c r="E83" s="177">
        <v>10</v>
      </c>
      <c r="F83" s="177">
        <v>1.2</v>
      </c>
      <c r="G83" s="177">
        <v>3.95</v>
      </c>
      <c r="H83" s="177">
        <v>3.92</v>
      </c>
      <c r="I83" s="177">
        <v>0.01</v>
      </c>
      <c r="J83" s="177">
        <v>0.05</v>
      </c>
      <c r="K83" s="192">
        <v>0.47</v>
      </c>
      <c r="L83" s="192">
        <v>0.51</v>
      </c>
      <c r="M83" s="192">
        <v>6.19</v>
      </c>
      <c r="N83" s="192">
        <v>61.86</v>
      </c>
      <c r="O83" s="177" t="s">
        <v>115</v>
      </c>
      <c r="P83" s="177" t="s">
        <v>360</v>
      </c>
      <c r="Q83" s="179"/>
    </row>
    <row r="84" ht="24" customHeight="1" spans="1:17">
      <c r="A84" s="177">
        <v>8</v>
      </c>
      <c r="B84" s="177" t="s">
        <v>357</v>
      </c>
      <c r="C84" s="178"/>
      <c r="D84" s="177" t="s">
        <v>255</v>
      </c>
      <c r="E84" s="177">
        <v>170</v>
      </c>
      <c r="F84" s="177">
        <v>1.2</v>
      </c>
      <c r="G84" s="177">
        <v>2.12</v>
      </c>
      <c r="H84" s="177">
        <v>2.09</v>
      </c>
      <c r="I84" s="177">
        <v>0.01</v>
      </c>
      <c r="J84" s="177">
        <v>0.03</v>
      </c>
      <c r="K84" s="192">
        <v>0.3</v>
      </c>
      <c r="L84" s="192">
        <v>0.33</v>
      </c>
      <c r="M84" s="192">
        <v>3.98</v>
      </c>
      <c r="N84" s="192">
        <v>676.39</v>
      </c>
      <c r="O84" s="177" t="s">
        <v>115</v>
      </c>
      <c r="P84" s="177" t="s">
        <v>361</v>
      </c>
      <c r="Q84" s="179"/>
    </row>
    <row r="85" ht="24" customHeight="1" spans="1:17">
      <c r="A85" s="179"/>
      <c r="B85" s="177" t="s">
        <v>269</v>
      </c>
      <c r="C85" s="178"/>
      <c r="D85" s="179"/>
      <c r="E85" s="179"/>
      <c r="F85" s="179"/>
      <c r="G85" s="179"/>
      <c r="H85" s="179"/>
      <c r="I85" s="179"/>
      <c r="J85" s="179"/>
      <c r="K85" s="179"/>
      <c r="L85" s="179"/>
      <c r="M85" s="179"/>
      <c r="N85" s="193">
        <v>2447.53</v>
      </c>
      <c r="O85" s="179"/>
      <c r="P85" s="179"/>
      <c r="Q85" s="201"/>
    </row>
    <row r="86" ht="16.5" spans="1:17">
      <c r="A86" s="96"/>
      <c r="B86" s="127" t="s">
        <v>270</v>
      </c>
      <c r="C86" s="128"/>
      <c r="D86" s="129"/>
      <c r="E86" s="129"/>
      <c r="F86" s="80"/>
      <c r="G86" s="80"/>
      <c r="H86" s="80"/>
      <c r="I86" s="148"/>
      <c r="J86" s="80"/>
      <c r="K86" s="80"/>
      <c r="L86" s="80"/>
      <c r="M86" s="80"/>
      <c r="N86" s="194">
        <v>2440</v>
      </c>
      <c r="O86" s="129"/>
      <c r="P86" s="129"/>
      <c r="Q86" s="165"/>
    </row>
    <row r="87" s="104" customFormat="1" ht="29" customHeight="1" spans="1:18">
      <c r="A87" s="180" t="s">
        <v>83</v>
      </c>
      <c r="B87" s="181"/>
      <c r="C87" s="182"/>
      <c r="D87" s="181"/>
      <c r="E87" s="183"/>
      <c r="F87" s="184"/>
      <c r="G87" s="117"/>
      <c r="H87" s="117"/>
      <c r="I87" s="140"/>
      <c r="J87" s="184"/>
      <c r="K87" s="184"/>
      <c r="L87" s="184"/>
      <c r="M87" s="195"/>
      <c r="N87" s="194">
        <f>N14+N31+N42+N63+N75+N86</f>
        <v>114011.762612632</v>
      </c>
      <c r="O87" s="196"/>
      <c r="P87" s="196"/>
      <c r="Q87" s="196"/>
      <c r="R87" s="202"/>
    </row>
  </sheetData>
  <mergeCells count="37">
    <mergeCell ref="A1:Q1"/>
    <mergeCell ref="F2:L2"/>
    <mergeCell ref="A5:Q5"/>
    <mergeCell ref="B10:C10"/>
    <mergeCell ref="B11:C11"/>
    <mergeCell ref="B12:C12"/>
    <mergeCell ref="B13:C13"/>
    <mergeCell ref="B14:C14"/>
    <mergeCell ref="A15:Q15"/>
    <mergeCell ref="A26:Q26"/>
    <mergeCell ref="A32:Q32"/>
    <mergeCell ref="B33:Q33"/>
    <mergeCell ref="B42:C42"/>
    <mergeCell ref="B43:Q43"/>
    <mergeCell ref="B44:C44"/>
    <mergeCell ref="B48:C48"/>
    <mergeCell ref="B53:C53"/>
    <mergeCell ref="B57:C57"/>
    <mergeCell ref="B60:C60"/>
    <mergeCell ref="B62:C62"/>
    <mergeCell ref="B63:C63"/>
    <mergeCell ref="A64:Q64"/>
    <mergeCell ref="B75:C75"/>
    <mergeCell ref="A76:Q76"/>
    <mergeCell ref="B86:C86"/>
    <mergeCell ref="A87:E87"/>
    <mergeCell ref="A2:A4"/>
    <mergeCell ref="B2:B4"/>
    <mergeCell ref="C2:C4"/>
    <mergeCell ref="D2:D4"/>
    <mergeCell ref="E2:E4"/>
    <mergeCell ref="F3:F4"/>
    <mergeCell ref="J3:J4"/>
    <mergeCell ref="M2:M4"/>
    <mergeCell ref="N2:N4"/>
    <mergeCell ref="Q2:Q4"/>
    <mergeCell ref="O2:P4"/>
  </mergeCells>
  <pageMargins left="0.751388888888889" right="0.751388888888889" top="0.802777777777778" bottom="0.802777777777778" header="0.5" footer="0.5"/>
  <pageSetup paperSize="9" scale="54"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4"/>
  <sheetViews>
    <sheetView view="pageBreakPreview" zoomScale="145" zoomScaleNormal="80" workbookViewId="0">
      <pane ySplit="4" topLeftCell="A132" activePane="bottomLeft" state="frozen"/>
      <selection/>
      <selection pane="bottomLeft" activeCell="E139" sqref="E139:P139"/>
    </sheetView>
  </sheetViews>
  <sheetFormatPr defaultColWidth="10.2857142857143" defaultRowHeight="12"/>
  <cols>
    <col min="1" max="1" width="4.71428571428571" style="57" customWidth="1"/>
    <col min="2" max="2" width="18.5714285714286" style="58" customWidth="1"/>
    <col min="3" max="3" width="27.8571428571429" style="53" customWidth="1"/>
    <col min="4" max="4" width="2.71428571428571" style="57" customWidth="1"/>
    <col min="5" max="5" width="9.57142857142857" style="57" customWidth="1"/>
    <col min="6" max="6" width="11.7142857142857" style="59" customWidth="1"/>
    <col min="7" max="7" width="13.0095238095238" style="59" customWidth="1"/>
    <col min="8" max="8" width="12.8571428571429" style="59" customWidth="1"/>
    <col min="9" max="9" width="7.93333333333333" style="60" customWidth="1"/>
    <col min="10" max="10" width="9.83809523809524" style="59" customWidth="1"/>
    <col min="11" max="11" width="10.6380952380952" style="59" customWidth="1"/>
    <col min="12" max="12" width="10.9428571428571" style="59" customWidth="1"/>
    <col min="13" max="13" width="12.8571428571429" style="61" customWidth="1"/>
    <col min="14" max="14" width="17.447619047619" style="59" customWidth="1"/>
    <col min="15" max="15" width="9.14285714285714" style="53" customWidth="1"/>
    <col min="16" max="16" width="9.42857142857143" style="53" customWidth="1"/>
    <col min="17" max="16384" width="10.2857142857143" style="53"/>
  </cols>
  <sheetData>
    <row r="1" s="53" customFormat="1" spans="1:15">
      <c r="A1" s="62" t="s">
        <v>362</v>
      </c>
      <c r="B1" s="63"/>
      <c r="C1" s="62"/>
      <c r="D1" s="62"/>
      <c r="E1" s="62"/>
      <c r="F1" s="64"/>
      <c r="G1" s="64"/>
      <c r="H1" s="64"/>
      <c r="I1" s="81"/>
      <c r="J1" s="64"/>
      <c r="K1" s="64"/>
      <c r="L1" s="64"/>
      <c r="M1" s="64"/>
      <c r="N1" s="64"/>
      <c r="O1" s="62"/>
    </row>
    <row r="2" s="53" customFormat="1" spans="1:16">
      <c r="A2" s="65" t="s">
        <v>32</v>
      </c>
      <c r="B2" s="65" t="s">
        <v>92</v>
      </c>
      <c r="C2" s="65" t="s">
        <v>93</v>
      </c>
      <c r="D2" s="65" t="s">
        <v>94</v>
      </c>
      <c r="E2" s="66" t="s">
        <v>95</v>
      </c>
      <c r="F2" s="67" t="s">
        <v>96</v>
      </c>
      <c r="G2" s="67"/>
      <c r="H2" s="67"/>
      <c r="I2" s="82"/>
      <c r="J2" s="67"/>
      <c r="K2" s="67"/>
      <c r="L2" s="67"/>
      <c r="M2" s="67" t="s">
        <v>97</v>
      </c>
      <c r="N2" s="67" t="s">
        <v>98</v>
      </c>
      <c r="O2" s="83" t="s">
        <v>99</v>
      </c>
      <c r="P2" s="83"/>
    </row>
    <row r="3" s="53" customFormat="1" ht="56" customHeight="1" spans="1:16">
      <c r="A3" s="65"/>
      <c r="B3" s="65"/>
      <c r="C3" s="65"/>
      <c r="D3" s="65"/>
      <c r="E3" s="66"/>
      <c r="F3" s="67" t="s">
        <v>100</v>
      </c>
      <c r="G3" s="67" t="s">
        <v>101</v>
      </c>
      <c r="H3" s="67" t="s">
        <v>102</v>
      </c>
      <c r="I3" s="82" t="s">
        <v>103</v>
      </c>
      <c r="J3" s="67" t="s">
        <v>104</v>
      </c>
      <c r="K3" s="67" t="s">
        <v>105</v>
      </c>
      <c r="L3" s="67" t="s">
        <v>106</v>
      </c>
      <c r="M3" s="67"/>
      <c r="N3" s="67"/>
      <c r="O3" s="83"/>
      <c r="P3" s="83"/>
    </row>
    <row r="4" s="53" customFormat="1" ht="24" spans="1:16">
      <c r="A4" s="65"/>
      <c r="B4" s="65"/>
      <c r="C4" s="65"/>
      <c r="D4" s="65"/>
      <c r="E4" s="66"/>
      <c r="F4" s="67"/>
      <c r="G4" s="67" t="s">
        <v>107</v>
      </c>
      <c r="H4" s="67" t="s">
        <v>108</v>
      </c>
      <c r="I4" s="82" t="s">
        <v>363</v>
      </c>
      <c r="J4" s="67"/>
      <c r="K4" s="67"/>
      <c r="L4" s="67"/>
      <c r="M4" s="67"/>
      <c r="N4" s="67"/>
      <c r="O4" s="83"/>
      <c r="P4" s="83"/>
    </row>
    <row r="5" s="53" customFormat="1" spans="1:16">
      <c r="A5" s="68" t="s">
        <v>38</v>
      </c>
      <c r="B5" s="69" t="s">
        <v>364</v>
      </c>
      <c r="C5" s="69"/>
      <c r="D5" s="68"/>
      <c r="E5" s="68"/>
      <c r="F5" s="67"/>
      <c r="G5" s="67"/>
      <c r="H5" s="67"/>
      <c r="I5" s="82"/>
      <c r="J5" s="67"/>
      <c r="K5" s="84"/>
      <c r="L5" s="85"/>
      <c r="M5" s="86"/>
      <c r="N5" s="84"/>
      <c r="O5" s="87"/>
      <c r="P5" s="88"/>
    </row>
    <row r="6" s="53" customFormat="1" ht="84" outlineLevel="1" spans="1:16">
      <c r="A6" s="70">
        <v>1</v>
      </c>
      <c r="B6" s="71" t="s">
        <v>365</v>
      </c>
      <c r="C6" s="72" t="s">
        <v>366</v>
      </c>
      <c r="D6" s="73" t="s">
        <v>181</v>
      </c>
      <c r="E6" s="74">
        <v>3</v>
      </c>
      <c r="F6" s="46">
        <v>80</v>
      </c>
      <c r="G6" s="46">
        <f t="shared" ref="G6:G16" si="0">H6*(1+I6)</f>
        <v>340.21052631579</v>
      </c>
      <c r="H6" s="46">
        <v>336.842105263158</v>
      </c>
      <c r="I6" s="89">
        <v>0.01</v>
      </c>
      <c r="J6" s="46">
        <f t="shared" ref="J6:J16" si="1">(F6+G6)*1%</f>
        <v>4.2021052631579</v>
      </c>
      <c r="K6" s="90">
        <f t="shared" ref="K6:K69" si="2">(F6+G6+J6)*9%</f>
        <v>38.1971368421053</v>
      </c>
      <c r="L6" s="91">
        <f t="shared" ref="L6:L16" si="3">(F6+G6+J6+K6)*9%</f>
        <v>41.6348791578947</v>
      </c>
      <c r="M6" s="80">
        <f t="shared" ref="M6:M16" si="4">F6+G6+J6+K6+L6</f>
        <v>504.244647578947</v>
      </c>
      <c r="N6" s="80">
        <f t="shared" ref="N6:N16" si="5">M6*E6</f>
        <v>1512.73394273684</v>
      </c>
      <c r="O6" s="74" t="s">
        <v>120</v>
      </c>
      <c r="P6" s="74" t="s">
        <v>365</v>
      </c>
    </row>
    <row r="7" s="53" customFormat="1" ht="96" outlineLevel="1" spans="1:16">
      <c r="A7" s="70">
        <v>2</v>
      </c>
      <c r="B7" s="71" t="s">
        <v>128</v>
      </c>
      <c r="C7" s="75" t="s">
        <v>132</v>
      </c>
      <c r="D7" s="73" t="s">
        <v>133</v>
      </c>
      <c r="E7" s="70">
        <v>2</v>
      </c>
      <c r="F7" s="46">
        <v>80</v>
      </c>
      <c r="G7" s="46">
        <f t="shared" si="0"/>
        <v>574.105263157895</v>
      </c>
      <c r="H7" s="46">
        <v>568.421052631579</v>
      </c>
      <c r="I7" s="89">
        <v>0.01</v>
      </c>
      <c r="J7" s="46">
        <f t="shared" si="1"/>
        <v>6.54105263157895</v>
      </c>
      <c r="K7" s="90">
        <f t="shared" si="2"/>
        <v>59.4581684210526</v>
      </c>
      <c r="L7" s="91">
        <f t="shared" si="3"/>
        <v>64.8094035789474</v>
      </c>
      <c r="M7" s="80">
        <f t="shared" si="4"/>
        <v>784.913887789474</v>
      </c>
      <c r="N7" s="80">
        <f t="shared" si="5"/>
        <v>1569.82777557895</v>
      </c>
      <c r="O7" s="74" t="s">
        <v>120</v>
      </c>
      <c r="P7" s="70" t="s">
        <v>134</v>
      </c>
    </row>
    <row r="8" s="53" customFormat="1" ht="96" outlineLevel="1" spans="1:16">
      <c r="A8" s="70">
        <v>3</v>
      </c>
      <c r="B8" s="71" t="s">
        <v>367</v>
      </c>
      <c r="C8" s="72" t="s">
        <v>368</v>
      </c>
      <c r="D8" s="73" t="s">
        <v>138</v>
      </c>
      <c r="E8" s="70">
        <v>1</v>
      </c>
      <c r="F8" s="46">
        <v>300</v>
      </c>
      <c r="G8" s="46">
        <f t="shared" si="0"/>
        <v>30249.5</v>
      </c>
      <c r="H8" s="46">
        <v>29950</v>
      </c>
      <c r="I8" s="89">
        <v>0.01</v>
      </c>
      <c r="J8" s="46">
        <f t="shared" si="1"/>
        <v>305.495</v>
      </c>
      <c r="K8" s="90">
        <f t="shared" si="2"/>
        <v>2776.94955</v>
      </c>
      <c r="L8" s="91">
        <f t="shared" si="3"/>
        <v>3026.8750095</v>
      </c>
      <c r="M8" s="80">
        <f t="shared" si="4"/>
        <v>36658.8195595</v>
      </c>
      <c r="N8" s="80">
        <f t="shared" si="5"/>
        <v>36658.8195595</v>
      </c>
      <c r="O8" s="46" t="s">
        <v>185</v>
      </c>
      <c r="P8" s="46" t="s">
        <v>369</v>
      </c>
    </row>
    <row r="9" s="53" customFormat="1" ht="96" outlineLevel="1" spans="1:16">
      <c r="A9" s="70">
        <v>4</v>
      </c>
      <c r="B9" s="71" t="s">
        <v>370</v>
      </c>
      <c r="C9" s="72" t="s">
        <v>371</v>
      </c>
      <c r="D9" s="73" t="s">
        <v>181</v>
      </c>
      <c r="E9" s="70">
        <v>1</v>
      </c>
      <c r="F9" s="46">
        <v>800</v>
      </c>
      <c r="G9" s="46">
        <f t="shared" si="0"/>
        <v>30754.5</v>
      </c>
      <c r="H9" s="46">
        <v>30450</v>
      </c>
      <c r="I9" s="89">
        <v>0.01</v>
      </c>
      <c r="J9" s="46">
        <f t="shared" si="1"/>
        <v>315.545</v>
      </c>
      <c r="K9" s="90">
        <f t="shared" si="2"/>
        <v>2868.30405</v>
      </c>
      <c r="L9" s="91">
        <f t="shared" si="3"/>
        <v>3126.4514145</v>
      </c>
      <c r="M9" s="80">
        <f t="shared" si="4"/>
        <v>37864.8004645</v>
      </c>
      <c r="N9" s="80">
        <f t="shared" si="5"/>
        <v>37864.8004645</v>
      </c>
      <c r="O9" s="70" t="s">
        <v>372</v>
      </c>
      <c r="P9" s="70" t="s">
        <v>373</v>
      </c>
    </row>
    <row r="10" s="53" customFormat="1" ht="72" outlineLevel="1" spans="1:16">
      <c r="A10" s="70">
        <v>5</v>
      </c>
      <c r="B10" s="71" t="s">
        <v>374</v>
      </c>
      <c r="C10" s="72" t="s">
        <v>375</v>
      </c>
      <c r="D10" s="73" t="s">
        <v>181</v>
      </c>
      <c r="E10" s="70">
        <v>1</v>
      </c>
      <c r="F10" s="46">
        <v>200</v>
      </c>
      <c r="G10" s="46">
        <f t="shared" si="0"/>
        <v>1275.78947368421</v>
      </c>
      <c r="H10" s="46">
        <v>1263.15789473684</v>
      </c>
      <c r="I10" s="89">
        <v>0.01</v>
      </c>
      <c r="J10" s="46">
        <f t="shared" si="1"/>
        <v>14.7578947368421</v>
      </c>
      <c r="K10" s="90">
        <f t="shared" si="2"/>
        <v>134.149263157895</v>
      </c>
      <c r="L10" s="91">
        <f t="shared" si="3"/>
        <v>146.222696842105</v>
      </c>
      <c r="M10" s="80">
        <f t="shared" si="4"/>
        <v>1770.91932842105</v>
      </c>
      <c r="N10" s="80">
        <f t="shared" si="5"/>
        <v>1770.91932842105</v>
      </c>
      <c r="O10" s="74" t="s">
        <v>120</v>
      </c>
      <c r="P10" s="70" t="s">
        <v>374</v>
      </c>
    </row>
    <row r="11" s="53" customFormat="1" ht="84" outlineLevel="1" spans="1:16">
      <c r="A11" s="70">
        <v>6</v>
      </c>
      <c r="B11" s="71" t="s">
        <v>376</v>
      </c>
      <c r="C11" s="72" t="s">
        <v>377</v>
      </c>
      <c r="D11" s="73" t="s">
        <v>130</v>
      </c>
      <c r="E11" s="73">
        <v>1</v>
      </c>
      <c r="F11" s="46">
        <v>200</v>
      </c>
      <c r="G11" s="46">
        <f t="shared" si="0"/>
        <v>1161.5</v>
      </c>
      <c r="H11" s="46">
        <v>1150</v>
      </c>
      <c r="I11" s="89">
        <v>0.01</v>
      </c>
      <c r="J11" s="46">
        <f t="shared" si="1"/>
        <v>13.615</v>
      </c>
      <c r="K11" s="90">
        <f t="shared" si="2"/>
        <v>123.76035</v>
      </c>
      <c r="L11" s="91">
        <f t="shared" si="3"/>
        <v>134.8987815</v>
      </c>
      <c r="M11" s="80">
        <f t="shared" si="4"/>
        <v>1633.7741315</v>
      </c>
      <c r="N11" s="80">
        <f t="shared" si="5"/>
        <v>1633.7741315</v>
      </c>
      <c r="O11" s="74" t="s">
        <v>120</v>
      </c>
      <c r="P11" s="73" t="s">
        <v>378</v>
      </c>
    </row>
    <row r="12" s="53" customFormat="1" ht="84" outlineLevel="1" spans="1:16">
      <c r="A12" s="70">
        <v>7</v>
      </c>
      <c r="B12" s="71" t="s">
        <v>379</v>
      </c>
      <c r="C12" s="72" t="s">
        <v>380</v>
      </c>
      <c r="D12" s="73" t="s">
        <v>381</v>
      </c>
      <c r="E12" s="73">
        <v>1</v>
      </c>
      <c r="F12" s="46">
        <v>1000</v>
      </c>
      <c r="G12" s="46">
        <f t="shared" si="0"/>
        <v>3986.84210526316</v>
      </c>
      <c r="H12" s="46">
        <v>3947.36842105263</v>
      </c>
      <c r="I12" s="89">
        <v>0.01</v>
      </c>
      <c r="J12" s="46">
        <f t="shared" si="1"/>
        <v>49.8684210526316</v>
      </c>
      <c r="K12" s="90">
        <f t="shared" si="2"/>
        <v>453.303947368421</v>
      </c>
      <c r="L12" s="91">
        <f t="shared" si="3"/>
        <v>494.101302631579</v>
      </c>
      <c r="M12" s="80">
        <f t="shared" si="4"/>
        <v>5984.11577631579</v>
      </c>
      <c r="N12" s="80">
        <f t="shared" si="5"/>
        <v>5984.11577631579</v>
      </c>
      <c r="O12" s="74" t="s">
        <v>120</v>
      </c>
      <c r="P12" s="73" t="s">
        <v>379</v>
      </c>
    </row>
    <row r="13" s="53" customFormat="1" ht="120" outlineLevel="1" spans="1:16">
      <c r="A13" s="70">
        <v>8</v>
      </c>
      <c r="B13" s="71" t="s">
        <v>382</v>
      </c>
      <c r="C13" s="72" t="s">
        <v>383</v>
      </c>
      <c r="D13" s="73" t="s">
        <v>130</v>
      </c>
      <c r="E13" s="73">
        <v>3</v>
      </c>
      <c r="F13" s="46"/>
      <c r="G13" s="46">
        <f t="shared" si="0"/>
        <v>4784.21052631579</v>
      </c>
      <c r="H13" s="46">
        <v>4736.84210526316</v>
      </c>
      <c r="I13" s="89">
        <v>0.01</v>
      </c>
      <c r="J13" s="46">
        <f t="shared" si="1"/>
        <v>47.8421052631579</v>
      </c>
      <c r="K13" s="90">
        <f t="shared" si="2"/>
        <v>434.884736842105</v>
      </c>
      <c r="L13" s="91">
        <f t="shared" si="3"/>
        <v>474.024363157895</v>
      </c>
      <c r="M13" s="80">
        <f t="shared" si="4"/>
        <v>5740.96173157895</v>
      </c>
      <c r="N13" s="80">
        <f t="shared" si="5"/>
        <v>17222.8851947369</v>
      </c>
      <c r="O13" s="73" t="s">
        <v>384</v>
      </c>
      <c r="P13" s="73" t="s">
        <v>176</v>
      </c>
    </row>
    <row r="14" s="53" customFormat="1" ht="96" outlineLevel="1" spans="1:16">
      <c r="A14" s="70">
        <v>9</v>
      </c>
      <c r="B14" s="76" t="s">
        <v>385</v>
      </c>
      <c r="C14" s="72" t="s">
        <v>386</v>
      </c>
      <c r="D14" s="73" t="s">
        <v>181</v>
      </c>
      <c r="E14" s="70">
        <v>1</v>
      </c>
      <c r="F14" s="46">
        <v>150</v>
      </c>
      <c r="G14" s="46">
        <f t="shared" si="0"/>
        <v>1275.78947368421</v>
      </c>
      <c r="H14" s="46">
        <v>1263.15789473684</v>
      </c>
      <c r="I14" s="89">
        <v>0.01</v>
      </c>
      <c r="J14" s="46">
        <f t="shared" si="1"/>
        <v>14.2578947368421</v>
      </c>
      <c r="K14" s="90">
        <f t="shared" si="2"/>
        <v>129.604263157895</v>
      </c>
      <c r="L14" s="91">
        <f t="shared" si="3"/>
        <v>141.268646842105</v>
      </c>
      <c r="M14" s="80">
        <f t="shared" si="4"/>
        <v>1710.92027842105</v>
      </c>
      <c r="N14" s="80">
        <f t="shared" si="5"/>
        <v>1710.92027842105</v>
      </c>
      <c r="O14" s="74" t="s">
        <v>120</v>
      </c>
      <c r="P14" s="70" t="s">
        <v>387</v>
      </c>
    </row>
    <row r="15" s="53" customFormat="1" ht="96" outlineLevel="1" spans="1:16">
      <c r="A15" s="70">
        <v>10</v>
      </c>
      <c r="B15" s="76" t="s">
        <v>388</v>
      </c>
      <c r="C15" s="72" t="s">
        <v>389</v>
      </c>
      <c r="D15" s="73" t="s">
        <v>181</v>
      </c>
      <c r="E15" s="70">
        <v>1</v>
      </c>
      <c r="F15" s="46">
        <v>150</v>
      </c>
      <c r="G15" s="46">
        <f t="shared" si="0"/>
        <v>1275.78947368421</v>
      </c>
      <c r="H15" s="46">
        <v>1263.15789473684</v>
      </c>
      <c r="I15" s="89">
        <v>0.01</v>
      </c>
      <c r="J15" s="46">
        <f t="shared" si="1"/>
        <v>14.2578947368421</v>
      </c>
      <c r="K15" s="90">
        <f t="shared" si="2"/>
        <v>129.604263157895</v>
      </c>
      <c r="L15" s="91">
        <f t="shared" si="3"/>
        <v>141.268646842105</v>
      </c>
      <c r="M15" s="80">
        <f t="shared" si="4"/>
        <v>1710.92027842105</v>
      </c>
      <c r="N15" s="80">
        <f t="shared" si="5"/>
        <v>1710.92027842105</v>
      </c>
      <c r="O15" s="74" t="s">
        <v>120</v>
      </c>
      <c r="P15" s="70" t="s">
        <v>390</v>
      </c>
    </row>
    <row r="16" s="53" customFormat="1" ht="96" outlineLevel="1" spans="1:16">
      <c r="A16" s="70">
        <v>11</v>
      </c>
      <c r="B16" s="71" t="s">
        <v>164</v>
      </c>
      <c r="C16" s="72" t="s">
        <v>165</v>
      </c>
      <c r="D16" s="73" t="s">
        <v>138</v>
      </c>
      <c r="E16" s="73">
        <v>3</v>
      </c>
      <c r="F16" s="46">
        <v>5</v>
      </c>
      <c r="G16" s="46">
        <f t="shared" si="0"/>
        <v>19.6684210526316</v>
      </c>
      <c r="H16" s="46">
        <v>19.4736842105263</v>
      </c>
      <c r="I16" s="89">
        <v>0.01</v>
      </c>
      <c r="J16" s="46">
        <f t="shared" si="1"/>
        <v>0.246684210526316</v>
      </c>
      <c r="K16" s="90">
        <f t="shared" si="2"/>
        <v>2.24235947368421</v>
      </c>
      <c r="L16" s="91">
        <f t="shared" si="3"/>
        <v>2.44417182631579</v>
      </c>
      <c r="M16" s="80">
        <f t="shared" si="4"/>
        <v>29.6016365631579</v>
      </c>
      <c r="N16" s="80">
        <f t="shared" si="5"/>
        <v>88.8049096894736</v>
      </c>
      <c r="O16" s="74" t="s">
        <v>120</v>
      </c>
      <c r="P16" s="73" t="s">
        <v>164</v>
      </c>
    </row>
    <row r="17" s="54" customFormat="1" spans="1:16">
      <c r="A17" s="68">
        <v>12</v>
      </c>
      <c r="B17" s="69" t="s">
        <v>391</v>
      </c>
      <c r="C17" s="69"/>
      <c r="D17" s="77"/>
      <c r="E17" s="68"/>
      <c r="F17" s="67"/>
      <c r="G17" s="46"/>
      <c r="H17" s="67"/>
      <c r="I17" s="89"/>
      <c r="J17" s="46"/>
      <c r="K17" s="90">
        <f t="shared" si="2"/>
        <v>0</v>
      </c>
      <c r="L17" s="91"/>
      <c r="M17" s="86"/>
      <c r="N17" s="86">
        <f>SUM(N6:N16)</f>
        <v>107728.521639821</v>
      </c>
      <c r="O17" s="68"/>
      <c r="P17" s="68"/>
    </row>
    <row r="18" s="53" customFormat="1" spans="1:16">
      <c r="A18" s="68" t="s">
        <v>44</v>
      </c>
      <c r="B18" s="69" t="s">
        <v>178</v>
      </c>
      <c r="C18" s="69"/>
      <c r="D18" s="68"/>
      <c r="E18" s="68"/>
      <c r="F18" s="67"/>
      <c r="G18" s="46"/>
      <c r="H18" s="67"/>
      <c r="I18" s="89"/>
      <c r="J18" s="46"/>
      <c r="K18" s="90">
        <f t="shared" si="2"/>
        <v>0</v>
      </c>
      <c r="L18" s="91"/>
      <c r="M18" s="86"/>
      <c r="N18" s="84"/>
      <c r="O18" s="68"/>
      <c r="P18" s="68"/>
    </row>
    <row r="19" s="53" customFormat="1" ht="84" outlineLevel="1" spans="1:16">
      <c r="A19" s="70">
        <v>1</v>
      </c>
      <c r="B19" s="78" t="s">
        <v>179</v>
      </c>
      <c r="C19" s="72" t="s">
        <v>180</v>
      </c>
      <c r="D19" s="73" t="s">
        <v>181</v>
      </c>
      <c r="E19" s="70">
        <v>6</v>
      </c>
      <c r="F19" s="46">
        <v>60</v>
      </c>
      <c r="G19" s="46">
        <f t="shared" ref="G19:G33" si="6">H19*(1+I19)</f>
        <v>101</v>
      </c>
      <c r="H19" s="46">
        <v>100</v>
      </c>
      <c r="I19" s="89">
        <v>0.01</v>
      </c>
      <c r="J19" s="46">
        <f t="shared" ref="J19:J33" si="7">(F19+G19)*1%</f>
        <v>1.61</v>
      </c>
      <c r="K19" s="90">
        <f t="shared" si="2"/>
        <v>14.6349</v>
      </c>
      <c r="L19" s="91">
        <f t="shared" ref="L19:L33" si="8">(F19+G19+J19+K19)*9%</f>
        <v>15.952041</v>
      </c>
      <c r="M19" s="80">
        <f t="shared" ref="M19:M33" si="9">F19+G19+J19+K19+L19</f>
        <v>193.196941</v>
      </c>
      <c r="N19" s="80">
        <f t="shared" ref="N19:N33" si="10">M19*E19</f>
        <v>1159.181646</v>
      </c>
      <c r="O19" s="74" t="s">
        <v>120</v>
      </c>
      <c r="P19" s="70" t="s">
        <v>179</v>
      </c>
    </row>
    <row r="20" s="53" customFormat="1" ht="84" outlineLevel="1" spans="1:16">
      <c r="A20" s="70">
        <v>2</v>
      </c>
      <c r="B20" s="78" t="s">
        <v>392</v>
      </c>
      <c r="C20" s="72" t="s">
        <v>393</v>
      </c>
      <c r="D20" s="73" t="s">
        <v>181</v>
      </c>
      <c r="E20" s="70">
        <v>4</v>
      </c>
      <c r="F20" s="46">
        <v>120</v>
      </c>
      <c r="G20" s="46">
        <f t="shared" si="6"/>
        <v>265.78947368421</v>
      </c>
      <c r="H20" s="46">
        <v>263.157894736842</v>
      </c>
      <c r="I20" s="89">
        <v>0.01</v>
      </c>
      <c r="J20" s="46">
        <f t="shared" si="7"/>
        <v>3.8578947368421</v>
      </c>
      <c r="K20" s="90">
        <f t="shared" si="2"/>
        <v>35.0682631578947</v>
      </c>
      <c r="L20" s="91">
        <f t="shared" si="8"/>
        <v>38.2244068421053</v>
      </c>
      <c r="M20" s="80">
        <f t="shared" si="9"/>
        <v>462.940038421053</v>
      </c>
      <c r="N20" s="80">
        <f t="shared" si="10"/>
        <v>1851.76015368421</v>
      </c>
      <c r="O20" s="74" t="s">
        <v>120</v>
      </c>
      <c r="P20" s="70" t="s">
        <v>392</v>
      </c>
    </row>
    <row r="21" s="53" customFormat="1" ht="84" outlineLevel="1" spans="1:16">
      <c r="A21" s="70">
        <v>3</v>
      </c>
      <c r="B21" s="78" t="s">
        <v>394</v>
      </c>
      <c r="C21" s="72" t="s">
        <v>395</v>
      </c>
      <c r="D21" s="73" t="s">
        <v>181</v>
      </c>
      <c r="E21" s="70">
        <v>39</v>
      </c>
      <c r="F21" s="46">
        <v>60</v>
      </c>
      <c r="G21" s="46">
        <f t="shared" si="6"/>
        <v>170.105263157895</v>
      </c>
      <c r="H21" s="46">
        <v>168.421052631579</v>
      </c>
      <c r="I21" s="89">
        <v>0.01</v>
      </c>
      <c r="J21" s="46">
        <f t="shared" si="7"/>
        <v>2.30105263157895</v>
      </c>
      <c r="K21" s="90">
        <f t="shared" si="2"/>
        <v>20.9165684210526</v>
      </c>
      <c r="L21" s="91">
        <f t="shared" si="8"/>
        <v>22.7990595789474</v>
      </c>
      <c r="M21" s="80">
        <f t="shared" si="9"/>
        <v>276.121943789474</v>
      </c>
      <c r="N21" s="80">
        <f t="shared" si="10"/>
        <v>10768.7558077895</v>
      </c>
      <c r="O21" s="74" t="s">
        <v>120</v>
      </c>
      <c r="P21" s="70" t="s">
        <v>394</v>
      </c>
    </row>
    <row r="22" s="53" customFormat="1" ht="84" outlineLevel="1" spans="1:16">
      <c r="A22" s="70">
        <v>4</v>
      </c>
      <c r="B22" s="78" t="s">
        <v>396</v>
      </c>
      <c r="C22" s="72" t="s">
        <v>397</v>
      </c>
      <c r="D22" s="73" t="s">
        <v>181</v>
      </c>
      <c r="E22" s="70">
        <f>89+1</f>
        <v>90</v>
      </c>
      <c r="F22" s="46">
        <v>60</v>
      </c>
      <c r="G22" s="46">
        <f t="shared" si="6"/>
        <v>85.0526315789474</v>
      </c>
      <c r="H22" s="46">
        <v>84.2105263157895</v>
      </c>
      <c r="I22" s="89">
        <v>0.01</v>
      </c>
      <c r="J22" s="46">
        <f t="shared" si="7"/>
        <v>1.45052631578947</v>
      </c>
      <c r="K22" s="90">
        <f t="shared" si="2"/>
        <v>13.1852842105263</v>
      </c>
      <c r="L22" s="91">
        <f t="shared" si="8"/>
        <v>14.3719597894737</v>
      </c>
      <c r="M22" s="80">
        <f t="shared" si="9"/>
        <v>174.060401894737</v>
      </c>
      <c r="N22" s="80">
        <f t="shared" si="10"/>
        <v>15665.4361705263</v>
      </c>
      <c r="O22" s="74" t="s">
        <v>120</v>
      </c>
      <c r="P22" s="70" t="s">
        <v>396</v>
      </c>
    </row>
    <row r="23" s="53" customFormat="1" ht="96" outlineLevel="1" spans="1:16">
      <c r="A23" s="70">
        <v>5</v>
      </c>
      <c r="B23" s="78" t="s">
        <v>398</v>
      </c>
      <c r="C23" s="72" t="s">
        <v>399</v>
      </c>
      <c r="D23" s="73" t="s">
        <v>130</v>
      </c>
      <c r="E23" s="70">
        <v>55</v>
      </c>
      <c r="F23" s="46">
        <v>20</v>
      </c>
      <c r="G23" s="46">
        <f t="shared" si="6"/>
        <v>326.38947368421</v>
      </c>
      <c r="H23" s="46">
        <v>323.157894736842</v>
      </c>
      <c r="I23" s="89">
        <v>0.01</v>
      </c>
      <c r="J23" s="46">
        <f t="shared" si="7"/>
        <v>3.4638947368421</v>
      </c>
      <c r="K23" s="90">
        <f t="shared" si="2"/>
        <v>31.4868031578947</v>
      </c>
      <c r="L23" s="91">
        <f t="shared" si="8"/>
        <v>34.3206154421053</v>
      </c>
      <c r="M23" s="80">
        <f t="shared" si="9"/>
        <v>415.660787021052</v>
      </c>
      <c r="N23" s="80">
        <f t="shared" si="10"/>
        <v>22861.3432861579</v>
      </c>
      <c r="O23" s="46" t="s">
        <v>185</v>
      </c>
      <c r="P23" s="46" t="s">
        <v>400</v>
      </c>
    </row>
    <row r="24" s="53" customFormat="1" ht="36" outlineLevel="1" spans="1:16">
      <c r="A24" s="70">
        <v>6</v>
      </c>
      <c r="B24" s="78" t="s">
        <v>401</v>
      </c>
      <c r="C24" s="72" t="s">
        <v>402</v>
      </c>
      <c r="D24" s="73" t="s">
        <v>130</v>
      </c>
      <c r="E24" s="70">
        <v>32</v>
      </c>
      <c r="F24" s="46">
        <v>25</v>
      </c>
      <c r="G24" s="46">
        <f t="shared" si="6"/>
        <v>676.7</v>
      </c>
      <c r="H24" s="46">
        <v>670</v>
      </c>
      <c r="I24" s="89">
        <v>0.01</v>
      </c>
      <c r="J24" s="46">
        <f t="shared" si="7"/>
        <v>7.017</v>
      </c>
      <c r="K24" s="90">
        <f t="shared" si="2"/>
        <v>63.78453</v>
      </c>
      <c r="L24" s="91">
        <f t="shared" si="8"/>
        <v>69.5251377</v>
      </c>
      <c r="M24" s="80">
        <f t="shared" si="9"/>
        <v>842.0266677</v>
      </c>
      <c r="N24" s="80">
        <f t="shared" si="10"/>
        <v>26944.8533664</v>
      </c>
      <c r="O24" s="46" t="s">
        <v>185</v>
      </c>
      <c r="P24" s="46" t="s">
        <v>403</v>
      </c>
    </row>
    <row r="25" s="53" customFormat="1" ht="96" outlineLevel="1" spans="1:16">
      <c r="A25" s="70">
        <v>7</v>
      </c>
      <c r="B25" s="78" t="s">
        <v>183</v>
      </c>
      <c r="C25" s="72" t="s">
        <v>404</v>
      </c>
      <c r="D25" s="73" t="s">
        <v>130</v>
      </c>
      <c r="E25" s="70">
        <f>6+4+3</f>
        <v>13</v>
      </c>
      <c r="F25" s="46">
        <v>30</v>
      </c>
      <c r="G25" s="46">
        <f t="shared" si="6"/>
        <v>989.8</v>
      </c>
      <c r="H25" s="46">
        <v>980</v>
      </c>
      <c r="I25" s="89">
        <v>0.01</v>
      </c>
      <c r="J25" s="46">
        <f t="shared" si="7"/>
        <v>10.198</v>
      </c>
      <c r="K25" s="90">
        <f t="shared" si="2"/>
        <v>92.69982</v>
      </c>
      <c r="L25" s="91">
        <f t="shared" si="8"/>
        <v>101.0428038</v>
      </c>
      <c r="M25" s="80">
        <f t="shared" si="9"/>
        <v>1223.7406238</v>
      </c>
      <c r="N25" s="80">
        <f t="shared" si="10"/>
        <v>15908.6281094</v>
      </c>
      <c r="O25" s="46" t="s">
        <v>185</v>
      </c>
      <c r="P25" s="46" t="s">
        <v>405</v>
      </c>
    </row>
    <row r="26" s="53" customFormat="1" ht="108" outlineLevel="1" spans="1:16">
      <c r="A26" s="70">
        <v>8</v>
      </c>
      <c r="B26" s="78" t="s">
        <v>406</v>
      </c>
      <c r="C26" s="72" t="s">
        <v>407</v>
      </c>
      <c r="D26" s="73" t="s">
        <v>130</v>
      </c>
      <c r="E26" s="70">
        <v>39</v>
      </c>
      <c r="F26" s="46">
        <v>30</v>
      </c>
      <c r="G26" s="46">
        <f t="shared" si="6"/>
        <v>909</v>
      </c>
      <c r="H26" s="46">
        <v>900</v>
      </c>
      <c r="I26" s="89">
        <v>0.01</v>
      </c>
      <c r="J26" s="46">
        <f t="shared" si="7"/>
        <v>9.39</v>
      </c>
      <c r="K26" s="90">
        <f t="shared" si="2"/>
        <v>85.3551</v>
      </c>
      <c r="L26" s="91">
        <f t="shared" si="8"/>
        <v>93.037059</v>
      </c>
      <c r="M26" s="80">
        <f t="shared" si="9"/>
        <v>1126.782159</v>
      </c>
      <c r="N26" s="80">
        <f t="shared" si="10"/>
        <v>43944.504201</v>
      </c>
      <c r="O26" s="46" t="s">
        <v>185</v>
      </c>
      <c r="P26" s="46" t="s">
        <v>408</v>
      </c>
    </row>
    <row r="27" s="53" customFormat="1" ht="96" outlineLevel="1" spans="1:16">
      <c r="A27" s="70">
        <v>9</v>
      </c>
      <c r="B27" s="78" t="s">
        <v>183</v>
      </c>
      <c r="C27" s="72" t="s">
        <v>409</v>
      </c>
      <c r="D27" s="73" t="s">
        <v>130</v>
      </c>
      <c r="E27" s="70">
        <v>38</v>
      </c>
      <c r="F27" s="46">
        <v>20</v>
      </c>
      <c r="G27" s="46">
        <f t="shared" si="6"/>
        <v>191.368421052631</v>
      </c>
      <c r="H27" s="46">
        <v>189.473684210526</v>
      </c>
      <c r="I27" s="89">
        <v>0.01</v>
      </c>
      <c r="J27" s="46">
        <f t="shared" si="7"/>
        <v>2.11368421052631</v>
      </c>
      <c r="K27" s="90">
        <f t="shared" si="2"/>
        <v>19.2133894736842</v>
      </c>
      <c r="L27" s="91">
        <f t="shared" si="8"/>
        <v>20.9425945263158</v>
      </c>
      <c r="M27" s="80">
        <f t="shared" si="9"/>
        <v>253.638089263157</v>
      </c>
      <c r="N27" s="80">
        <f t="shared" si="10"/>
        <v>9638.24739199998</v>
      </c>
      <c r="O27" s="46" t="s">
        <v>185</v>
      </c>
      <c r="P27" s="46" t="s">
        <v>278</v>
      </c>
    </row>
    <row r="28" s="53" customFormat="1" ht="108" outlineLevel="1" spans="1:16">
      <c r="A28" s="70">
        <v>10</v>
      </c>
      <c r="B28" s="78" t="s">
        <v>190</v>
      </c>
      <c r="C28" s="72" t="s">
        <v>191</v>
      </c>
      <c r="D28" s="73" t="s">
        <v>130</v>
      </c>
      <c r="E28" s="70">
        <v>50</v>
      </c>
      <c r="F28" s="46">
        <v>30</v>
      </c>
      <c r="G28" s="46">
        <f t="shared" si="6"/>
        <v>37.2105263157895</v>
      </c>
      <c r="H28" s="46">
        <v>36.8421052631579</v>
      </c>
      <c r="I28" s="89">
        <v>0.01</v>
      </c>
      <c r="J28" s="46">
        <f t="shared" si="7"/>
        <v>0.672105263157895</v>
      </c>
      <c r="K28" s="90">
        <f t="shared" si="2"/>
        <v>6.10943684210526</v>
      </c>
      <c r="L28" s="91">
        <f t="shared" si="8"/>
        <v>6.65928615789474</v>
      </c>
      <c r="M28" s="80">
        <f t="shared" si="9"/>
        <v>80.6513545789474</v>
      </c>
      <c r="N28" s="80">
        <f t="shared" si="10"/>
        <v>4032.56772894737</v>
      </c>
      <c r="O28" s="74" t="s">
        <v>120</v>
      </c>
      <c r="P28" s="70" t="s">
        <v>190</v>
      </c>
    </row>
    <row r="29" s="53" customFormat="1" ht="120" outlineLevel="1" spans="1:16">
      <c r="A29" s="70">
        <v>11</v>
      </c>
      <c r="B29" s="78" t="s">
        <v>128</v>
      </c>
      <c r="C29" s="72" t="s">
        <v>129</v>
      </c>
      <c r="D29" s="73" t="s">
        <v>130</v>
      </c>
      <c r="E29" s="70">
        <f>6+4+39</f>
        <v>49</v>
      </c>
      <c r="F29" s="46">
        <v>20</v>
      </c>
      <c r="G29" s="46">
        <f t="shared" si="6"/>
        <v>162.663157894736</v>
      </c>
      <c r="H29" s="46">
        <v>161.052631578947</v>
      </c>
      <c r="I29" s="89">
        <v>0.01</v>
      </c>
      <c r="J29" s="46">
        <f t="shared" si="7"/>
        <v>1.82663157894736</v>
      </c>
      <c r="K29" s="90">
        <f t="shared" si="2"/>
        <v>16.6040810526315</v>
      </c>
      <c r="L29" s="91">
        <f t="shared" si="8"/>
        <v>18.0984483473684</v>
      </c>
      <c r="M29" s="80">
        <f t="shared" si="9"/>
        <v>219.192318873684</v>
      </c>
      <c r="N29" s="80">
        <f t="shared" si="10"/>
        <v>10740.4236248105</v>
      </c>
      <c r="O29" s="74" t="s">
        <v>120</v>
      </c>
      <c r="P29" s="70" t="s">
        <v>128</v>
      </c>
    </row>
    <row r="30" s="53" customFormat="1" ht="60" outlineLevel="1" spans="1:16">
      <c r="A30" s="70">
        <v>12</v>
      </c>
      <c r="B30" s="78" t="s">
        <v>192</v>
      </c>
      <c r="C30" s="72" t="s">
        <v>193</v>
      </c>
      <c r="D30" s="73" t="s">
        <v>114</v>
      </c>
      <c r="E30" s="70">
        <f>8317.46+1601</f>
        <v>9918.46</v>
      </c>
      <c r="F30" s="46">
        <v>1.2</v>
      </c>
      <c r="G30" s="46">
        <f t="shared" si="6"/>
        <v>2.3937</v>
      </c>
      <c r="H30" s="46">
        <v>2.37</v>
      </c>
      <c r="I30" s="89">
        <v>0.01</v>
      </c>
      <c r="J30" s="46">
        <f t="shared" si="7"/>
        <v>0.035937</v>
      </c>
      <c r="K30" s="90">
        <f t="shared" si="2"/>
        <v>0.32666733</v>
      </c>
      <c r="L30" s="91">
        <f t="shared" si="8"/>
        <v>0.3560673897</v>
      </c>
      <c r="M30" s="80">
        <f t="shared" si="9"/>
        <v>4.3123717197</v>
      </c>
      <c r="N30" s="80">
        <f t="shared" si="10"/>
        <v>42772.0864069757</v>
      </c>
      <c r="O30" s="70" t="s">
        <v>120</v>
      </c>
      <c r="P30" s="70" t="s">
        <v>192</v>
      </c>
    </row>
    <row r="31" s="53" customFormat="1" ht="60" outlineLevel="1" spans="1:16">
      <c r="A31" s="70">
        <v>13</v>
      </c>
      <c r="B31" s="78" t="s">
        <v>410</v>
      </c>
      <c r="C31" s="72" t="s">
        <v>411</v>
      </c>
      <c r="D31" s="73" t="s">
        <v>114</v>
      </c>
      <c r="E31" s="70">
        <v>5242.53</v>
      </c>
      <c r="F31" s="46">
        <v>2</v>
      </c>
      <c r="G31" s="46">
        <f t="shared" si="6"/>
        <v>10.6847368421053</v>
      </c>
      <c r="H31" s="46">
        <v>10.5789473684211</v>
      </c>
      <c r="I31" s="89">
        <v>0.01</v>
      </c>
      <c r="J31" s="46">
        <f t="shared" si="7"/>
        <v>0.126847368421053</v>
      </c>
      <c r="K31" s="90">
        <f t="shared" si="2"/>
        <v>1.15304257894737</v>
      </c>
      <c r="L31" s="91">
        <f t="shared" si="8"/>
        <v>1.25681641105264</v>
      </c>
      <c r="M31" s="80">
        <f t="shared" si="9"/>
        <v>15.2214432005264</v>
      </c>
      <c r="N31" s="80">
        <f t="shared" si="10"/>
        <v>79798.8726220555</v>
      </c>
      <c r="O31" s="70" t="s">
        <v>120</v>
      </c>
      <c r="P31" s="70" t="s">
        <v>410</v>
      </c>
    </row>
    <row r="32" s="53" customFormat="1" ht="60" outlineLevel="1" spans="1:16">
      <c r="A32" s="70">
        <v>14</v>
      </c>
      <c r="B32" s="78" t="s">
        <v>112</v>
      </c>
      <c r="C32" s="72" t="s">
        <v>168</v>
      </c>
      <c r="D32" s="73" t="s">
        <v>114</v>
      </c>
      <c r="E32" s="70">
        <v>1235.4</v>
      </c>
      <c r="F32" s="46">
        <v>1.2</v>
      </c>
      <c r="G32" s="46">
        <f t="shared" si="6"/>
        <v>1.46715789473684</v>
      </c>
      <c r="H32" s="46">
        <v>1.45263157894737</v>
      </c>
      <c r="I32" s="89">
        <v>0.01</v>
      </c>
      <c r="J32" s="46">
        <f t="shared" si="7"/>
        <v>0.0266715789473684</v>
      </c>
      <c r="K32" s="90">
        <f t="shared" si="2"/>
        <v>0.242444652631579</v>
      </c>
      <c r="L32" s="91">
        <f t="shared" si="8"/>
        <v>0.264264671368421</v>
      </c>
      <c r="M32" s="80">
        <f t="shared" si="9"/>
        <v>3.20053879768421</v>
      </c>
      <c r="N32" s="80">
        <f t="shared" si="10"/>
        <v>3953.94563065908</v>
      </c>
      <c r="O32" s="70" t="s">
        <v>115</v>
      </c>
      <c r="P32" s="70" t="s">
        <v>112</v>
      </c>
    </row>
    <row r="33" s="53" customFormat="1" ht="60" outlineLevel="1" spans="1:16">
      <c r="A33" s="70">
        <v>15</v>
      </c>
      <c r="B33" s="78" t="s">
        <v>194</v>
      </c>
      <c r="C33" s="72" t="s">
        <v>195</v>
      </c>
      <c r="D33" s="73" t="s">
        <v>114</v>
      </c>
      <c r="E33" s="70">
        <v>2401.2</v>
      </c>
      <c r="F33" s="46">
        <v>1.2</v>
      </c>
      <c r="G33" s="46">
        <f t="shared" si="6"/>
        <v>2.72168421052631</v>
      </c>
      <c r="H33" s="46">
        <v>2.69473684210526</v>
      </c>
      <c r="I33" s="89">
        <v>0.01</v>
      </c>
      <c r="J33" s="46">
        <f t="shared" si="7"/>
        <v>0.0392168421052631</v>
      </c>
      <c r="K33" s="90">
        <f t="shared" si="2"/>
        <v>0.356481094736842</v>
      </c>
      <c r="L33" s="91">
        <f t="shared" si="8"/>
        <v>0.388564393263158</v>
      </c>
      <c r="M33" s="80">
        <f t="shared" si="9"/>
        <v>4.70594654063158</v>
      </c>
      <c r="N33" s="80">
        <f t="shared" si="10"/>
        <v>11299.9188333645</v>
      </c>
      <c r="O33" s="70" t="s">
        <v>120</v>
      </c>
      <c r="P33" s="70" t="s">
        <v>194</v>
      </c>
    </row>
    <row r="34" s="54" customFormat="1" spans="1:16">
      <c r="A34" s="70">
        <v>16</v>
      </c>
      <c r="B34" s="69" t="s">
        <v>391</v>
      </c>
      <c r="C34" s="69"/>
      <c r="D34" s="77"/>
      <c r="E34" s="68"/>
      <c r="F34" s="67"/>
      <c r="G34" s="46"/>
      <c r="H34" s="67"/>
      <c r="I34" s="89"/>
      <c r="J34" s="46"/>
      <c r="K34" s="90">
        <f t="shared" si="2"/>
        <v>0</v>
      </c>
      <c r="L34" s="91"/>
      <c r="M34" s="86"/>
      <c r="N34" s="86">
        <f>SUM(N19:N33)</f>
        <v>301340.524979771</v>
      </c>
      <c r="O34" s="68"/>
      <c r="P34" s="68"/>
    </row>
    <row r="35" s="53" customFormat="1" spans="1:16">
      <c r="A35" s="68" t="s">
        <v>47</v>
      </c>
      <c r="B35" s="69" t="s">
        <v>215</v>
      </c>
      <c r="C35" s="69"/>
      <c r="D35" s="68"/>
      <c r="E35" s="68"/>
      <c r="F35" s="67"/>
      <c r="G35" s="46"/>
      <c r="H35" s="67"/>
      <c r="I35" s="89"/>
      <c r="J35" s="46"/>
      <c r="K35" s="90">
        <f t="shared" si="2"/>
        <v>0</v>
      </c>
      <c r="L35" s="91"/>
      <c r="M35" s="86"/>
      <c r="N35" s="84"/>
      <c r="O35" s="68"/>
      <c r="P35" s="68"/>
    </row>
    <row r="36" s="53" customFormat="1" ht="96" outlineLevel="1" spans="1:16">
      <c r="A36" s="70">
        <v>1</v>
      </c>
      <c r="B36" s="71" t="s">
        <v>412</v>
      </c>
      <c r="C36" s="72" t="s">
        <v>413</v>
      </c>
      <c r="D36" s="73" t="s">
        <v>138</v>
      </c>
      <c r="E36" s="70">
        <v>89</v>
      </c>
      <c r="F36" s="46">
        <v>20</v>
      </c>
      <c r="G36" s="46">
        <f t="shared" ref="G36:G53" si="11">H36*(1+I36)</f>
        <v>169.68</v>
      </c>
      <c r="H36" s="46">
        <v>168</v>
      </c>
      <c r="I36" s="89">
        <v>0.01</v>
      </c>
      <c r="J36" s="46">
        <f t="shared" ref="J36:J53" si="12">(F36+G36)*1%</f>
        <v>1.8968</v>
      </c>
      <c r="K36" s="90">
        <f t="shared" si="2"/>
        <v>17.241912</v>
      </c>
      <c r="L36" s="91">
        <f t="shared" ref="L36:L53" si="13">(F36+G36+J36+K36)*9%</f>
        <v>18.79368408</v>
      </c>
      <c r="M36" s="80">
        <f t="shared" ref="M36:M53" si="14">F36+G36+J36+K36+L36</f>
        <v>227.61239608</v>
      </c>
      <c r="N36" s="80">
        <f t="shared" ref="N36:N53" si="15">M36*E36</f>
        <v>20257.50325112</v>
      </c>
      <c r="O36" s="46" t="s">
        <v>414</v>
      </c>
      <c r="P36" s="70" t="s">
        <v>412</v>
      </c>
    </row>
    <row r="37" s="53" customFormat="1" ht="72" outlineLevel="1" spans="1:16">
      <c r="A37" s="70">
        <v>2</v>
      </c>
      <c r="B37" s="71" t="s">
        <v>415</v>
      </c>
      <c r="C37" s="72" t="s">
        <v>416</v>
      </c>
      <c r="D37" s="73" t="s">
        <v>138</v>
      </c>
      <c r="E37" s="70">
        <v>76</v>
      </c>
      <c r="F37" s="46">
        <v>50</v>
      </c>
      <c r="G37" s="46">
        <f t="shared" si="11"/>
        <v>31.8947368421053</v>
      </c>
      <c r="H37" s="46">
        <v>31.5789473684211</v>
      </c>
      <c r="I37" s="89">
        <v>0.01</v>
      </c>
      <c r="J37" s="46">
        <f t="shared" si="12"/>
        <v>0.818947368421053</v>
      </c>
      <c r="K37" s="90">
        <f t="shared" si="2"/>
        <v>7.44423157894737</v>
      </c>
      <c r="L37" s="91">
        <f t="shared" si="13"/>
        <v>8.11421242105264</v>
      </c>
      <c r="M37" s="80">
        <f t="shared" si="14"/>
        <v>98.2721282105264</v>
      </c>
      <c r="N37" s="80">
        <f t="shared" si="15"/>
        <v>7468.681744</v>
      </c>
      <c r="O37" s="46" t="s">
        <v>417</v>
      </c>
      <c r="P37" s="70" t="s">
        <v>415</v>
      </c>
    </row>
    <row r="38" s="53" customFormat="1" ht="96" outlineLevel="1" spans="1:16">
      <c r="A38" s="70">
        <v>3</v>
      </c>
      <c r="B38" s="71" t="s">
        <v>287</v>
      </c>
      <c r="C38" s="72" t="s">
        <v>246</v>
      </c>
      <c r="D38" s="73" t="s">
        <v>138</v>
      </c>
      <c r="E38" s="70">
        <v>794</v>
      </c>
      <c r="F38" s="46">
        <v>5</v>
      </c>
      <c r="G38" s="46">
        <f t="shared" si="11"/>
        <v>217.15</v>
      </c>
      <c r="H38" s="46">
        <v>215</v>
      </c>
      <c r="I38" s="89">
        <v>0.01</v>
      </c>
      <c r="J38" s="46">
        <f t="shared" si="12"/>
        <v>2.2215</v>
      </c>
      <c r="K38" s="90">
        <f t="shared" si="2"/>
        <v>20.193435</v>
      </c>
      <c r="L38" s="91">
        <f t="shared" si="13"/>
        <v>22.01084415</v>
      </c>
      <c r="M38" s="80">
        <f t="shared" si="14"/>
        <v>266.57577915</v>
      </c>
      <c r="N38" s="80">
        <f t="shared" si="15"/>
        <v>211661.1686451</v>
      </c>
      <c r="O38" s="46" t="s">
        <v>151</v>
      </c>
      <c r="P38" s="70" t="s">
        <v>288</v>
      </c>
    </row>
    <row r="39" s="53" customFormat="1" ht="96" outlineLevel="1" spans="1:16">
      <c r="A39" s="70">
        <v>4</v>
      </c>
      <c r="B39" s="71" t="s">
        <v>240</v>
      </c>
      <c r="C39" s="72" t="s">
        <v>241</v>
      </c>
      <c r="D39" s="73" t="s">
        <v>138</v>
      </c>
      <c r="E39" s="70">
        <v>1454</v>
      </c>
      <c r="F39" s="46">
        <v>8</v>
      </c>
      <c r="G39" s="46">
        <f t="shared" si="11"/>
        <v>3.72105263157895</v>
      </c>
      <c r="H39" s="46">
        <v>3.68421052631579</v>
      </c>
      <c r="I39" s="89">
        <v>0.01</v>
      </c>
      <c r="J39" s="46">
        <f t="shared" si="12"/>
        <v>0.117210526315789</v>
      </c>
      <c r="K39" s="90">
        <f t="shared" si="2"/>
        <v>1.06544368421053</v>
      </c>
      <c r="L39" s="91">
        <f t="shared" si="13"/>
        <v>1.16133361578947</v>
      </c>
      <c r="M39" s="80">
        <f t="shared" si="14"/>
        <v>14.0650404578947</v>
      </c>
      <c r="N39" s="80">
        <f t="shared" si="15"/>
        <v>20450.5688257789</v>
      </c>
      <c r="O39" s="70" t="s">
        <v>120</v>
      </c>
      <c r="P39" s="70" t="s">
        <v>240</v>
      </c>
    </row>
    <row r="40" s="53" customFormat="1" ht="108" outlineLevel="1" spans="1:16">
      <c r="A40" s="70">
        <v>5</v>
      </c>
      <c r="B40" s="71" t="s">
        <v>161</v>
      </c>
      <c r="C40" s="72" t="s">
        <v>162</v>
      </c>
      <c r="D40" s="73" t="s">
        <v>138</v>
      </c>
      <c r="E40" s="70">
        <v>93</v>
      </c>
      <c r="F40" s="46">
        <v>80</v>
      </c>
      <c r="G40" s="46">
        <f t="shared" si="11"/>
        <v>1593.78</v>
      </c>
      <c r="H40" s="46">
        <v>1578</v>
      </c>
      <c r="I40" s="89">
        <v>0.01</v>
      </c>
      <c r="J40" s="46">
        <f t="shared" si="12"/>
        <v>16.7378</v>
      </c>
      <c r="K40" s="90">
        <f t="shared" si="2"/>
        <v>152.146602</v>
      </c>
      <c r="L40" s="91">
        <f t="shared" si="13"/>
        <v>165.83979618</v>
      </c>
      <c r="M40" s="80">
        <f t="shared" si="14"/>
        <v>2008.50419818</v>
      </c>
      <c r="N40" s="80">
        <f t="shared" si="15"/>
        <v>186790.89043074</v>
      </c>
      <c r="O40" s="46" t="s">
        <v>151</v>
      </c>
      <c r="P40" s="70" t="s">
        <v>163</v>
      </c>
    </row>
    <row r="41" s="53" customFormat="1" ht="96" outlineLevel="1" spans="1:16">
      <c r="A41" s="70">
        <v>6</v>
      </c>
      <c r="B41" s="71" t="s">
        <v>149</v>
      </c>
      <c r="C41" s="72" t="s">
        <v>150</v>
      </c>
      <c r="D41" s="73" t="s">
        <v>138</v>
      </c>
      <c r="E41" s="70">
        <v>36</v>
      </c>
      <c r="F41" s="46">
        <v>30</v>
      </c>
      <c r="G41" s="46">
        <f t="shared" si="11"/>
        <v>297.684210526316</v>
      </c>
      <c r="H41" s="46">
        <v>294.736842105263</v>
      </c>
      <c r="I41" s="89">
        <v>0.01</v>
      </c>
      <c r="J41" s="46">
        <f t="shared" si="12"/>
        <v>3.27684210526316</v>
      </c>
      <c r="K41" s="90">
        <f t="shared" si="2"/>
        <v>29.7864947368421</v>
      </c>
      <c r="L41" s="91">
        <f t="shared" si="13"/>
        <v>32.4672792631579</v>
      </c>
      <c r="M41" s="80">
        <f t="shared" si="14"/>
        <v>393.214826631579</v>
      </c>
      <c r="N41" s="80">
        <f t="shared" si="15"/>
        <v>14155.7337587368</v>
      </c>
      <c r="O41" s="46" t="s">
        <v>151</v>
      </c>
      <c r="P41" s="70" t="s">
        <v>152</v>
      </c>
    </row>
    <row r="42" s="53" customFormat="1" ht="84" outlineLevel="1" spans="1:16">
      <c r="A42" s="70">
        <v>7</v>
      </c>
      <c r="B42" s="71" t="s">
        <v>154</v>
      </c>
      <c r="C42" s="72" t="s">
        <v>155</v>
      </c>
      <c r="D42" s="73" t="s">
        <v>138</v>
      </c>
      <c r="E42" s="70">
        <v>129</v>
      </c>
      <c r="F42" s="46">
        <v>5</v>
      </c>
      <c r="G42" s="46">
        <f t="shared" si="11"/>
        <v>3.72105263157895</v>
      </c>
      <c r="H42" s="46">
        <v>3.68421052631579</v>
      </c>
      <c r="I42" s="89">
        <v>0.01</v>
      </c>
      <c r="J42" s="46">
        <f t="shared" si="12"/>
        <v>0.0872105263157895</v>
      </c>
      <c r="K42" s="90">
        <f t="shared" si="2"/>
        <v>0.792743684210526</v>
      </c>
      <c r="L42" s="91">
        <f t="shared" si="13"/>
        <v>0.864090615789474</v>
      </c>
      <c r="M42" s="80">
        <f t="shared" si="14"/>
        <v>10.4650974578947</v>
      </c>
      <c r="N42" s="80">
        <f t="shared" si="15"/>
        <v>1349.99757206842</v>
      </c>
      <c r="O42" s="70" t="s">
        <v>120</v>
      </c>
      <c r="P42" s="70" t="s">
        <v>154</v>
      </c>
    </row>
    <row r="43" s="53" customFormat="1" ht="72" outlineLevel="1" spans="1:16">
      <c r="A43" s="70">
        <v>8</v>
      </c>
      <c r="B43" s="71" t="s">
        <v>156</v>
      </c>
      <c r="C43" s="72" t="s">
        <v>157</v>
      </c>
      <c r="D43" s="73" t="s">
        <v>138</v>
      </c>
      <c r="E43" s="70">
        <v>79</v>
      </c>
      <c r="F43" s="46">
        <v>100</v>
      </c>
      <c r="G43" s="46">
        <f t="shared" si="11"/>
        <v>181.8</v>
      </c>
      <c r="H43" s="46">
        <v>180</v>
      </c>
      <c r="I43" s="89">
        <v>0.01</v>
      </c>
      <c r="J43" s="46">
        <f t="shared" si="12"/>
        <v>2.818</v>
      </c>
      <c r="K43" s="90">
        <f t="shared" si="2"/>
        <v>25.61562</v>
      </c>
      <c r="L43" s="91">
        <f t="shared" si="13"/>
        <v>27.9210258</v>
      </c>
      <c r="M43" s="80">
        <f t="shared" si="14"/>
        <v>338.1546458</v>
      </c>
      <c r="N43" s="80">
        <f t="shared" si="15"/>
        <v>26714.2170182</v>
      </c>
      <c r="O43" s="70" t="s">
        <v>120</v>
      </c>
      <c r="P43" s="70" t="s">
        <v>156</v>
      </c>
    </row>
    <row r="44" s="53" customFormat="1" ht="72" outlineLevel="1" spans="1:16">
      <c r="A44" s="70">
        <v>9</v>
      </c>
      <c r="B44" s="71" t="s">
        <v>158</v>
      </c>
      <c r="C44" s="72" t="s">
        <v>159</v>
      </c>
      <c r="D44" s="73" t="s">
        <v>138</v>
      </c>
      <c r="E44" s="70">
        <v>50</v>
      </c>
      <c r="F44" s="46">
        <v>120</v>
      </c>
      <c r="G44" s="46">
        <f t="shared" si="11"/>
        <v>252.5</v>
      </c>
      <c r="H44" s="46">
        <v>250</v>
      </c>
      <c r="I44" s="89">
        <v>0.01</v>
      </c>
      <c r="J44" s="46">
        <f t="shared" si="12"/>
        <v>3.725</v>
      </c>
      <c r="K44" s="90">
        <f t="shared" si="2"/>
        <v>33.86025</v>
      </c>
      <c r="L44" s="91">
        <f t="shared" si="13"/>
        <v>36.9076725</v>
      </c>
      <c r="M44" s="80">
        <f t="shared" si="14"/>
        <v>446.9929225</v>
      </c>
      <c r="N44" s="80">
        <f t="shared" si="15"/>
        <v>22349.646125</v>
      </c>
      <c r="O44" s="70" t="s">
        <v>120</v>
      </c>
      <c r="P44" s="70" t="s">
        <v>158</v>
      </c>
    </row>
    <row r="45" s="53" customFormat="1" ht="96" outlineLevel="1" spans="1:16">
      <c r="A45" s="70">
        <v>10</v>
      </c>
      <c r="B45" s="71" t="s">
        <v>418</v>
      </c>
      <c r="C45" s="72" t="s">
        <v>419</v>
      </c>
      <c r="D45" s="73" t="s">
        <v>130</v>
      </c>
      <c r="E45" s="70">
        <v>1</v>
      </c>
      <c r="F45" s="46">
        <v>300</v>
      </c>
      <c r="G45" s="46">
        <f t="shared" si="11"/>
        <v>2657.8947368421</v>
      </c>
      <c r="H45" s="46">
        <v>2631.57894736842</v>
      </c>
      <c r="I45" s="89">
        <v>0.01</v>
      </c>
      <c r="J45" s="46">
        <f t="shared" si="12"/>
        <v>29.578947368421</v>
      </c>
      <c r="K45" s="90">
        <f t="shared" si="2"/>
        <v>268.872631578947</v>
      </c>
      <c r="L45" s="91">
        <f t="shared" si="13"/>
        <v>293.071168421053</v>
      </c>
      <c r="M45" s="80">
        <f t="shared" si="14"/>
        <v>3549.41748421052</v>
      </c>
      <c r="N45" s="80">
        <f t="shared" si="15"/>
        <v>3549.41748421052</v>
      </c>
      <c r="O45" s="46" t="s">
        <v>151</v>
      </c>
      <c r="P45" s="46" t="s">
        <v>420</v>
      </c>
    </row>
    <row r="46" s="53" customFormat="1" ht="72" outlineLevel="1" spans="1:16">
      <c r="A46" s="70">
        <v>11</v>
      </c>
      <c r="B46" s="71" t="s">
        <v>421</v>
      </c>
      <c r="C46" s="72" t="s">
        <v>422</v>
      </c>
      <c r="D46" s="73" t="s">
        <v>130</v>
      </c>
      <c r="E46" s="70">
        <v>1</v>
      </c>
      <c r="F46" s="46"/>
      <c r="G46" s="46">
        <f t="shared" si="11"/>
        <v>808</v>
      </c>
      <c r="H46" s="46">
        <v>800</v>
      </c>
      <c r="I46" s="89">
        <v>0.01</v>
      </c>
      <c r="J46" s="46">
        <f t="shared" si="12"/>
        <v>8.08</v>
      </c>
      <c r="K46" s="90">
        <f t="shared" si="2"/>
        <v>73.4472</v>
      </c>
      <c r="L46" s="91">
        <f t="shared" si="13"/>
        <v>80.057448</v>
      </c>
      <c r="M46" s="80">
        <f t="shared" si="14"/>
        <v>969.584648</v>
      </c>
      <c r="N46" s="80">
        <f t="shared" si="15"/>
        <v>969.584648</v>
      </c>
      <c r="O46" s="46" t="s">
        <v>151</v>
      </c>
      <c r="P46" s="46" t="s">
        <v>423</v>
      </c>
    </row>
    <row r="47" s="53" customFormat="1" ht="36" outlineLevel="1" spans="1:16">
      <c r="A47" s="70">
        <v>12</v>
      </c>
      <c r="B47" s="71" t="s">
        <v>424</v>
      </c>
      <c r="C47" s="72" t="s">
        <v>425</v>
      </c>
      <c r="D47" s="73" t="s">
        <v>426</v>
      </c>
      <c r="E47" s="70">
        <f>794*3</f>
        <v>2382</v>
      </c>
      <c r="F47" s="46"/>
      <c r="G47" s="46">
        <f t="shared" si="11"/>
        <v>1.01</v>
      </c>
      <c r="H47" s="46">
        <v>1</v>
      </c>
      <c r="I47" s="89">
        <v>0.01</v>
      </c>
      <c r="J47" s="46">
        <f t="shared" si="12"/>
        <v>0.0101</v>
      </c>
      <c r="K47" s="90">
        <f t="shared" si="2"/>
        <v>0.091809</v>
      </c>
      <c r="L47" s="91">
        <f t="shared" si="13"/>
        <v>0.10007181</v>
      </c>
      <c r="M47" s="80">
        <f t="shared" si="14"/>
        <v>1.21198081</v>
      </c>
      <c r="N47" s="80">
        <f t="shared" si="15"/>
        <v>2886.93828942</v>
      </c>
      <c r="O47" s="70" t="s">
        <v>120</v>
      </c>
      <c r="P47" s="70" t="s">
        <v>424</v>
      </c>
    </row>
    <row r="48" s="53" customFormat="1" ht="60" outlineLevel="1" spans="1:16">
      <c r="A48" s="70">
        <v>13</v>
      </c>
      <c r="B48" s="78" t="s">
        <v>112</v>
      </c>
      <c r="C48" s="72" t="s">
        <v>168</v>
      </c>
      <c r="D48" s="73" t="s">
        <v>114</v>
      </c>
      <c r="E48" s="70">
        <v>8264.11</v>
      </c>
      <c r="F48" s="46">
        <v>1.2</v>
      </c>
      <c r="G48" s="46">
        <f t="shared" si="11"/>
        <v>1.46715789473684</v>
      </c>
      <c r="H48" s="46">
        <v>1.45263157894737</v>
      </c>
      <c r="I48" s="89">
        <v>0.01</v>
      </c>
      <c r="J48" s="46">
        <f t="shared" si="12"/>
        <v>0.0266715789473684</v>
      </c>
      <c r="K48" s="90">
        <f t="shared" si="2"/>
        <v>0.242444652631579</v>
      </c>
      <c r="L48" s="91">
        <f t="shared" si="13"/>
        <v>0.264264671368421</v>
      </c>
      <c r="M48" s="80">
        <f t="shared" si="14"/>
        <v>3.20053879768421</v>
      </c>
      <c r="N48" s="80">
        <f t="shared" si="15"/>
        <v>26449.6046833301</v>
      </c>
      <c r="O48" s="46" t="s">
        <v>115</v>
      </c>
      <c r="P48" s="70" t="s">
        <v>112</v>
      </c>
    </row>
    <row r="49" s="53" customFormat="1" ht="60" outlineLevel="1" spans="1:16">
      <c r="A49" s="70">
        <v>14</v>
      </c>
      <c r="B49" s="71" t="s">
        <v>427</v>
      </c>
      <c r="C49" s="72" t="s">
        <v>428</v>
      </c>
      <c r="D49" s="73" t="s">
        <v>114</v>
      </c>
      <c r="E49" s="70">
        <f>187.52+116.9</f>
        <v>304.42</v>
      </c>
      <c r="F49" s="46">
        <v>1.2</v>
      </c>
      <c r="G49" s="46">
        <f t="shared" si="11"/>
        <v>2.04126315789474</v>
      </c>
      <c r="H49" s="46">
        <v>2.02105263157895</v>
      </c>
      <c r="I49" s="89">
        <v>0.01</v>
      </c>
      <c r="J49" s="46">
        <f t="shared" si="12"/>
        <v>0.0324126315789474</v>
      </c>
      <c r="K49" s="90">
        <f t="shared" si="2"/>
        <v>0.294630821052632</v>
      </c>
      <c r="L49" s="91">
        <f t="shared" si="13"/>
        <v>0.321147594947369</v>
      </c>
      <c r="M49" s="80">
        <f t="shared" si="14"/>
        <v>3.88945420547369</v>
      </c>
      <c r="N49" s="80">
        <f t="shared" si="15"/>
        <v>1184.0276492303</v>
      </c>
      <c r="O49" s="46" t="s">
        <v>115</v>
      </c>
      <c r="P49" s="70" t="s">
        <v>427</v>
      </c>
    </row>
    <row r="50" s="53" customFormat="1" ht="60" outlineLevel="1" spans="1:16">
      <c r="A50" s="70">
        <v>15</v>
      </c>
      <c r="B50" s="71" t="s">
        <v>169</v>
      </c>
      <c r="C50" s="72" t="s">
        <v>170</v>
      </c>
      <c r="D50" s="73" t="s">
        <v>114</v>
      </c>
      <c r="E50" s="70">
        <v>342.85</v>
      </c>
      <c r="F50" s="46">
        <v>1.2</v>
      </c>
      <c r="G50" s="46">
        <f t="shared" si="11"/>
        <v>3.95494736842105</v>
      </c>
      <c r="H50" s="46">
        <v>3.91578947368421</v>
      </c>
      <c r="I50" s="89">
        <v>0.01</v>
      </c>
      <c r="J50" s="46">
        <f t="shared" si="12"/>
        <v>0.0515494736842105</v>
      </c>
      <c r="K50" s="90">
        <f t="shared" si="2"/>
        <v>0.468584715789474</v>
      </c>
      <c r="L50" s="91">
        <f t="shared" si="13"/>
        <v>0.510757340210526</v>
      </c>
      <c r="M50" s="80">
        <f t="shared" si="14"/>
        <v>6.18583889810526</v>
      </c>
      <c r="N50" s="80">
        <f t="shared" si="15"/>
        <v>2120.81486621539</v>
      </c>
      <c r="O50" s="46" t="s">
        <v>115</v>
      </c>
      <c r="P50" s="70" t="s">
        <v>169</v>
      </c>
    </row>
    <row r="51" s="53" customFormat="1" ht="60" outlineLevel="1" spans="1:16">
      <c r="A51" s="70">
        <v>16</v>
      </c>
      <c r="B51" s="71" t="s">
        <v>171</v>
      </c>
      <c r="C51" s="72" t="s">
        <v>172</v>
      </c>
      <c r="D51" s="73" t="s">
        <v>114</v>
      </c>
      <c r="E51" s="70">
        <v>86.4</v>
      </c>
      <c r="F51" s="46">
        <v>1.2</v>
      </c>
      <c r="G51" s="46">
        <f t="shared" si="11"/>
        <v>2.11568421052631</v>
      </c>
      <c r="H51" s="46">
        <v>2.09473684210526</v>
      </c>
      <c r="I51" s="89">
        <v>0.01</v>
      </c>
      <c r="J51" s="46">
        <f t="shared" si="12"/>
        <v>0.0331568421052631</v>
      </c>
      <c r="K51" s="90">
        <f t="shared" si="2"/>
        <v>0.301395694736842</v>
      </c>
      <c r="L51" s="91">
        <f t="shared" si="13"/>
        <v>0.328521307263158</v>
      </c>
      <c r="M51" s="80">
        <f t="shared" si="14"/>
        <v>3.97875805463158</v>
      </c>
      <c r="N51" s="80">
        <f t="shared" si="15"/>
        <v>343.764695920168</v>
      </c>
      <c r="O51" s="46" t="s">
        <v>115</v>
      </c>
      <c r="P51" s="70" t="s">
        <v>171</v>
      </c>
    </row>
    <row r="52" s="53" customFormat="1" ht="60" outlineLevel="1" spans="1:16">
      <c r="A52" s="70">
        <v>17</v>
      </c>
      <c r="B52" s="71" t="s">
        <v>243</v>
      </c>
      <c r="C52" s="72" t="s">
        <v>244</v>
      </c>
      <c r="D52" s="73" t="s">
        <v>114</v>
      </c>
      <c r="E52" s="70">
        <v>11532.26</v>
      </c>
      <c r="F52" s="46">
        <v>1.2</v>
      </c>
      <c r="G52" s="46">
        <f t="shared" si="11"/>
        <v>1.11631578947369</v>
      </c>
      <c r="H52" s="46">
        <v>1.10526315789474</v>
      </c>
      <c r="I52" s="89">
        <v>0.01</v>
      </c>
      <c r="J52" s="46">
        <f t="shared" si="12"/>
        <v>0.0231631578947369</v>
      </c>
      <c r="K52" s="90">
        <f t="shared" si="2"/>
        <v>0.210553105263158</v>
      </c>
      <c r="L52" s="91">
        <f t="shared" si="13"/>
        <v>0.229502884736842</v>
      </c>
      <c r="M52" s="80">
        <f t="shared" si="14"/>
        <v>2.77953493736842</v>
      </c>
      <c r="N52" s="80">
        <f t="shared" si="15"/>
        <v>32054.3195768164</v>
      </c>
      <c r="O52" s="46" t="s">
        <v>115</v>
      </c>
      <c r="P52" s="70" t="s">
        <v>243</v>
      </c>
    </row>
    <row r="53" s="53" customFormat="1" ht="24" outlineLevel="1" spans="1:16">
      <c r="A53" s="70">
        <v>18</v>
      </c>
      <c r="B53" s="71" t="s">
        <v>429</v>
      </c>
      <c r="C53" s="72" t="s">
        <v>430</v>
      </c>
      <c r="D53" s="73" t="s">
        <v>130</v>
      </c>
      <c r="E53" s="73">
        <v>1</v>
      </c>
      <c r="F53" s="46">
        <v>500</v>
      </c>
      <c r="G53" s="46">
        <f t="shared" si="11"/>
        <v>0</v>
      </c>
      <c r="H53" s="46">
        <v>0</v>
      </c>
      <c r="I53" s="89">
        <v>0.01</v>
      </c>
      <c r="J53" s="46">
        <f t="shared" si="12"/>
        <v>5</v>
      </c>
      <c r="K53" s="90">
        <f t="shared" si="2"/>
        <v>45.45</v>
      </c>
      <c r="L53" s="91">
        <f t="shared" si="13"/>
        <v>49.5405</v>
      </c>
      <c r="M53" s="80">
        <f t="shared" si="14"/>
        <v>599.9905</v>
      </c>
      <c r="N53" s="80">
        <f t="shared" si="15"/>
        <v>599.9905</v>
      </c>
      <c r="O53" s="46" t="s">
        <v>151</v>
      </c>
      <c r="P53" s="73" t="s">
        <v>429</v>
      </c>
    </row>
    <row r="54" s="54" customFormat="1" spans="1:16">
      <c r="A54" s="68">
        <v>19</v>
      </c>
      <c r="B54" s="69" t="s">
        <v>391</v>
      </c>
      <c r="C54" s="69"/>
      <c r="D54" s="77"/>
      <c r="E54" s="68"/>
      <c r="F54" s="67"/>
      <c r="G54" s="46"/>
      <c r="H54" s="67"/>
      <c r="I54" s="89"/>
      <c r="J54" s="46"/>
      <c r="K54" s="90">
        <f t="shared" si="2"/>
        <v>0</v>
      </c>
      <c r="L54" s="91"/>
      <c r="M54" s="86"/>
      <c r="N54" s="86">
        <f>SUM(N36:N53)</f>
        <v>581356.869763887</v>
      </c>
      <c r="O54" s="68"/>
      <c r="P54" s="68"/>
    </row>
    <row r="55" s="53" customFormat="1" spans="1:16">
      <c r="A55" s="68" t="s">
        <v>51</v>
      </c>
      <c r="B55" s="69" t="s">
        <v>111</v>
      </c>
      <c r="C55" s="69"/>
      <c r="D55" s="68"/>
      <c r="E55" s="68"/>
      <c r="F55" s="67"/>
      <c r="G55" s="46"/>
      <c r="H55" s="67"/>
      <c r="I55" s="89"/>
      <c r="J55" s="46"/>
      <c r="K55" s="90">
        <f t="shared" si="2"/>
        <v>0</v>
      </c>
      <c r="L55" s="91"/>
      <c r="M55" s="86"/>
      <c r="N55" s="84"/>
      <c r="O55" s="68"/>
      <c r="P55" s="68"/>
    </row>
    <row r="56" s="53" customFormat="1" ht="96" outlineLevel="1" spans="1:16">
      <c r="A56" s="70">
        <v>1</v>
      </c>
      <c r="B56" s="71" t="s">
        <v>136</v>
      </c>
      <c r="C56" s="72" t="s">
        <v>137</v>
      </c>
      <c r="D56" s="73" t="s">
        <v>138</v>
      </c>
      <c r="E56" s="79">
        <v>88</v>
      </c>
      <c r="F56" s="46">
        <v>58</v>
      </c>
      <c r="G56" s="46">
        <f t="shared" ref="G56:G69" si="16">H56*(1+I56)</f>
        <v>252.5</v>
      </c>
      <c r="H56" s="46">
        <v>250</v>
      </c>
      <c r="I56" s="89">
        <v>0.01</v>
      </c>
      <c r="J56" s="46">
        <f t="shared" ref="J56:J69" si="17">(F56+G56)*1%</f>
        <v>3.105</v>
      </c>
      <c r="K56" s="90">
        <f t="shared" si="2"/>
        <v>28.22445</v>
      </c>
      <c r="L56" s="91">
        <f t="shared" ref="L56:L69" si="18">(F56+G56+J56+K56)*9%</f>
        <v>30.7646505</v>
      </c>
      <c r="M56" s="80">
        <f t="shared" ref="M56:M69" si="19">F56+G56+J56+K56+L56</f>
        <v>372.5941005</v>
      </c>
      <c r="N56" s="80">
        <f t="shared" ref="N56:N69" si="20">M56*E56</f>
        <v>32788.280844</v>
      </c>
      <c r="O56" s="46" t="s">
        <v>139</v>
      </c>
      <c r="P56" s="46" t="s">
        <v>140</v>
      </c>
    </row>
    <row r="57" s="53" customFormat="1" ht="108" outlineLevel="1" spans="1:16">
      <c r="A57" s="70">
        <v>2</v>
      </c>
      <c r="B57" s="71" t="s">
        <v>141</v>
      </c>
      <c r="C57" s="72" t="s">
        <v>142</v>
      </c>
      <c r="D57" s="73" t="s">
        <v>138</v>
      </c>
      <c r="E57" s="70">
        <f>12+70+38</f>
        <v>120</v>
      </c>
      <c r="F57" s="46">
        <v>58</v>
      </c>
      <c r="G57" s="46">
        <f t="shared" si="16"/>
        <v>252.5</v>
      </c>
      <c r="H57" s="46">
        <v>250</v>
      </c>
      <c r="I57" s="89">
        <v>0.01</v>
      </c>
      <c r="J57" s="46">
        <f t="shared" si="17"/>
        <v>3.105</v>
      </c>
      <c r="K57" s="90">
        <f t="shared" si="2"/>
        <v>28.22445</v>
      </c>
      <c r="L57" s="91">
        <f t="shared" si="18"/>
        <v>30.7646505</v>
      </c>
      <c r="M57" s="80">
        <f t="shared" si="19"/>
        <v>372.5941005</v>
      </c>
      <c r="N57" s="80">
        <f t="shared" si="20"/>
        <v>44711.29206</v>
      </c>
      <c r="O57" s="46" t="s">
        <v>139</v>
      </c>
      <c r="P57" s="46" t="s">
        <v>143</v>
      </c>
    </row>
    <row r="58" s="53" customFormat="1" ht="120" outlineLevel="1" spans="1:16">
      <c r="A58" s="70">
        <v>3</v>
      </c>
      <c r="B58" s="71" t="s">
        <v>312</v>
      </c>
      <c r="C58" s="72" t="s">
        <v>313</v>
      </c>
      <c r="D58" s="73" t="s">
        <v>138</v>
      </c>
      <c r="E58" s="70">
        <v>26</v>
      </c>
      <c r="F58" s="46">
        <v>58</v>
      </c>
      <c r="G58" s="46">
        <f t="shared" si="16"/>
        <v>252.5</v>
      </c>
      <c r="H58" s="46">
        <v>250</v>
      </c>
      <c r="I58" s="89">
        <v>0.01</v>
      </c>
      <c r="J58" s="46">
        <f t="shared" si="17"/>
        <v>3.105</v>
      </c>
      <c r="K58" s="90">
        <f t="shared" si="2"/>
        <v>28.22445</v>
      </c>
      <c r="L58" s="91">
        <f t="shared" si="18"/>
        <v>30.7646505</v>
      </c>
      <c r="M58" s="80">
        <f t="shared" si="19"/>
        <v>372.5941005</v>
      </c>
      <c r="N58" s="80">
        <f t="shared" si="20"/>
        <v>9687.446613</v>
      </c>
      <c r="O58" s="46" t="s">
        <v>139</v>
      </c>
      <c r="P58" s="46" t="s">
        <v>143</v>
      </c>
    </row>
    <row r="59" s="53" customFormat="1" ht="96" outlineLevel="1" spans="1:16">
      <c r="A59" s="70">
        <v>4</v>
      </c>
      <c r="B59" s="71" t="s">
        <v>144</v>
      </c>
      <c r="C59" s="72" t="s">
        <v>145</v>
      </c>
      <c r="D59" s="73" t="s">
        <v>138</v>
      </c>
      <c r="E59" s="70">
        <v>39</v>
      </c>
      <c r="F59" s="46">
        <v>148</v>
      </c>
      <c r="G59" s="46">
        <f t="shared" si="16"/>
        <v>252.5</v>
      </c>
      <c r="H59" s="46">
        <v>250</v>
      </c>
      <c r="I59" s="89">
        <v>0.01</v>
      </c>
      <c r="J59" s="46">
        <f t="shared" si="17"/>
        <v>4.005</v>
      </c>
      <c r="K59" s="90">
        <f t="shared" si="2"/>
        <v>36.40545</v>
      </c>
      <c r="L59" s="91">
        <f t="shared" si="18"/>
        <v>39.6819405</v>
      </c>
      <c r="M59" s="80">
        <f t="shared" si="19"/>
        <v>480.5923905</v>
      </c>
      <c r="N59" s="80">
        <f t="shared" si="20"/>
        <v>18743.1032295</v>
      </c>
      <c r="O59" s="46" t="s">
        <v>139</v>
      </c>
      <c r="P59" s="46" t="s">
        <v>140</v>
      </c>
    </row>
    <row r="60" s="53" customFormat="1" ht="84" outlineLevel="1" spans="1:16">
      <c r="A60" s="70">
        <v>5</v>
      </c>
      <c r="B60" s="71" t="s">
        <v>146</v>
      </c>
      <c r="C60" s="72" t="s">
        <v>147</v>
      </c>
      <c r="D60" s="73" t="s">
        <v>138</v>
      </c>
      <c r="E60" s="70">
        <v>39</v>
      </c>
      <c r="F60" s="46">
        <v>148</v>
      </c>
      <c r="G60" s="46">
        <f t="shared" si="16"/>
        <v>252.5</v>
      </c>
      <c r="H60" s="46">
        <v>250</v>
      </c>
      <c r="I60" s="89">
        <v>0.01</v>
      </c>
      <c r="J60" s="46">
        <f t="shared" si="17"/>
        <v>4.005</v>
      </c>
      <c r="K60" s="90">
        <f t="shared" si="2"/>
        <v>36.40545</v>
      </c>
      <c r="L60" s="91">
        <f t="shared" si="18"/>
        <v>39.6819405</v>
      </c>
      <c r="M60" s="80">
        <f t="shared" si="19"/>
        <v>480.5923905</v>
      </c>
      <c r="N60" s="80">
        <f t="shared" si="20"/>
        <v>18743.1032295</v>
      </c>
      <c r="O60" s="70" t="s">
        <v>120</v>
      </c>
      <c r="P60" s="70" t="s">
        <v>148</v>
      </c>
    </row>
    <row r="61" s="53" customFormat="1" ht="108" outlineLevel="1" spans="1:16">
      <c r="A61" s="70">
        <v>6</v>
      </c>
      <c r="B61" s="71" t="s">
        <v>431</v>
      </c>
      <c r="C61" s="72" t="s">
        <v>432</v>
      </c>
      <c r="D61" s="73" t="s">
        <v>130</v>
      </c>
      <c r="E61" s="70">
        <v>1</v>
      </c>
      <c r="F61" s="46">
        <v>200</v>
      </c>
      <c r="G61" s="46">
        <f t="shared" si="16"/>
        <v>17675</v>
      </c>
      <c r="H61" s="46">
        <v>17500</v>
      </c>
      <c r="I61" s="89">
        <v>0.01</v>
      </c>
      <c r="J61" s="46">
        <f t="shared" si="17"/>
        <v>178.75</v>
      </c>
      <c r="K61" s="90">
        <f t="shared" si="2"/>
        <v>1624.8375</v>
      </c>
      <c r="L61" s="91">
        <f t="shared" si="18"/>
        <v>1771.072875</v>
      </c>
      <c r="M61" s="80">
        <f t="shared" si="19"/>
        <v>21449.660375</v>
      </c>
      <c r="N61" s="80">
        <f t="shared" si="20"/>
        <v>21449.660375</v>
      </c>
      <c r="O61" s="46" t="s">
        <v>139</v>
      </c>
      <c r="P61" s="46" t="s">
        <v>433</v>
      </c>
    </row>
    <row r="62" s="53" customFormat="1" ht="108" outlineLevel="1" spans="1:16">
      <c r="A62" s="70">
        <v>7</v>
      </c>
      <c r="B62" s="71" t="s">
        <v>209</v>
      </c>
      <c r="C62" s="72" t="s">
        <v>434</v>
      </c>
      <c r="D62" s="73" t="s">
        <v>181</v>
      </c>
      <c r="E62" s="70">
        <v>4</v>
      </c>
      <c r="F62" s="46">
        <v>200</v>
      </c>
      <c r="G62" s="46">
        <f t="shared" si="16"/>
        <v>15150</v>
      </c>
      <c r="H62" s="46">
        <v>15000</v>
      </c>
      <c r="I62" s="89">
        <v>0.01</v>
      </c>
      <c r="J62" s="46">
        <f t="shared" si="17"/>
        <v>153.5</v>
      </c>
      <c r="K62" s="90">
        <f t="shared" si="2"/>
        <v>1395.315</v>
      </c>
      <c r="L62" s="91">
        <f t="shared" si="18"/>
        <v>1520.89335</v>
      </c>
      <c r="M62" s="80">
        <f t="shared" si="19"/>
        <v>18419.70835</v>
      </c>
      <c r="N62" s="80">
        <f t="shared" si="20"/>
        <v>73678.8334</v>
      </c>
      <c r="O62" s="46" t="s">
        <v>139</v>
      </c>
      <c r="P62" s="46" t="s">
        <v>435</v>
      </c>
    </row>
    <row r="63" s="53" customFormat="1" ht="108" outlineLevel="1" spans="1:16">
      <c r="A63" s="70">
        <v>8</v>
      </c>
      <c r="B63" s="71" t="s">
        <v>209</v>
      </c>
      <c r="C63" s="72" t="s">
        <v>210</v>
      </c>
      <c r="D63" s="73" t="s">
        <v>181</v>
      </c>
      <c r="E63" s="70">
        <v>1</v>
      </c>
      <c r="F63" s="46">
        <v>80</v>
      </c>
      <c r="G63" s="46">
        <f t="shared" si="16"/>
        <v>3535</v>
      </c>
      <c r="H63" s="80">
        <v>3500</v>
      </c>
      <c r="I63" s="89">
        <v>0.01</v>
      </c>
      <c r="J63" s="46">
        <f t="shared" si="17"/>
        <v>36.15</v>
      </c>
      <c r="K63" s="90">
        <f t="shared" si="2"/>
        <v>328.6035</v>
      </c>
      <c r="L63" s="91">
        <f t="shared" si="18"/>
        <v>358.177815</v>
      </c>
      <c r="M63" s="80">
        <f t="shared" si="19"/>
        <v>4337.931315</v>
      </c>
      <c r="N63" s="80">
        <f t="shared" si="20"/>
        <v>4337.931315</v>
      </c>
      <c r="O63" s="46" t="s">
        <v>139</v>
      </c>
      <c r="P63" s="46" t="s">
        <v>211</v>
      </c>
    </row>
    <row r="64" s="53" customFormat="1" ht="84" outlineLevel="1" spans="1:16">
      <c r="A64" s="70">
        <v>9</v>
      </c>
      <c r="B64" s="71" t="s">
        <v>436</v>
      </c>
      <c r="C64" s="72" t="s">
        <v>437</v>
      </c>
      <c r="D64" s="73" t="s">
        <v>181</v>
      </c>
      <c r="E64" s="70">
        <v>1</v>
      </c>
      <c r="F64" s="46">
        <v>100</v>
      </c>
      <c r="G64" s="46">
        <f t="shared" si="16"/>
        <v>17861.052631579</v>
      </c>
      <c r="H64" s="46">
        <v>17684.2105263158</v>
      </c>
      <c r="I64" s="89">
        <v>0.01</v>
      </c>
      <c r="J64" s="46">
        <f t="shared" si="17"/>
        <v>179.61052631579</v>
      </c>
      <c r="K64" s="90">
        <f t="shared" si="2"/>
        <v>1632.65968421053</v>
      </c>
      <c r="L64" s="91">
        <f t="shared" si="18"/>
        <v>1779.59905578947</v>
      </c>
      <c r="M64" s="80">
        <f t="shared" si="19"/>
        <v>21552.9218978947</v>
      </c>
      <c r="N64" s="80">
        <f t="shared" si="20"/>
        <v>21552.9218978947</v>
      </c>
      <c r="O64" s="46" t="s">
        <v>139</v>
      </c>
      <c r="P64" s="46" t="s">
        <v>438</v>
      </c>
    </row>
    <row r="65" s="53" customFormat="1" ht="84" outlineLevel="1" spans="1:16">
      <c r="A65" s="70">
        <v>10</v>
      </c>
      <c r="B65" s="71" t="s">
        <v>439</v>
      </c>
      <c r="C65" s="72" t="s">
        <v>440</v>
      </c>
      <c r="D65" s="73" t="s">
        <v>181</v>
      </c>
      <c r="E65" s="70">
        <v>9</v>
      </c>
      <c r="F65" s="46">
        <v>100</v>
      </c>
      <c r="G65" s="46">
        <f t="shared" si="16"/>
        <v>4040</v>
      </c>
      <c r="H65" s="46">
        <v>4000</v>
      </c>
      <c r="I65" s="89">
        <v>0.01</v>
      </c>
      <c r="J65" s="46">
        <f t="shared" si="17"/>
        <v>41.4</v>
      </c>
      <c r="K65" s="90">
        <f t="shared" si="2"/>
        <v>376.326</v>
      </c>
      <c r="L65" s="91">
        <f t="shared" si="18"/>
        <v>410.19534</v>
      </c>
      <c r="M65" s="80">
        <f t="shared" si="19"/>
        <v>4967.92134</v>
      </c>
      <c r="N65" s="80">
        <f t="shared" si="20"/>
        <v>44711.29206</v>
      </c>
      <c r="O65" s="46" t="s">
        <v>139</v>
      </c>
      <c r="P65" s="46" t="s">
        <v>441</v>
      </c>
    </row>
    <row r="66" s="53" customFormat="1" ht="60" outlineLevel="1" spans="1:16">
      <c r="A66" s="70">
        <v>11</v>
      </c>
      <c r="B66" s="71" t="s">
        <v>442</v>
      </c>
      <c r="C66" s="72" t="s">
        <v>443</v>
      </c>
      <c r="D66" s="73" t="s">
        <v>114</v>
      </c>
      <c r="E66" s="70">
        <v>594.92</v>
      </c>
      <c r="F66" s="46">
        <v>3</v>
      </c>
      <c r="G66" s="46">
        <f t="shared" si="16"/>
        <v>2.222</v>
      </c>
      <c r="H66" s="46">
        <v>2.2</v>
      </c>
      <c r="I66" s="89">
        <v>0.01</v>
      </c>
      <c r="J66" s="46">
        <f t="shared" si="17"/>
        <v>0.05222</v>
      </c>
      <c r="K66" s="90">
        <f t="shared" si="2"/>
        <v>0.4746798</v>
      </c>
      <c r="L66" s="91">
        <f t="shared" si="18"/>
        <v>0.517400982</v>
      </c>
      <c r="M66" s="80">
        <f t="shared" si="19"/>
        <v>6.266300782</v>
      </c>
      <c r="N66" s="80">
        <f t="shared" si="20"/>
        <v>3727.94766122744</v>
      </c>
      <c r="O66" s="70" t="s">
        <v>120</v>
      </c>
      <c r="P66" s="70" t="s">
        <v>442</v>
      </c>
    </row>
    <row r="67" s="53" customFormat="1" ht="60" outlineLevel="1" spans="1:16">
      <c r="A67" s="70">
        <v>12</v>
      </c>
      <c r="B67" s="71" t="s">
        <v>112</v>
      </c>
      <c r="C67" s="72" t="s">
        <v>113</v>
      </c>
      <c r="D67" s="73" t="s">
        <v>114</v>
      </c>
      <c r="E67" s="70">
        <f>2456.46+5007.71</f>
        <v>7464.17</v>
      </c>
      <c r="F67" s="46">
        <v>1.2</v>
      </c>
      <c r="G67" s="46">
        <f t="shared" si="16"/>
        <v>1.46715789473684</v>
      </c>
      <c r="H67" s="46">
        <v>1.45263157894737</v>
      </c>
      <c r="I67" s="89">
        <v>0.01</v>
      </c>
      <c r="J67" s="46">
        <f t="shared" si="17"/>
        <v>0.0266715789473684</v>
      </c>
      <c r="K67" s="90">
        <f t="shared" si="2"/>
        <v>0.242444652631579</v>
      </c>
      <c r="L67" s="91">
        <f t="shared" si="18"/>
        <v>0.264264671368421</v>
      </c>
      <c r="M67" s="80">
        <f t="shared" si="19"/>
        <v>3.20053879768421</v>
      </c>
      <c r="N67" s="80">
        <f t="shared" si="20"/>
        <v>23889.3656775106</v>
      </c>
      <c r="O67" s="70" t="s">
        <v>115</v>
      </c>
      <c r="P67" s="70" t="s">
        <v>112</v>
      </c>
    </row>
    <row r="68" s="53" customFormat="1" ht="60" outlineLevel="1" spans="1:16">
      <c r="A68" s="70">
        <v>13</v>
      </c>
      <c r="B68" s="71" t="s">
        <v>166</v>
      </c>
      <c r="C68" s="72" t="s">
        <v>167</v>
      </c>
      <c r="D68" s="73" t="s">
        <v>114</v>
      </c>
      <c r="E68" s="70">
        <v>1603.65</v>
      </c>
      <c r="F68" s="46">
        <v>1.2</v>
      </c>
      <c r="G68" s="46">
        <f t="shared" si="16"/>
        <v>1.7861052631579</v>
      </c>
      <c r="H68" s="46">
        <v>1.76842105263158</v>
      </c>
      <c r="I68" s="89">
        <v>0.01</v>
      </c>
      <c r="J68" s="46">
        <f t="shared" si="17"/>
        <v>0.029861052631579</v>
      </c>
      <c r="K68" s="90">
        <f t="shared" si="2"/>
        <v>0.271436968421053</v>
      </c>
      <c r="L68" s="91">
        <f t="shared" si="18"/>
        <v>0.295866295578947</v>
      </c>
      <c r="M68" s="80">
        <f t="shared" si="19"/>
        <v>3.58326957978947</v>
      </c>
      <c r="N68" s="80">
        <f t="shared" si="20"/>
        <v>5746.31026162939</v>
      </c>
      <c r="O68" s="70" t="s">
        <v>115</v>
      </c>
      <c r="P68" s="70" t="s">
        <v>166</v>
      </c>
    </row>
    <row r="69" s="53" customFormat="1" ht="24" outlineLevel="1" spans="1:16">
      <c r="A69" s="70">
        <v>14</v>
      </c>
      <c r="B69" s="71" t="s">
        <v>444</v>
      </c>
      <c r="C69" s="72" t="s">
        <v>445</v>
      </c>
      <c r="D69" s="73" t="s">
        <v>130</v>
      </c>
      <c r="E69" s="73">
        <v>1</v>
      </c>
      <c r="F69" s="46">
        <v>500</v>
      </c>
      <c r="G69" s="46">
        <f t="shared" si="16"/>
        <v>10100</v>
      </c>
      <c r="H69" s="46">
        <v>10000</v>
      </c>
      <c r="I69" s="89">
        <v>0.01</v>
      </c>
      <c r="J69" s="46">
        <f t="shared" si="17"/>
        <v>106</v>
      </c>
      <c r="K69" s="90">
        <f t="shared" si="2"/>
        <v>963.54</v>
      </c>
      <c r="L69" s="91">
        <f t="shared" si="18"/>
        <v>1050.2586</v>
      </c>
      <c r="M69" s="80">
        <f t="shared" si="19"/>
        <v>12719.7986</v>
      </c>
      <c r="N69" s="80">
        <f t="shared" si="20"/>
        <v>12719.7986</v>
      </c>
      <c r="O69" s="46" t="s">
        <v>139</v>
      </c>
      <c r="P69" s="94" t="s">
        <v>446</v>
      </c>
    </row>
    <row r="70" s="54" customFormat="1" spans="1:16">
      <c r="A70" s="68">
        <v>15</v>
      </c>
      <c r="B70" s="69" t="s">
        <v>391</v>
      </c>
      <c r="C70" s="69"/>
      <c r="D70" s="77"/>
      <c r="E70" s="68"/>
      <c r="F70" s="67"/>
      <c r="G70" s="46"/>
      <c r="H70" s="67"/>
      <c r="I70" s="89"/>
      <c r="J70" s="46"/>
      <c r="K70" s="90">
        <f t="shared" ref="K70:K133" si="21">(F70+G70+J70)*9%</f>
        <v>0</v>
      </c>
      <c r="L70" s="91"/>
      <c r="M70" s="86"/>
      <c r="N70" s="86">
        <f>SUM(N56:N69)</f>
        <v>336487.287224262</v>
      </c>
      <c r="O70" s="68"/>
      <c r="P70" s="68"/>
    </row>
    <row r="71" s="53" customFormat="1" spans="1:16">
      <c r="A71" s="68" t="s">
        <v>55</v>
      </c>
      <c r="B71" s="69" t="s">
        <v>314</v>
      </c>
      <c r="C71" s="69"/>
      <c r="D71" s="68"/>
      <c r="E71" s="68"/>
      <c r="F71" s="67"/>
      <c r="G71" s="46"/>
      <c r="H71" s="67"/>
      <c r="I71" s="89"/>
      <c r="J71" s="46"/>
      <c r="K71" s="90">
        <f t="shared" si="21"/>
        <v>0</v>
      </c>
      <c r="L71" s="91"/>
      <c r="M71" s="86"/>
      <c r="N71" s="84"/>
      <c r="O71" s="68"/>
      <c r="P71" s="68"/>
    </row>
    <row r="72" s="53" customFormat="1" ht="84" outlineLevel="1" spans="1:16">
      <c r="A72" s="70">
        <v>1</v>
      </c>
      <c r="B72" s="71" t="s">
        <v>315</v>
      </c>
      <c r="C72" s="72" t="s">
        <v>316</v>
      </c>
      <c r="D72" s="73" t="s">
        <v>138</v>
      </c>
      <c r="E72" s="32">
        <f>43+75</f>
        <v>118</v>
      </c>
      <c r="F72" s="46"/>
      <c r="G72" s="46">
        <f t="shared" ref="G72:G74" si="22">H72*(1+I72)</f>
        <v>5.31578947368421</v>
      </c>
      <c r="H72" s="46">
        <v>5.26315789473684</v>
      </c>
      <c r="I72" s="89">
        <v>0.01</v>
      </c>
      <c r="J72" s="46">
        <f t="shared" ref="J72:J74" si="23">(F72+G72)*1%</f>
        <v>0.0531578947368421</v>
      </c>
      <c r="K72" s="90">
        <f t="shared" si="21"/>
        <v>0.483205263157895</v>
      </c>
      <c r="L72" s="91">
        <f t="shared" ref="L72:L74" si="24">(F72+G72+J72+K72)*9%</f>
        <v>0.526693736842105</v>
      </c>
      <c r="M72" s="80">
        <f t="shared" ref="M72:M74" si="25">F72+G72+J72+K72+L72</f>
        <v>6.37884636842105</v>
      </c>
      <c r="N72" s="80">
        <f t="shared" ref="N72:N74" si="26">M72*E72</f>
        <v>752.703871473684</v>
      </c>
      <c r="O72" s="32" t="s">
        <v>317</v>
      </c>
      <c r="P72" s="32" t="s">
        <v>318</v>
      </c>
    </row>
    <row r="73" s="53" customFormat="1" ht="72" outlineLevel="1" spans="1:16">
      <c r="A73" s="70">
        <v>2</v>
      </c>
      <c r="B73" s="71" t="s">
        <v>319</v>
      </c>
      <c r="C73" s="72" t="s">
        <v>320</v>
      </c>
      <c r="D73" s="73" t="s">
        <v>138</v>
      </c>
      <c r="E73" s="70">
        <v>6</v>
      </c>
      <c r="F73" s="46"/>
      <c r="G73" s="46">
        <f t="shared" si="22"/>
        <v>637.894736842105</v>
      </c>
      <c r="H73" s="46">
        <v>631.578947368421</v>
      </c>
      <c r="I73" s="89">
        <v>0.01</v>
      </c>
      <c r="J73" s="46">
        <f t="shared" si="23"/>
        <v>6.37894736842105</v>
      </c>
      <c r="K73" s="90">
        <f t="shared" si="21"/>
        <v>57.9846315789474</v>
      </c>
      <c r="L73" s="91">
        <f t="shared" si="24"/>
        <v>63.2032484210526</v>
      </c>
      <c r="M73" s="80">
        <f t="shared" si="25"/>
        <v>765.461564210526</v>
      </c>
      <c r="N73" s="80">
        <f t="shared" si="26"/>
        <v>4592.76938526316</v>
      </c>
      <c r="O73" s="32" t="s">
        <v>317</v>
      </c>
      <c r="P73" s="32" t="s">
        <v>321</v>
      </c>
    </row>
    <row r="74" s="53" customFormat="1" ht="48" outlineLevel="1" spans="1:16">
      <c r="A74" s="70">
        <v>3</v>
      </c>
      <c r="B74" s="71" t="s">
        <v>322</v>
      </c>
      <c r="C74" s="72" t="s">
        <v>323</v>
      </c>
      <c r="D74" s="73" t="s">
        <v>130</v>
      </c>
      <c r="E74" s="73">
        <v>1</v>
      </c>
      <c r="F74" s="46"/>
      <c r="G74" s="46">
        <f t="shared" si="22"/>
        <v>478.74</v>
      </c>
      <c r="H74" s="46">
        <v>474</v>
      </c>
      <c r="I74" s="89">
        <v>0.01</v>
      </c>
      <c r="J74" s="46">
        <f t="shared" si="23"/>
        <v>4.7874</v>
      </c>
      <c r="K74" s="90">
        <f t="shared" si="21"/>
        <v>43.517466</v>
      </c>
      <c r="L74" s="91">
        <f t="shared" si="24"/>
        <v>47.43403794</v>
      </c>
      <c r="M74" s="80">
        <f t="shared" si="25"/>
        <v>574.47890394</v>
      </c>
      <c r="N74" s="80">
        <f t="shared" si="26"/>
        <v>574.47890394</v>
      </c>
      <c r="O74" s="32" t="s">
        <v>317</v>
      </c>
      <c r="P74" s="32" t="s">
        <v>324</v>
      </c>
    </row>
    <row r="75" s="54" customFormat="1" spans="1:16">
      <c r="A75" s="68">
        <v>4</v>
      </c>
      <c r="B75" s="69" t="s">
        <v>391</v>
      </c>
      <c r="C75" s="69"/>
      <c r="D75" s="77"/>
      <c r="E75" s="68"/>
      <c r="F75" s="67"/>
      <c r="G75" s="46"/>
      <c r="H75" s="67"/>
      <c r="I75" s="89"/>
      <c r="J75" s="46"/>
      <c r="K75" s="90">
        <f t="shared" si="21"/>
        <v>0</v>
      </c>
      <c r="L75" s="91"/>
      <c r="M75" s="86"/>
      <c r="N75" s="86">
        <f>SUM(N72:N74)</f>
        <v>5919.95216067684</v>
      </c>
      <c r="O75" s="68"/>
      <c r="P75" s="68"/>
    </row>
    <row r="76" s="53" customFormat="1" spans="1:16">
      <c r="A76" s="68" t="s">
        <v>59</v>
      </c>
      <c r="B76" s="69" t="s">
        <v>325</v>
      </c>
      <c r="C76" s="69"/>
      <c r="D76" s="68"/>
      <c r="E76" s="68"/>
      <c r="F76" s="67"/>
      <c r="G76" s="46"/>
      <c r="H76" s="67"/>
      <c r="I76" s="89"/>
      <c r="J76" s="46"/>
      <c r="K76" s="90">
        <f t="shared" si="21"/>
        <v>0</v>
      </c>
      <c r="L76" s="91"/>
      <c r="M76" s="86"/>
      <c r="N76" s="84"/>
      <c r="O76" s="68"/>
      <c r="P76" s="68"/>
    </row>
    <row r="77" s="53" customFormat="1" ht="120" outlineLevel="1" spans="1:16">
      <c r="A77" s="70">
        <v>1</v>
      </c>
      <c r="B77" s="71" t="s">
        <v>326</v>
      </c>
      <c r="C77" s="72" t="s">
        <v>327</v>
      </c>
      <c r="D77" s="73" t="s">
        <v>114</v>
      </c>
      <c r="E77" s="74">
        <v>515</v>
      </c>
      <c r="F77" s="46">
        <v>28</v>
      </c>
      <c r="G77" s="46">
        <f t="shared" ref="G77:G87" si="27">H77*(1+I77)</f>
        <v>18.18</v>
      </c>
      <c r="H77" s="46">
        <v>18</v>
      </c>
      <c r="I77" s="89">
        <v>0.01</v>
      </c>
      <c r="J77" s="46">
        <f t="shared" ref="J77:J87" si="28">(F77+G77)*1%</f>
        <v>0.4618</v>
      </c>
      <c r="K77" s="90">
        <f t="shared" si="21"/>
        <v>4.197762</v>
      </c>
      <c r="L77" s="91">
        <f t="shared" ref="L77:L87" si="29">(F77+G77+J77+K77)*9%</f>
        <v>4.57556058</v>
      </c>
      <c r="M77" s="80">
        <f t="shared" ref="M77:M87" si="30">F77+G77+J77+K77+L77</f>
        <v>55.41512258</v>
      </c>
      <c r="N77" s="80">
        <f t="shared" ref="N77:N87" si="31">M77*E77</f>
        <v>28538.7881287</v>
      </c>
      <c r="O77" s="94" t="s">
        <v>328</v>
      </c>
      <c r="P77" s="94" t="s">
        <v>447</v>
      </c>
    </row>
    <row r="78" s="53" customFormat="1" ht="84" outlineLevel="1" spans="1:16">
      <c r="A78" s="70">
        <v>2</v>
      </c>
      <c r="B78" s="71" t="s">
        <v>330</v>
      </c>
      <c r="C78" s="72" t="s">
        <v>331</v>
      </c>
      <c r="D78" s="73" t="s">
        <v>138</v>
      </c>
      <c r="E78" s="92">
        <v>6</v>
      </c>
      <c r="F78" s="46">
        <v>15</v>
      </c>
      <c r="G78" s="46">
        <f t="shared" si="27"/>
        <v>55.55</v>
      </c>
      <c r="H78" s="46">
        <v>55</v>
      </c>
      <c r="I78" s="89">
        <v>0.01</v>
      </c>
      <c r="J78" s="46">
        <f t="shared" si="28"/>
        <v>0.7055</v>
      </c>
      <c r="K78" s="90">
        <f t="shared" si="21"/>
        <v>6.412995</v>
      </c>
      <c r="L78" s="91">
        <f t="shared" si="29"/>
        <v>6.99016455</v>
      </c>
      <c r="M78" s="80">
        <f t="shared" si="30"/>
        <v>84.65865955</v>
      </c>
      <c r="N78" s="80">
        <f t="shared" si="31"/>
        <v>507.9519573</v>
      </c>
      <c r="O78" s="94" t="s">
        <v>328</v>
      </c>
      <c r="P78" s="94" t="s">
        <v>332</v>
      </c>
    </row>
    <row r="79" s="53" customFormat="1" ht="84" outlineLevel="1" spans="1:16">
      <c r="A79" s="70">
        <v>3</v>
      </c>
      <c r="B79" s="71" t="s">
        <v>448</v>
      </c>
      <c r="C79" s="72" t="s">
        <v>449</v>
      </c>
      <c r="D79" s="73" t="s">
        <v>130</v>
      </c>
      <c r="E79" s="70">
        <v>6</v>
      </c>
      <c r="F79" s="46">
        <v>100</v>
      </c>
      <c r="G79" s="46">
        <f t="shared" si="27"/>
        <v>1212</v>
      </c>
      <c r="H79" s="46">
        <v>1200</v>
      </c>
      <c r="I79" s="89">
        <v>0.01</v>
      </c>
      <c r="J79" s="46">
        <f t="shared" si="28"/>
        <v>13.12</v>
      </c>
      <c r="K79" s="90">
        <f t="shared" si="21"/>
        <v>119.2608</v>
      </c>
      <c r="L79" s="91">
        <f t="shared" si="29"/>
        <v>129.994272</v>
      </c>
      <c r="M79" s="80">
        <f t="shared" si="30"/>
        <v>1574.375072</v>
      </c>
      <c r="N79" s="80">
        <f t="shared" si="31"/>
        <v>9446.250432</v>
      </c>
      <c r="O79" s="94" t="s">
        <v>328</v>
      </c>
      <c r="P79" s="46" t="s">
        <v>450</v>
      </c>
    </row>
    <row r="80" s="53" customFormat="1" ht="84" outlineLevel="1" spans="1:16">
      <c r="A80" s="70">
        <v>4</v>
      </c>
      <c r="B80" s="71" t="s">
        <v>451</v>
      </c>
      <c r="C80" s="72" t="s">
        <v>452</v>
      </c>
      <c r="D80" s="73" t="s">
        <v>130</v>
      </c>
      <c r="E80" s="70">
        <v>1</v>
      </c>
      <c r="F80" s="46">
        <v>200</v>
      </c>
      <c r="G80" s="46">
        <f t="shared" si="27"/>
        <v>989.8</v>
      </c>
      <c r="H80" s="46">
        <v>980</v>
      </c>
      <c r="I80" s="89">
        <v>0.01</v>
      </c>
      <c r="J80" s="46">
        <f t="shared" si="28"/>
        <v>11.898</v>
      </c>
      <c r="K80" s="90">
        <f t="shared" si="21"/>
        <v>108.15282</v>
      </c>
      <c r="L80" s="91">
        <f t="shared" si="29"/>
        <v>117.8865738</v>
      </c>
      <c r="M80" s="80">
        <f t="shared" si="30"/>
        <v>1427.7373938</v>
      </c>
      <c r="N80" s="80">
        <f t="shared" si="31"/>
        <v>1427.7373938</v>
      </c>
      <c r="O80" s="94" t="s">
        <v>328</v>
      </c>
      <c r="P80" s="46" t="s">
        <v>453</v>
      </c>
    </row>
    <row r="81" s="53" customFormat="1" ht="84" outlineLevel="1" spans="1:16">
      <c r="A81" s="70">
        <v>5</v>
      </c>
      <c r="B81" s="71" t="s">
        <v>454</v>
      </c>
      <c r="C81" s="72" t="s">
        <v>455</v>
      </c>
      <c r="D81" s="73" t="s">
        <v>130</v>
      </c>
      <c r="E81" s="70">
        <v>1</v>
      </c>
      <c r="F81" s="46">
        <v>20</v>
      </c>
      <c r="G81" s="46">
        <f t="shared" si="27"/>
        <v>637.894736842105</v>
      </c>
      <c r="H81" s="46">
        <v>631.578947368421</v>
      </c>
      <c r="I81" s="89">
        <v>0.01</v>
      </c>
      <c r="J81" s="46">
        <f t="shared" si="28"/>
        <v>6.57894736842105</v>
      </c>
      <c r="K81" s="90">
        <f t="shared" si="21"/>
        <v>59.8026315789474</v>
      </c>
      <c r="L81" s="91">
        <f t="shared" si="29"/>
        <v>65.1848684210526</v>
      </c>
      <c r="M81" s="80">
        <f t="shared" si="30"/>
        <v>789.461184210526</v>
      </c>
      <c r="N81" s="80">
        <f t="shared" si="31"/>
        <v>789.461184210526</v>
      </c>
      <c r="O81" s="94" t="s">
        <v>328</v>
      </c>
      <c r="P81" s="46" t="s">
        <v>456</v>
      </c>
    </row>
    <row r="82" s="53" customFormat="1" ht="60" outlineLevel="1" spans="1:16">
      <c r="A82" s="70">
        <v>6</v>
      </c>
      <c r="B82" s="71" t="s">
        <v>427</v>
      </c>
      <c r="C82" s="72" t="s">
        <v>428</v>
      </c>
      <c r="D82" s="73" t="s">
        <v>114</v>
      </c>
      <c r="E82" s="70">
        <v>490.17</v>
      </c>
      <c r="F82" s="46">
        <v>1.2</v>
      </c>
      <c r="G82" s="46">
        <f t="shared" si="27"/>
        <v>2.04126315789474</v>
      </c>
      <c r="H82" s="46">
        <v>2.02105263157895</v>
      </c>
      <c r="I82" s="89">
        <v>0.01</v>
      </c>
      <c r="J82" s="46">
        <f t="shared" si="28"/>
        <v>0.0324126315789474</v>
      </c>
      <c r="K82" s="90">
        <f t="shared" si="21"/>
        <v>0.294630821052632</v>
      </c>
      <c r="L82" s="91">
        <f t="shared" si="29"/>
        <v>0.321147594947369</v>
      </c>
      <c r="M82" s="80">
        <f t="shared" si="30"/>
        <v>3.88945420547369</v>
      </c>
      <c r="N82" s="80">
        <f t="shared" si="31"/>
        <v>1906.49376789704</v>
      </c>
      <c r="O82" s="70" t="s">
        <v>115</v>
      </c>
      <c r="P82" s="70" t="s">
        <v>427</v>
      </c>
    </row>
    <row r="83" s="53" customFormat="1" ht="60" outlineLevel="1" spans="1:16">
      <c r="A83" s="70">
        <v>7</v>
      </c>
      <c r="B83" s="71" t="s">
        <v>118</v>
      </c>
      <c r="C83" s="72" t="s">
        <v>119</v>
      </c>
      <c r="D83" s="73" t="s">
        <v>114</v>
      </c>
      <c r="E83" s="70">
        <v>226.8</v>
      </c>
      <c r="F83" s="46">
        <v>3</v>
      </c>
      <c r="G83" s="46">
        <f t="shared" si="27"/>
        <v>0.9393</v>
      </c>
      <c r="H83" s="46">
        <v>0.93</v>
      </c>
      <c r="I83" s="89">
        <v>0.01</v>
      </c>
      <c r="J83" s="46">
        <f t="shared" si="28"/>
        <v>0.039393</v>
      </c>
      <c r="K83" s="90">
        <f t="shared" si="21"/>
        <v>0.35808237</v>
      </c>
      <c r="L83" s="91">
        <f t="shared" si="29"/>
        <v>0.3903097833</v>
      </c>
      <c r="M83" s="80">
        <f t="shared" si="30"/>
        <v>4.7270851533</v>
      </c>
      <c r="N83" s="80">
        <f t="shared" si="31"/>
        <v>1072.10291276844</v>
      </c>
      <c r="O83" s="70" t="s">
        <v>120</v>
      </c>
      <c r="P83" s="70" t="s">
        <v>118</v>
      </c>
    </row>
    <row r="84" s="53" customFormat="1" ht="60" outlineLevel="1" spans="1:16">
      <c r="A84" s="70">
        <v>8</v>
      </c>
      <c r="B84" s="71" t="s">
        <v>166</v>
      </c>
      <c r="C84" s="72" t="s">
        <v>167</v>
      </c>
      <c r="D84" s="73" t="s">
        <v>114</v>
      </c>
      <c r="E84" s="74">
        <v>448.1</v>
      </c>
      <c r="F84" s="46">
        <v>1.2</v>
      </c>
      <c r="G84" s="46">
        <f t="shared" si="27"/>
        <v>1.7861052631579</v>
      </c>
      <c r="H84" s="46">
        <v>1.76842105263158</v>
      </c>
      <c r="I84" s="89">
        <v>0.01</v>
      </c>
      <c r="J84" s="46">
        <f t="shared" si="28"/>
        <v>0.029861052631579</v>
      </c>
      <c r="K84" s="90">
        <f t="shared" si="21"/>
        <v>0.271436968421053</v>
      </c>
      <c r="L84" s="91">
        <f t="shared" si="29"/>
        <v>0.295866295578947</v>
      </c>
      <c r="M84" s="80">
        <f t="shared" si="30"/>
        <v>3.58326957978947</v>
      </c>
      <c r="N84" s="80">
        <f t="shared" si="31"/>
        <v>1605.66309870366</v>
      </c>
      <c r="O84" s="70" t="s">
        <v>115</v>
      </c>
      <c r="P84" s="74" t="s">
        <v>166</v>
      </c>
    </row>
    <row r="85" s="53" customFormat="1" ht="60" outlineLevel="1" spans="1:16">
      <c r="A85" s="70">
        <v>9</v>
      </c>
      <c r="B85" s="71" t="s">
        <v>457</v>
      </c>
      <c r="C85" s="72" t="s">
        <v>458</v>
      </c>
      <c r="D85" s="73" t="s">
        <v>114</v>
      </c>
      <c r="E85" s="74">
        <v>448.1</v>
      </c>
      <c r="F85" s="46">
        <v>2</v>
      </c>
      <c r="G85" s="46">
        <f t="shared" si="27"/>
        <v>8.2501052631579</v>
      </c>
      <c r="H85" s="46">
        <v>8.16842105263158</v>
      </c>
      <c r="I85" s="89">
        <v>0.01</v>
      </c>
      <c r="J85" s="46">
        <f t="shared" si="28"/>
        <v>0.102501052631579</v>
      </c>
      <c r="K85" s="90">
        <f t="shared" si="21"/>
        <v>0.931734568421053</v>
      </c>
      <c r="L85" s="91">
        <f t="shared" si="29"/>
        <v>1.01559067957895</v>
      </c>
      <c r="M85" s="80">
        <f t="shared" si="30"/>
        <v>12.2999315637895</v>
      </c>
      <c r="N85" s="80">
        <f t="shared" si="31"/>
        <v>5511.59933373406</v>
      </c>
      <c r="O85" s="70" t="s">
        <v>115</v>
      </c>
      <c r="P85" s="74" t="s">
        <v>457</v>
      </c>
    </row>
    <row r="86" s="53" customFormat="1" ht="60" outlineLevel="1" spans="1:16">
      <c r="A86" s="70">
        <v>10</v>
      </c>
      <c r="B86" s="71" t="s">
        <v>171</v>
      </c>
      <c r="C86" s="72" t="s">
        <v>172</v>
      </c>
      <c r="D86" s="73" t="s">
        <v>114</v>
      </c>
      <c r="E86" s="70">
        <v>51.1</v>
      </c>
      <c r="F86" s="46">
        <v>1.2</v>
      </c>
      <c r="G86" s="46">
        <f t="shared" si="27"/>
        <v>2.11568421052631</v>
      </c>
      <c r="H86" s="46">
        <v>2.09473684210526</v>
      </c>
      <c r="I86" s="89">
        <v>0.01</v>
      </c>
      <c r="J86" s="46">
        <f t="shared" si="28"/>
        <v>0.0331568421052631</v>
      </c>
      <c r="K86" s="90">
        <f t="shared" si="21"/>
        <v>0.301395694736842</v>
      </c>
      <c r="L86" s="91">
        <f t="shared" si="29"/>
        <v>0.328521307263158</v>
      </c>
      <c r="M86" s="80">
        <f t="shared" si="30"/>
        <v>3.97875805463158</v>
      </c>
      <c r="N86" s="80">
        <f t="shared" si="31"/>
        <v>203.314536591674</v>
      </c>
      <c r="O86" s="70" t="s">
        <v>115</v>
      </c>
      <c r="P86" s="70" t="s">
        <v>171</v>
      </c>
    </row>
    <row r="87" s="53" customFormat="1" ht="24" outlineLevel="1" spans="1:16">
      <c r="A87" s="70">
        <v>11</v>
      </c>
      <c r="B87" s="71" t="s">
        <v>459</v>
      </c>
      <c r="C87" s="72" t="s">
        <v>460</v>
      </c>
      <c r="D87" s="73" t="s">
        <v>130</v>
      </c>
      <c r="E87" s="73">
        <v>1</v>
      </c>
      <c r="F87" s="46">
        <v>500</v>
      </c>
      <c r="G87" s="46">
        <f t="shared" si="27"/>
        <v>0</v>
      </c>
      <c r="H87" s="46">
        <v>0</v>
      </c>
      <c r="I87" s="89">
        <v>0.01</v>
      </c>
      <c r="J87" s="46">
        <f t="shared" si="28"/>
        <v>5</v>
      </c>
      <c r="K87" s="90">
        <f t="shared" si="21"/>
        <v>45.45</v>
      </c>
      <c r="L87" s="91">
        <f t="shared" si="29"/>
        <v>49.5405</v>
      </c>
      <c r="M87" s="80">
        <f t="shared" si="30"/>
        <v>599.9905</v>
      </c>
      <c r="N87" s="80">
        <f t="shared" si="31"/>
        <v>599.9905</v>
      </c>
      <c r="O87" s="94" t="s">
        <v>328</v>
      </c>
      <c r="P87" s="73" t="s">
        <v>459</v>
      </c>
    </row>
    <row r="88" s="54" customFormat="1" spans="1:16">
      <c r="A88" s="68">
        <v>12</v>
      </c>
      <c r="B88" s="69" t="s">
        <v>391</v>
      </c>
      <c r="C88" s="69"/>
      <c r="D88" s="77"/>
      <c r="E88" s="68"/>
      <c r="F88" s="67"/>
      <c r="G88" s="46"/>
      <c r="H88" s="67"/>
      <c r="I88" s="89"/>
      <c r="J88" s="46"/>
      <c r="K88" s="90">
        <f t="shared" si="21"/>
        <v>0</v>
      </c>
      <c r="L88" s="91"/>
      <c r="M88" s="86"/>
      <c r="N88" s="86">
        <f>SUM(N77:N87)</f>
        <v>51609.3532457054</v>
      </c>
      <c r="O88" s="68"/>
      <c r="P88" s="68"/>
    </row>
    <row r="89" s="53" customFormat="1" spans="1:16">
      <c r="A89" s="68" t="s">
        <v>61</v>
      </c>
      <c r="B89" s="69" t="s">
        <v>461</v>
      </c>
      <c r="C89" s="69"/>
      <c r="D89" s="68"/>
      <c r="E89" s="68"/>
      <c r="F89" s="67"/>
      <c r="G89" s="46"/>
      <c r="H89" s="67"/>
      <c r="I89" s="89"/>
      <c r="J89" s="46"/>
      <c r="K89" s="90">
        <f t="shared" si="21"/>
        <v>0</v>
      </c>
      <c r="L89" s="91"/>
      <c r="M89" s="86"/>
      <c r="N89" s="84"/>
      <c r="O89" s="68"/>
      <c r="P89" s="68"/>
    </row>
    <row r="90" s="53" customFormat="1" ht="60" outlineLevel="1" spans="1:16">
      <c r="A90" s="70">
        <v>1</v>
      </c>
      <c r="B90" s="71" t="s">
        <v>462</v>
      </c>
      <c r="C90" s="72" t="s">
        <v>463</v>
      </c>
      <c r="D90" s="73" t="s">
        <v>114</v>
      </c>
      <c r="E90" s="74">
        <v>2459.2</v>
      </c>
      <c r="F90" s="46">
        <v>1.5</v>
      </c>
      <c r="G90" s="46">
        <f t="shared" ref="G90:G101" si="32">H90*(1+I90)</f>
        <v>5.05</v>
      </c>
      <c r="H90" s="46">
        <v>5</v>
      </c>
      <c r="I90" s="89">
        <v>0.01</v>
      </c>
      <c r="J90" s="46">
        <f t="shared" ref="J90:J101" si="33">(F90+G90)*1%</f>
        <v>0.0655</v>
      </c>
      <c r="K90" s="90">
        <f t="shared" si="21"/>
        <v>0.595395</v>
      </c>
      <c r="L90" s="91">
        <f t="shared" ref="L90:L101" si="34">(F90+G90+J90+K90)*9%</f>
        <v>0.64898055</v>
      </c>
      <c r="M90" s="80">
        <f t="shared" ref="M90:M101" si="35">F90+G90+J90+K90+L90</f>
        <v>7.85987555</v>
      </c>
      <c r="N90" s="80">
        <f t="shared" ref="N90:N101" si="36">M90*E90</f>
        <v>19329.00595256</v>
      </c>
      <c r="O90" s="74" t="s">
        <v>115</v>
      </c>
      <c r="P90" s="74" t="s">
        <v>462</v>
      </c>
    </row>
    <row r="91" s="54" customFormat="1" spans="1:16">
      <c r="A91" s="68">
        <v>2</v>
      </c>
      <c r="B91" s="69" t="s">
        <v>391</v>
      </c>
      <c r="C91" s="69"/>
      <c r="D91" s="77"/>
      <c r="E91" s="68"/>
      <c r="F91" s="67"/>
      <c r="G91" s="46"/>
      <c r="H91" s="67"/>
      <c r="I91" s="89"/>
      <c r="J91" s="46"/>
      <c r="K91" s="90">
        <f t="shared" si="21"/>
        <v>0</v>
      </c>
      <c r="L91" s="91"/>
      <c r="M91" s="86"/>
      <c r="N91" s="86">
        <f>SUM(N90:N90)</f>
        <v>19329.00595256</v>
      </c>
      <c r="O91" s="68"/>
      <c r="P91" s="68"/>
    </row>
    <row r="92" s="53" customFormat="1" spans="1:16">
      <c r="A92" s="68" t="s">
        <v>464</v>
      </c>
      <c r="B92" s="69" t="s">
        <v>465</v>
      </c>
      <c r="C92" s="69"/>
      <c r="D92" s="68"/>
      <c r="E92" s="68"/>
      <c r="F92" s="67"/>
      <c r="G92" s="46"/>
      <c r="H92" s="67"/>
      <c r="I92" s="89"/>
      <c r="J92" s="46"/>
      <c r="K92" s="90">
        <f t="shared" si="21"/>
        <v>0</v>
      </c>
      <c r="L92" s="91"/>
      <c r="M92" s="86"/>
      <c r="N92" s="84"/>
      <c r="O92" s="68"/>
      <c r="P92" s="68"/>
    </row>
    <row r="93" s="53" customFormat="1" ht="84" outlineLevel="1" spans="1:16">
      <c r="A93" s="70">
        <v>1</v>
      </c>
      <c r="B93" s="71" t="s">
        <v>466</v>
      </c>
      <c r="C93" s="72" t="s">
        <v>467</v>
      </c>
      <c r="D93" s="73" t="s">
        <v>138</v>
      </c>
      <c r="E93" s="73">
        <v>2</v>
      </c>
      <c r="F93" s="46">
        <v>600</v>
      </c>
      <c r="G93" s="46">
        <f t="shared" si="32"/>
        <v>6060</v>
      </c>
      <c r="H93" s="46">
        <v>6000</v>
      </c>
      <c r="I93" s="89">
        <v>0.01</v>
      </c>
      <c r="J93" s="46">
        <f t="shared" si="33"/>
        <v>66.6</v>
      </c>
      <c r="K93" s="90">
        <f t="shared" si="21"/>
        <v>605.394</v>
      </c>
      <c r="L93" s="91">
        <f t="shared" si="34"/>
        <v>659.87946</v>
      </c>
      <c r="M93" s="80">
        <f t="shared" si="35"/>
        <v>7991.87346</v>
      </c>
      <c r="N93" s="80">
        <f t="shared" si="36"/>
        <v>15983.74692</v>
      </c>
      <c r="O93" s="73" t="s">
        <v>347</v>
      </c>
      <c r="P93" s="73" t="s">
        <v>468</v>
      </c>
    </row>
    <row r="94" s="53" customFormat="1" ht="72" outlineLevel="1" spans="1:16">
      <c r="A94" s="70">
        <v>2</v>
      </c>
      <c r="B94" s="71" t="s">
        <v>469</v>
      </c>
      <c r="C94" s="72" t="s">
        <v>470</v>
      </c>
      <c r="D94" s="73" t="s">
        <v>138</v>
      </c>
      <c r="E94" s="73">
        <v>2</v>
      </c>
      <c r="F94" s="46">
        <v>600</v>
      </c>
      <c r="G94" s="46">
        <f t="shared" si="32"/>
        <v>9090</v>
      </c>
      <c r="H94" s="46">
        <v>9000</v>
      </c>
      <c r="I94" s="89">
        <v>0.01</v>
      </c>
      <c r="J94" s="46">
        <f t="shared" si="33"/>
        <v>96.9</v>
      </c>
      <c r="K94" s="90">
        <f t="shared" si="21"/>
        <v>880.821</v>
      </c>
      <c r="L94" s="91">
        <f t="shared" si="34"/>
        <v>960.09489</v>
      </c>
      <c r="M94" s="80">
        <f t="shared" si="35"/>
        <v>11627.81589</v>
      </c>
      <c r="N94" s="80">
        <f t="shared" si="36"/>
        <v>23255.63178</v>
      </c>
      <c r="O94" s="73" t="s">
        <v>347</v>
      </c>
      <c r="P94" s="73" t="s">
        <v>471</v>
      </c>
    </row>
    <row r="95" s="53" customFormat="1" ht="72" outlineLevel="1" spans="1:16">
      <c r="A95" s="70">
        <v>3</v>
      </c>
      <c r="B95" s="71" t="s">
        <v>472</v>
      </c>
      <c r="C95" s="72" t="s">
        <v>473</v>
      </c>
      <c r="D95" s="73" t="s">
        <v>138</v>
      </c>
      <c r="E95" s="73">
        <v>2</v>
      </c>
      <c r="F95" s="46">
        <v>30</v>
      </c>
      <c r="G95" s="46">
        <f t="shared" si="32"/>
        <v>30.3</v>
      </c>
      <c r="H95" s="46">
        <v>30</v>
      </c>
      <c r="I95" s="89">
        <v>0.01</v>
      </c>
      <c r="J95" s="46">
        <f t="shared" si="33"/>
        <v>0.603</v>
      </c>
      <c r="K95" s="90">
        <f t="shared" si="21"/>
        <v>5.48127</v>
      </c>
      <c r="L95" s="91">
        <f t="shared" si="34"/>
        <v>5.9745843</v>
      </c>
      <c r="M95" s="80">
        <f t="shared" si="35"/>
        <v>72.3588543</v>
      </c>
      <c r="N95" s="80">
        <f t="shared" si="36"/>
        <v>144.7177086</v>
      </c>
      <c r="O95" s="73" t="s">
        <v>120</v>
      </c>
      <c r="P95" s="73" t="s">
        <v>472</v>
      </c>
    </row>
    <row r="96" s="53" customFormat="1" ht="84" outlineLevel="1" spans="1:16">
      <c r="A96" s="70">
        <v>4</v>
      </c>
      <c r="B96" s="71" t="s">
        <v>474</v>
      </c>
      <c r="C96" s="72" t="s">
        <v>475</v>
      </c>
      <c r="D96" s="73" t="s">
        <v>138</v>
      </c>
      <c r="E96" s="73">
        <v>2</v>
      </c>
      <c r="F96" s="46">
        <v>0</v>
      </c>
      <c r="G96" s="46">
        <f t="shared" si="32"/>
        <v>505</v>
      </c>
      <c r="H96" s="46">
        <v>500</v>
      </c>
      <c r="I96" s="89">
        <v>0.01</v>
      </c>
      <c r="J96" s="46">
        <f t="shared" si="33"/>
        <v>5.05</v>
      </c>
      <c r="K96" s="90">
        <f t="shared" si="21"/>
        <v>45.9045</v>
      </c>
      <c r="L96" s="91">
        <f t="shared" si="34"/>
        <v>50.035905</v>
      </c>
      <c r="M96" s="80">
        <f t="shared" si="35"/>
        <v>605.990405</v>
      </c>
      <c r="N96" s="80">
        <f t="shared" si="36"/>
        <v>1211.98081</v>
      </c>
      <c r="O96" s="73" t="s">
        <v>120</v>
      </c>
      <c r="P96" s="73" t="s">
        <v>474</v>
      </c>
    </row>
    <row r="97" s="53" customFormat="1" ht="60" outlineLevel="1" spans="1:16">
      <c r="A97" s="70">
        <v>5</v>
      </c>
      <c r="B97" s="71" t="s">
        <v>224</v>
      </c>
      <c r="C97" s="72" t="s">
        <v>225</v>
      </c>
      <c r="D97" s="73" t="s">
        <v>114</v>
      </c>
      <c r="E97" s="73">
        <v>40</v>
      </c>
      <c r="F97" s="46">
        <v>3</v>
      </c>
      <c r="G97" s="46">
        <f t="shared" si="32"/>
        <v>1.56284210526316</v>
      </c>
      <c r="H97" s="46">
        <v>1.54736842105263</v>
      </c>
      <c r="I97" s="89">
        <v>0.01</v>
      </c>
      <c r="J97" s="46">
        <f t="shared" si="33"/>
        <v>0.0456284210526316</v>
      </c>
      <c r="K97" s="90">
        <f t="shared" si="21"/>
        <v>0.414762347368421</v>
      </c>
      <c r="L97" s="91">
        <f t="shared" si="34"/>
        <v>0.452090958631579</v>
      </c>
      <c r="M97" s="80">
        <f t="shared" si="35"/>
        <v>5.47532383231579</v>
      </c>
      <c r="N97" s="80">
        <f t="shared" si="36"/>
        <v>219.012953292631</v>
      </c>
      <c r="O97" s="73" t="s">
        <v>120</v>
      </c>
      <c r="P97" s="73" t="s">
        <v>224</v>
      </c>
    </row>
    <row r="98" s="53" customFormat="1" ht="60" outlineLevel="1" spans="1:16">
      <c r="A98" s="70">
        <v>6</v>
      </c>
      <c r="B98" s="71" t="s">
        <v>427</v>
      </c>
      <c r="C98" s="72" t="s">
        <v>428</v>
      </c>
      <c r="D98" s="73" t="s">
        <v>114</v>
      </c>
      <c r="E98" s="73">
        <v>117</v>
      </c>
      <c r="F98" s="46">
        <v>1.2</v>
      </c>
      <c r="G98" s="46">
        <f t="shared" si="32"/>
        <v>2.04126315789474</v>
      </c>
      <c r="H98" s="46">
        <v>2.02105263157895</v>
      </c>
      <c r="I98" s="89">
        <v>0.01</v>
      </c>
      <c r="J98" s="46">
        <f t="shared" si="33"/>
        <v>0.0324126315789474</v>
      </c>
      <c r="K98" s="90">
        <f t="shared" si="21"/>
        <v>0.294630821052632</v>
      </c>
      <c r="L98" s="91">
        <f t="shared" si="34"/>
        <v>0.321147594947369</v>
      </c>
      <c r="M98" s="80">
        <f t="shared" si="35"/>
        <v>3.88945420547369</v>
      </c>
      <c r="N98" s="80">
        <f t="shared" si="36"/>
        <v>455.066142040421</v>
      </c>
      <c r="O98" s="73" t="s">
        <v>115</v>
      </c>
      <c r="P98" s="73" t="s">
        <v>427</v>
      </c>
    </row>
    <row r="99" s="53" customFormat="1" ht="60" outlineLevel="1" spans="1:16">
      <c r="A99" s="70">
        <v>7</v>
      </c>
      <c r="B99" s="71" t="s">
        <v>457</v>
      </c>
      <c r="C99" s="72" t="s">
        <v>458</v>
      </c>
      <c r="D99" s="73" t="s">
        <v>114</v>
      </c>
      <c r="E99" s="73">
        <v>40</v>
      </c>
      <c r="F99" s="46">
        <v>2</v>
      </c>
      <c r="G99" s="46">
        <f t="shared" si="32"/>
        <v>8.2501052631579</v>
      </c>
      <c r="H99" s="46">
        <v>8.16842105263158</v>
      </c>
      <c r="I99" s="89">
        <v>0.01</v>
      </c>
      <c r="J99" s="46">
        <f t="shared" si="33"/>
        <v>0.102501052631579</v>
      </c>
      <c r="K99" s="90">
        <f t="shared" si="21"/>
        <v>0.931734568421053</v>
      </c>
      <c r="L99" s="91">
        <f t="shared" si="34"/>
        <v>1.01559067957895</v>
      </c>
      <c r="M99" s="80">
        <f t="shared" si="35"/>
        <v>12.2999315637895</v>
      </c>
      <c r="N99" s="80">
        <f t="shared" si="36"/>
        <v>491.997262551579</v>
      </c>
      <c r="O99" s="73" t="s">
        <v>115</v>
      </c>
      <c r="P99" s="73" t="s">
        <v>457</v>
      </c>
    </row>
    <row r="100" s="53" customFormat="1" ht="60" outlineLevel="1" spans="1:16">
      <c r="A100" s="70">
        <v>8</v>
      </c>
      <c r="B100" s="71" t="s">
        <v>166</v>
      </c>
      <c r="C100" s="72" t="s">
        <v>167</v>
      </c>
      <c r="D100" s="73" t="s">
        <v>114</v>
      </c>
      <c r="E100" s="73">
        <v>40</v>
      </c>
      <c r="F100" s="46">
        <v>1.2</v>
      </c>
      <c r="G100" s="46">
        <f t="shared" si="32"/>
        <v>1.7861052631579</v>
      </c>
      <c r="H100" s="46">
        <v>1.76842105263158</v>
      </c>
      <c r="I100" s="89">
        <v>0.01</v>
      </c>
      <c r="J100" s="46">
        <f t="shared" si="33"/>
        <v>0.029861052631579</v>
      </c>
      <c r="K100" s="90">
        <f t="shared" si="21"/>
        <v>0.271436968421053</v>
      </c>
      <c r="L100" s="91">
        <f t="shared" si="34"/>
        <v>0.295866295578947</v>
      </c>
      <c r="M100" s="80">
        <f t="shared" si="35"/>
        <v>3.58326957978947</v>
      </c>
      <c r="N100" s="80">
        <f t="shared" si="36"/>
        <v>143.330783191579</v>
      </c>
      <c r="O100" s="73" t="s">
        <v>115</v>
      </c>
      <c r="P100" s="73" t="s">
        <v>166</v>
      </c>
    </row>
    <row r="101" s="53" customFormat="1" ht="24" outlineLevel="1" spans="1:16">
      <c r="A101" s="70">
        <v>9</v>
      </c>
      <c r="B101" s="71" t="s">
        <v>476</v>
      </c>
      <c r="C101" s="72" t="s">
        <v>477</v>
      </c>
      <c r="D101" s="73" t="s">
        <v>130</v>
      </c>
      <c r="E101" s="73">
        <v>1</v>
      </c>
      <c r="F101" s="46">
        <v>500</v>
      </c>
      <c r="G101" s="46">
        <f t="shared" si="32"/>
        <v>0</v>
      </c>
      <c r="H101" s="46">
        <v>0</v>
      </c>
      <c r="I101" s="89">
        <v>0.01</v>
      </c>
      <c r="J101" s="46">
        <f t="shared" si="33"/>
        <v>5</v>
      </c>
      <c r="K101" s="90">
        <f t="shared" si="21"/>
        <v>45.45</v>
      </c>
      <c r="L101" s="91">
        <f t="shared" si="34"/>
        <v>49.5405</v>
      </c>
      <c r="M101" s="80">
        <f t="shared" si="35"/>
        <v>599.9905</v>
      </c>
      <c r="N101" s="80">
        <f t="shared" si="36"/>
        <v>599.9905</v>
      </c>
      <c r="O101" s="73" t="s">
        <v>347</v>
      </c>
      <c r="P101" s="73" t="s">
        <v>476</v>
      </c>
    </row>
    <row r="102" s="54" customFormat="1" spans="1:16">
      <c r="A102" s="68">
        <v>10</v>
      </c>
      <c r="B102" s="69" t="s">
        <v>391</v>
      </c>
      <c r="C102" s="69"/>
      <c r="D102" s="77"/>
      <c r="E102" s="68"/>
      <c r="F102" s="67"/>
      <c r="G102" s="46"/>
      <c r="H102" s="67"/>
      <c r="I102" s="89"/>
      <c r="J102" s="46"/>
      <c r="K102" s="90">
        <f t="shared" si="21"/>
        <v>0</v>
      </c>
      <c r="L102" s="91"/>
      <c r="M102" s="86"/>
      <c r="N102" s="86">
        <f>SUM(N93:N101)</f>
        <v>42505.4748596762</v>
      </c>
      <c r="O102" s="68"/>
      <c r="P102" s="68"/>
    </row>
    <row r="103" s="53" customFormat="1" spans="1:16">
      <c r="A103" s="68" t="s">
        <v>478</v>
      </c>
      <c r="B103" s="69" t="s">
        <v>333</v>
      </c>
      <c r="C103" s="69"/>
      <c r="D103" s="68"/>
      <c r="E103" s="68"/>
      <c r="F103" s="67"/>
      <c r="G103" s="46"/>
      <c r="H103" s="67"/>
      <c r="I103" s="89"/>
      <c r="J103" s="46"/>
      <c r="K103" s="90">
        <f t="shared" si="21"/>
        <v>0</v>
      </c>
      <c r="L103" s="91"/>
      <c r="M103" s="86"/>
      <c r="N103" s="84"/>
      <c r="O103" s="68"/>
      <c r="P103" s="68"/>
    </row>
    <row r="104" s="53" customFormat="1" ht="72" outlineLevel="1" spans="1:16">
      <c r="A104" s="70">
        <v>1</v>
      </c>
      <c r="B104" s="71" t="s">
        <v>334</v>
      </c>
      <c r="C104" s="72" t="s">
        <v>335</v>
      </c>
      <c r="D104" s="73" t="s">
        <v>130</v>
      </c>
      <c r="E104" s="74">
        <v>14</v>
      </c>
      <c r="F104" s="46">
        <v>80</v>
      </c>
      <c r="G104" s="46">
        <f t="shared" ref="G104:G110" si="37">H104*(1+I104)</f>
        <v>243.463157894736</v>
      </c>
      <c r="H104" s="46">
        <v>241.052631578947</v>
      </c>
      <c r="I104" s="89">
        <v>0.01</v>
      </c>
      <c r="J104" s="46">
        <f t="shared" ref="J104:J110" si="38">(F104+G104)*1%</f>
        <v>3.23463157894736</v>
      </c>
      <c r="K104" s="90">
        <f t="shared" si="21"/>
        <v>29.4028010526315</v>
      </c>
      <c r="L104" s="91">
        <f t="shared" ref="L104:L110" si="39">(F104+G104+J104+K104)*9%</f>
        <v>32.0490531473684</v>
      </c>
      <c r="M104" s="80">
        <f t="shared" ref="M104:M110" si="40">F104+G104+J104+K104+L104</f>
        <v>388.149643673684</v>
      </c>
      <c r="N104" s="80">
        <f t="shared" ref="N104:N110" si="41">M104*E104</f>
        <v>5434.09501143157</v>
      </c>
      <c r="O104" s="74" t="s">
        <v>336</v>
      </c>
      <c r="P104" s="74" t="s">
        <v>337</v>
      </c>
    </row>
    <row r="105" s="53" customFormat="1" ht="84" outlineLevel="1" spans="1:16">
      <c r="A105" s="70">
        <v>2</v>
      </c>
      <c r="B105" s="71" t="s">
        <v>479</v>
      </c>
      <c r="C105" s="72" t="s">
        <v>480</v>
      </c>
      <c r="D105" s="73" t="s">
        <v>130</v>
      </c>
      <c r="E105" s="74">
        <v>1</v>
      </c>
      <c r="F105" s="46">
        <v>50</v>
      </c>
      <c r="G105" s="46">
        <f t="shared" si="37"/>
        <v>1272.6</v>
      </c>
      <c r="H105" s="46">
        <v>1260</v>
      </c>
      <c r="I105" s="89">
        <v>0.01</v>
      </c>
      <c r="J105" s="46">
        <f t="shared" si="38"/>
        <v>13.226</v>
      </c>
      <c r="K105" s="90">
        <f t="shared" si="21"/>
        <v>120.22434</v>
      </c>
      <c r="L105" s="91">
        <f t="shared" si="39"/>
        <v>131.0445306</v>
      </c>
      <c r="M105" s="80">
        <f t="shared" si="40"/>
        <v>1587.0948706</v>
      </c>
      <c r="N105" s="80">
        <f t="shared" si="41"/>
        <v>1587.0948706</v>
      </c>
      <c r="O105" s="74" t="s">
        <v>336</v>
      </c>
      <c r="P105" s="74" t="s">
        <v>481</v>
      </c>
    </row>
    <row r="106" s="53" customFormat="1" ht="84" outlineLevel="1" spans="1:16">
      <c r="A106" s="70">
        <v>3</v>
      </c>
      <c r="B106" s="71" t="s">
        <v>482</v>
      </c>
      <c r="C106" s="72" t="s">
        <v>483</v>
      </c>
      <c r="D106" s="73" t="s">
        <v>130</v>
      </c>
      <c r="E106" s="70">
        <v>1</v>
      </c>
      <c r="F106" s="46">
        <v>50</v>
      </c>
      <c r="G106" s="46">
        <f t="shared" si="37"/>
        <v>711.252631578947</v>
      </c>
      <c r="H106" s="46">
        <v>704.210526315789</v>
      </c>
      <c r="I106" s="89">
        <v>0.01</v>
      </c>
      <c r="J106" s="46">
        <f t="shared" si="38"/>
        <v>7.61252631578947</v>
      </c>
      <c r="K106" s="90">
        <f t="shared" si="21"/>
        <v>69.1978642105263</v>
      </c>
      <c r="L106" s="91">
        <f t="shared" si="39"/>
        <v>75.4256719894736</v>
      </c>
      <c r="M106" s="80">
        <f t="shared" si="40"/>
        <v>913.488694094736</v>
      </c>
      <c r="N106" s="80">
        <f t="shared" si="41"/>
        <v>913.488694094736</v>
      </c>
      <c r="O106" s="74" t="s">
        <v>336</v>
      </c>
      <c r="P106" s="70" t="s">
        <v>484</v>
      </c>
    </row>
    <row r="107" s="53" customFormat="1" ht="84" outlineLevel="1" spans="1:16">
      <c r="A107" s="70">
        <v>4</v>
      </c>
      <c r="B107" s="71" t="s">
        <v>485</v>
      </c>
      <c r="C107" s="72" t="s">
        <v>486</v>
      </c>
      <c r="D107" s="73" t="s">
        <v>130</v>
      </c>
      <c r="E107" s="70">
        <v>1</v>
      </c>
      <c r="F107" s="46">
        <v>20</v>
      </c>
      <c r="G107" s="46">
        <f t="shared" si="37"/>
        <v>280.673684210526</v>
      </c>
      <c r="H107" s="46">
        <v>277.894736842105</v>
      </c>
      <c r="I107" s="89">
        <v>0.01</v>
      </c>
      <c r="J107" s="46">
        <f t="shared" si="38"/>
        <v>3.00673684210526</v>
      </c>
      <c r="K107" s="90">
        <f t="shared" si="21"/>
        <v>27.3312378947368</v>
      </c>
      <c r="L107" s="91">
        <f t="shared" si="39"/>
        <v>29.7910493052631</v>
      </c>
      <c r="M107" s="80">
        <f t="shared" si="40"/>
        <v>360.802708252631</v>
      </c>
      <c r="N107" s="80">
        <f t="shared" si="41"/>
        <v>360.802708252631</v>
      </c>
      <c r="O107" s="74" t="s">
        <v>336</v>
      </c>
      <c r="P107" s="70" t="s">
        <v>487</v>
      </c>
    </row>
    <row r="108" s="53" customFormat="1" ht="84" outlineLevel="1" spans="1:16">
      <c r="A108" s="70">
        <v>5</v>
      </c>
      <c r="B108" s="71" t="s">
        <v>488</v>
      </c>
      <c r="C108" s="72" t="s">
        <v>489</v>
      </c>
      <c r="D108" s="73" t="s">
        <v>130</v>
      </c>
      <c r="E108" s="70">
        <v>1</v>
      </c>
      <c r="F108" s="46">
        <v>20</v>
      </c>
      <c r="G108" s="46">
        <f t="shared" si="37"/>
        <v>680.421052631579</v>
      </c>
      <c r="H108" s="46">
        <v>673.684210526316</v>
      </c>
      <c r="I108" s="89">
        <v>0.01</v>
      </c>
      <c r="J108" s="46">
        <f t="shared" si="38"/>
        <v>7.00421052631579</v>
      </c>
      <c r="K108" s="90">
        <f t="shared" si="21"/>
        <v>63.6682736842105</v>
      </c>
      <c r="L108" s="91">
        <f t="shared" si="39"/>
        <v>69.3984183157895</v>
      </c>
      <c r="M108" s="80">
        <f t="shared" si="40"/>
        <v>840.491955157895</v>
      </c>
      <c r="N108" s="80">
        <f t="shared" si="41"/>
        <v>840.491955157895</v>
      </c>
      <c r="O108" s="74" t="s">
        <v>336</v>
      </c>
      <c r="P108" s="70" t="s">
        <v>490</v>
      </c>
    </row>
    <row r="109" s="53" customFormat="1" ht="84" outlineLevel="1" spans="1:16">
      <c r="A109" s="70">
        <v>6</v>
      </c>
      <c r="B109" s="71" t="s">
        <v>491</v>
      </c>
      <c r="C109" s="72" t="s">
        <v>492</v>
      </c>
      <c r="D109" s="73" t="s">
        <v>130</v>
      </c>
      <c r="E109" s="70">
        <v>1</v>
      </c>
      <c r="F109" s="46">
        <v>30</v>
      </c>
      <c r="G109" s="46">
        <f t="shared" si="37"/>
        <v>935.578947368421</v>
      </c>
      <c r="H109" s="46">
        <v>926.315789473684</v>
      </c>
      <c r="I109" s="89">
        <v>0.01</v>
      </c>
      <c r="J109" s="46">
        <f t="shared" si="38"/>
        <v>9.65578947368421</v>
      </c>
      <c r="K109" s="90">
        <f t="shared" si="21"/>
        <v>87.7711263157895</v>
      </c>
      <c r="L109" s="91">
        <f t="shared" si="39"/>
        <v>95.6705276842105</v>
      </c>
      <c r="M109" s="80">
        <f t="shared" si="40"/>
        <v>1158.67639084211</v>
      </c>
      <c r="N109" s="80">
        <f t="shared" si="41"/>
        <v>1158.67639084211</v>
      </c>
      <c r="O109" s="74" t="s">
        <v>336</v>
      </c>
      <c r="P109" s="70" t="s">
        <v>493</v>
      </c>
    </row>
    <row r="110" s="53" customFormat="1" ht="60" outlineLevel="1" spans="1:16">
      <c r="A110" s="70">
        <v>7</v>
      </c>
      <c r="B110" s="71" t="s">
        <v>494</v>
      </c>
      <c r="C110" s="72" t="s">
        <v>495</v>
      </c>
      <c r="D110" s="73" t="s">
        <v>114</v>
      </c>
      <c r="E110" s="70">
        <v>872.22</v>
      </c>
      <c r="F110" s="46">
        <v>1.5</v>
      </c>
      <c r="G110" s="46">
        <f t="shared" si="37"/>
        <v>2.828</v>
      </c>
      <c r="H110" s="46">
        <v>2.8</v>
      </c>
      <c r="I110" s="89">
        <v>0.01</v>
      </c>
      <c r="J110" s="46">
        <f t="shared" si="38"/>
        <v>0.04328</v>
      </c>
      <c r="K110" s="90">
        <f t="shared" si="21"/>
        <v>0.3934152</v>
      </c>
      <c r="L110" s="91">
        <f t="shared" si="39"/>
        <v>0.428822568</v>
      </c>
      <c r="M110" s="80">
        <f t="shared" si="40"/>
        <v>5.193517768</v>
      </c>
      <c r="N110" s="80">
        <f t="shared" si="41"/>
        <v>4529.89006760496</v>
      </c>
      <c r="O110" s="70" t="s">
        <v>120</v>
      </c>
      <c r="P110" s="70" t="s">
        <v>494</v>
      </c>
    </row>
    <row r="111" s="54" customFormat="1" spans="1:16">
      <c r="A111" s="68">
        <v>8</v>
      </c>
      <c r="B111" s="69" t="s">
        <v>391</v>
      </c>
      <c r="C111" s="69"/>
      <c r="D111" s="77"/>
      <c r="E111" s="68"/>
      <c r="F111" s="67"/>
      <c r="G111" s="46"/>
      <c r="H111" s="67"/>
      <c r="I111" s="89"/>
      <c r="J111" s="46"/>
      <c r="K111" s="90">
        <f t="shared" si="21"/>
        <v>0</v>
      </c>
      <c r="L111" s="91"/>
      <c r="M111" s="86"/>
      <c r="N111" s="86">
        <f>SUM(N104:N110)</f>
        <v>14824.5396979839</v>
      </c>
      <c r="O111" s="68"/>
      <c r="P111" s="68"/>
    </row>
    <row r="112" s="53" customFormat="1" spans="1:16">
      <c r="A112" s="83" t="s">
        <v>496</v>
      </c>
      <c r="B112" s="69" t="s">
        <v>497</v>
      </c>
      <c r="C112" s="69"/>
      <c r="D112" s="68"/>
      <c r="E112" s="68"/>
      <c r="F112" s="67"/>
      <c r="G112" s="46"/>
      <c r="H112" s="67"/>
      <c r="I112" s="89"/>
      <c r="J112" s="46"/>
      <c r="K112" s="90">
        <f t="shared" si="21"/>
        <v>0</v>
      </c>
      <c r="L112" s="91"/>
      <c r="M112" s="86"/>
      <c r="N112" s="84"/>
      <c r="O112" s="68"/>
      <c r="P112" s="68"/>
    </row>
    <row r="113" s="53" customFormat="1" ht="108" outlineLevel="1" spans="1:16">
      <c r="A113" s="70">
        <v>1</v>
      </c>
      <c r="B113" s="71" t="s">
        <v>498</v>
      </c>
      <c r="C113" s="72" t="s">
        <v>499</v>
      </c>
      <c r="D113" s="73" t="s">
        <v>138</v>
      </c>
      <c r="E113" s="73">
        <v>1</v>
      </c>
      <c r="F113" s="46">
        <v>1000</v>
      </c>
      <c r="G113" s="46">
        <f t="shared" ref="G113:G118" si="42">H113*(1+I113)</f>
        <v>15150</v>
      </c>
      <c r="H113" s="46">
        <v>15000</v>
      </c>
      <c r="I113" s="89">
        <v>0.01</v>
      </c>
      <c r="J113" s="46">
        <f t="shared" ref="J113:J118" si="43">(F113+G113)*1%</f>
        <v>161.5</v>
      </c>
      <c r="K113" s="90">
        <f t="shared" si="21"/>
        <v>1468.035</v>
      </c>
      <c r="L113" s="91">
        <f t="shared" ref="L113:L118" si="44">(F113+G113+J113+K113)*9%</f>
        <v>1600.15815</v>
      </c>
      <c r="M113" s="80">
        <f t="shared" ref="M113:M118" si="45">F113+G113+J113+K113+L113</f>
        <v>19379.69315</v>
      </c>
      <c r="N113" s="80">
        <f t="shared" ref="N113:N118" si="46">M113*E113</f>
        <v>19379.69315</v>
      </c>
      <c r="O113" s="73" t="s">
        <v>500</v>
      </c>
      <c r="P113" s="73" t="s">
        <v>501</v>
      </c>
    </row>
    <row r="114" s="53" customFormat="1" ht="84" outlineLevel="1" spans="1:16">
      <c r="A114" s="70">
        <v>2</v>
      </c>
      <c r="B114" s="71" t="s">
        <v>502</v>
      </c>
      <c r="C114" s="72" t="s">
        <v>503</v>
      </c>
      <c r="D114" s="73" t="s">
        <v>138</v>
      </c>
      <c r="E114" s="73">
        <v>2</v>
      </c>
      <c r="F114" s="46">
        <v>20</v>
      </c>
      <c r="G114" s="46">
        <f t="shared" si="42"/>
        <v>1515</v>
      </c>
      <c r="H114" s="46">
        <v>1500</v>
      </c>
      <c r="I114" s="89">
        <v>0.01</v>
      </c>
      <c r="J114" s="46">
        <f t="shared" si="43"/>
        <v>15.35</v>
      </c>
      <c r="K114" s="90">
        <f t="shared" si="21"/>
        <v>139.5315</v>
      </c>
      <c r="L114" s="91">
        <f t="shared" si="44"/>
        <v>152.089335</v>
      </c>
      <c r="M114" s="80">
        <f t="shared" si="45"/>
        <v>1841.970835</v>
      </c>
      <c r="N114" s="80">
        <f t="shared" si="46"/>
        <v>3683.94167</v>
      </c>
      <c r="O114" s="73" t="s">
        <v>120</v>
      </c>
      <c r="P114" s="73" t="s">
        <v>502</v>
      </c>
    </row>
    <row r="115" s="53" customFormat="1" ht="60" outlineLevel="1" spans="1:16">
      <c r="A115" s="70">
        <v>3</v>
      </c>
      <c r="B115" s="78" t="s">
        <v>504</v>
      </c>
      <c r="C115" s="72" t="s">
        <v>505</v>
      </c>
      <c r="D115" s="73" t="s">
        <v>114</v>
      </c>
      <c r="E115" s="73">
        <v>116.89</v>
      </c>
      <c r="F115" s="46">
        <v>1.2</v>
      </c>
      <c r="G115" s="46">
        <f t="shared" si="42"/>
        <v>2.38147368421053</v>
      </c>
      <c r="H115" s="46">
        <v>2.35789473684211</v>
      </c>
      <c r="I115" s="89">
        <v>0.01</v>
      </c>
      <c r="J115" s="46">
        <f t="shared" si="43"/>
        <v>0.0358147368421053</v>
      </c>
      <c r="K115" s="90">
        <f t="shared" si="21"/>
        <v>0.325555957894737</v>
      </c>
      <c r="L115" s="91">
        <f t="shared" si="44"/>
        <v>0.354855994105264</v>
      </c>
      <c r="M115" s="80">
        <f t="shared" si="45"/>
        <v>4.29770037305264</v>
      </c>
      <c r="N115" s="80">
        <f t="shared" si="46"/>
        <v>502.358196606123</v>
      </c>
      <c r="O115" s="73" t="s">
        <v>120</v>
      </c>
      <c r="P115" s="73" t="s">
        <v>504</v>
      </c>
    </row>
    <row r="116" s="53" customFormat="1" ht="60" outlineLevel="1" spans="1:16">
      <c r="A116" s="70">
        <v>4</v>
      </c>
      <c r="B116" s="71" t="s">
        <v>166</v>
      </c>
      <c r="C116" s="72" t="s">
        <v>167</v>
      </c>
      <c r="D116" s="73" t="s">
        <v>114</v>
      </c>
      <c r="E116" s="73">
        <v>54.36</v>
      </c>
      <c r="F116" s="46">
        <v>1.2</v>
      </c>
      <c r="G116" s="46">
        <f t="shared" si="42"/>
        <v>1.7861052631579</v>
      </c>
      <c r="H116" s="46">
        <v>1.76842105263158</v>
      </c>
      <c r="I116" s="89">
        <v>0.01</v>
      </c>
      <c r="J116" s="46">
        <f t="shared" si="43"/>
        <v>0.029861052631579</v>
      </c>
      <c r="K116" s="90">
        <f t="shared" si="21"/>
        <v>0.271436968421053</v>
      </c>
      <c r="L116" s="91">
        <f t="shared" si="44"/>
        <v>0.295866295578947</v>
      </c>
      <c r="M116" s="80">
        <f t="shared" si="45"/>
        <v>3.58326957978947</v>
      </c>
      <c r="N116" s="80">
        <f t="shared" si="46"/>
        <v>194.786534357356</v>
      </c>
      <c r="O116" s="73" t="s">
        <v>115</v>
      </c>
      <c r="P116" s="73" t="s">
        <v>166</v>
      </c>
    </row>
    <row r="117" s="53" customFormat="1" ht="60" outlineLevel="1" spans="1:16">
      <c r="A117" s="70">
        <v>5</v>
      </c>
      <c r="B117" s="71" t="s">
        <v>506</v>
      </c>
      <c r="C117" s="72" t="s">
        <v>507</v>
      </c>
      <c r="D117" s="73" t="s">
        <v>114</v>
      </c>
      <c r="E117" s="73">
        <v>54.36</v>
      </c>
      <c r="F117" s="46">
        <v>2</v>
      </c>
      <c r="G117" s="46">
        <f t="shared" si="42"/>
        <v>17.2231578947369</v>
      </c>
      <c r="H117" s="46">
        <v>17.0526315789474</v>
      </c>
      <c r="I117" s="89">
        <v>0.01</v>
      </c>
      <c r="J117" s="46">
        <f t="shared" si="43"/>
        <v>0.192231578947369</v>
      </c>
      <c r="K117" s="90">
        <f t="shared" si="21"/>
        <v>1.74738505263158</v>
      </c>
      <c r="L117" s="91">
        <f t="shared" si="44"/>
        <v>1.90464970736842</v>
      </c>
      <c r="M117" s="80">
        <f t="shared" si="45"/>
        <v>23.0674242336842</v>
      </c>
      <c r="N117" s="80">
        <f t="shared" si="46"/>
        <v>1253.94518134308</v>
      </c>
      <c r="O117" s="73" t="s">
        <v>120</v>
      </c>
      <c r="P117" s="73" t="s">
        <v>506</v>
      </c>
    </row>
    <row r="118" s="53" customFormat="1" ht="24" outlineLevel="1" spans="1:16">
      <c r="A118" s="70">
        <v>6</v>
      </c>
      <c r="B118" s="71" t="s">
        <v>508</v>
      </c>
      <c r="C118" s="72" t="s">
        <v>509</v>
      </c>
      <c r="D118" s="73" t="s">
        <v>130</v>
      </c>
      <c r="E118" s="73">
        <v>1</v>
      </c>
      <c r="F118" s="46">
        <v>500</v>
      </c>
      <c r="G118" s="46">
        <f t="shared" si="42"/>
        <v>0</v>
      </c>
      <c r="H118" s="46">
        <v>0</v>
      </c>
      <c r="I118" s="89">
        <v>0.01</v>
      </c>
      <c r="J118" s="46">
        <f t="shared" si="43"/>
        <v>5</v>
      </c>
      <c r="K118" s="90">
        <f t="shared" si="21"/>
        <v>45.45</v>
      </c>
      <c r="L118" s="91">
        <f t="shared" si="44"/>
        <v>49.5405</v>
      </c>
      <c r="M118" s="80">
        <f t="shared" si="45"/>
        <v>599.9905</v>
      </c>
      <c r="N118" s="80">
        <f t="shared" si="46"/>
        <v>599.9905</v>
      </c>
      <c r="O118" s="73" t="s">
        <v>510</v>
      </c>
      <c r="P118" s="73" t="s">
        <v>508</v>
      </c>
    </row>
    <row r="119" s="54" customFormat="1" spans="1:16">
      <c r="A119" s="68">
        <v>7</v>
      </c>
      <c r="B119" s="69" t="s">
        <v>391</v>
      </c>
      <c r="C119" s="69"/>
      <c r="D119" s="77"/>
      <c r="E119" s="68"/>
      <c r="F119" s="67"/>
      <c r="G119" s="46"/>
      <c r="H119" s="67"/>
      <c r="I119" s="89"/>
      <c r="J119" s="46"/>
      <c r="K119" s="90">
        <f t="shared" si="21"/>
        <v>0</v>
      </c>
      <c r="L119" s="91"/>
      <c r="M119" s="86"/>
      <c r="N119" s="86">
        <f>SUM(N113:N118)</f>
        <v>25614.7152323066</v>
      </c>
      <c r="O119" s="68"/>
      <c r="P119" s="68"/>
    </row>
    <row r="120" s="53" customFormat="1" spans="1:16">
      <c r="A120" s="83" t="s">
        <v>511</v>
      </c>
      <c r="B120" s="69" t="s">
        <v>512</v>
      </c>
      <c r="C120" s="69"/>
      <c r="D120" s="68"/>
      <c r="E120" s="68"/>
      <c r="F120" s="67"/>
      <c r="G120" s="46"/>
      <c r="H120" s="67"/>
      <c r="I120" s="89"/>
      <c r="J120" s="46"/>
      <c r="K120" s="90">
        <f t="shared" si="21"/>
        <v>0</v>
      </c>
      <c r="L120" s="91"/>
      <c r="M120" s="86"/>
      <c r="N120" s="84"/>
      <c r="O120" s="68"/>
      <c r="P120" s="68"/>
    </row>
    <row r="121" s="53" customFormat="1" ht="72" outlineLevel="1" spans="1:16">
      <c r="A121" s="70">
        <v>1</v>
      </c>
      <c r="B121" s="71" t="s">
        <v>421</v>
      </c>
      <c r="C121" s="72" t="s">
        <v>513</v>
      </c>
      <c r="D121" s="73" t="s">
        <v>138</v>
      </c>
      <c r="E121" s="74">
        <v>1</v>
      </c>
      <c r="F121" s="46"/>
      <c r="G121" s="46">
        <f t="shared" ref="G121:G133" si="47">H121*(1+I121)</f>
        <v>108.442105263158</v>
      </c>
      <c r="H121" s="46">
        <v>107.368421052632</v>
      </c>
      <c r="I121" s="89">
        <v>0.01</v>
      </c>
      <c r="J121" s="46">
        <f t="shared" ref="J121:J133" si="48">(F121+G121)*1%</f>
        <v>1.08442105263158</v>
      </c>
      <c r="K121" s="90">
        <f t="shared" si="21"/>
        <v>9.85738736842109</v>
      </c>
      <c r="L121" s="91">
        <f t="shared" ref="L121:L133" si="49">(F121+G121+J121+K121)*9%</f>
        <v>10.744552231579</v>
      </c>
      <c r="M121" s="80">
        <f t="shared" ref="M121:M133" si="50">F121+G121+J121+K121+L121</f>
        <v>130.12846591579</v>
      </c>
      <c r="N121" s="80">
        <f t="shared" ref="N121:N133" si="51">M121*E121</f>
        <v>130.12846591579</v>
      </c>
      <c r="O121" s="74" t="s">
        <v>151</v>
      </c>
      <c r="P121" s="74" t="s">
        <v>421</v>
      </c>
    </row>
    <row r="122" s="53" customFormat="1" ht="36" outlineLevel="1" spans="1:16">
      <c r="A122" s="70">
        <v>2</v>
      </c>
      <c r="B122" s="71" t="s">
        <v>514</v>
      </c>
      <c r="C122" s="72" t="s">
        <v>515</v>
      </c>
      <c r="D122" s="73" t="s">
        <v>130</v>
      </c>
      <c r="E122" s="73">
        <v>1</v>
      </c>
      <c r="F122" s="46">
        <v>500</v>
      </c>
      <c r="G122" s="46">
        <f t="shared" si="47"/>
        <v>0</v>
      </c>
      <c r="H122" s="46">
        <v>0</v>
      </c>
      <c r="I122" s="89">
        <v>0.01</v>
      </c>
      <c r="J122" s="46">
        <f t="shared" si="48"/>
        <v>5</v>
      </c>
      <c r="K122" s="90">
        <f t="shared" si="21"/>
        <v>45.45</v>
      </c>
      <c r="L122" s="91">
        <f t="shared" si="49"/>
        <v>49.5405</v>
      </c>
      <c r="M122" s="80">
        <f t="shared" si="50"/>
        <v>599.9905</v>
      </c>
      <c r="N122" s="80">
        <f t="shared" si="51"/>
        <v>599.9905</v>
      </c>
      <c r="O122" s="74" t="s">
        <v>151</v>
      </c>
      <c r="P122" s="73" t="s">
        <v>514</v>
      </c>
    </row>
    <row r="123" s="54" customFormat="1" spans="1:16">
      <c r="A123" s="68">
        <v>3</v>
      </c>
      <c r="B123" s="69" t="s">
        <v>391</v>
      </c>
      <c r="C123" s="69"/>
      <c r="D123" s="77"/>
      <c r="E123" s="68"/>
      <c r="F123" s="67"/>
      <c r="G123" s="46"/>
      <c r="H123" s="67"/>
      <c r="I123" s="89"/>
      <c r="J123" s="46"/>
      <c r="K123" s="90">
        <f t="shared" si="21"/>
        <v>0</v>
      </c>
      <c r="L123" s="91"/>
      <c r="M123" s="86"/>
      <c r="N123" s="86">
        <f>SUM(N121:N122)</f>
        <v>730.11896591579</v>
      </c>
      <c r="O123" s="68"/>
      <c r="P123" s="68"/>
    </row>
    <row r="124" s="53" customFormat="1" spans="1:16">
      <c r="A124" s="83" t="s">
        <v>516</v>
      </c>
      <c r="B124" s="69" t="s">
        <v>517</v>
      </c>
      <c r="C124" s="69"/>
      <c r="D124" s="68"/>
      <c r="E124" s="68"/>
      <c r="F124" s="67"/>
      <c r="G124" s="46"/>
      <c r="H124" s="67"/>
      <c r="I124" s="89"/>
      <c r="J124" s="46"/>
      <c r="K124" s="90">
        <f t="shared" si="21"/>
        <v>0</v>
      </c>
      <c r="L124" s="91"/>
      <c r="M124" s="86"/>
      <c r="N124" s="84"/>
      <c r="O124" s="68"/>
      <c r="P124" s="68"/>
    </row>
    <row r="125" s="53" customFormat="1" ht="72" outlineLevel="1" spans="1:16">
      <c r="A125" s="70">
        <v>1</v>
      </c>
      <c r="B125" s="76" t="s">
        <v>217</v>
      </c>
      <c r="C125" s="76" t="s">
        <v>218</v>
      </c>
      <c r="D125" s="93" t="s">
        <v>219</v>
      </c>
      <c r="E125" s="74">
        <v>13</v>
      </c>
      <c r="F125" s="46">
        <v>300</v>
      </c>
      <c r="G125" s="46">
        <f t="shared" si="47"/>
        <v>202</v>
      </c>
      <c r="H125" s="46">
        <v>200</v>
      </c>
      <c r="I125" s="89">
        <v>0.01</v>
      </c>
      <c r="J125" s="46">
        <f t="shared" si="48"/>
        <v>5.02</v>
      </c>
      <c r="K125" s="90">
        <f t="shared" si="21"/>
        <v>45.6318</v>
      </c>
      <c r="L125" s="91">
        <f t="shared" si="49"/>
        <v>49.738662</v>
      </c>
      <c r="M125" s="80">
        <f t="shared" si="50"/>
        <v>602.390462</v>
      </c>
      <c r="N125" s="80">
        <f t="shared" si="51"/>
        <v>7831.076006</v>
      </c>
      <c r="O125" s="74" t="s">
        <v>120</v>
      </c>
      <c r="P125" s="74" t="s">
        <v>217</v>
      </c>
    </row>
    <row r="126" s="53" customFormat="1" ht="72" outlineLevel="1" spans="1:16">
      <c r="A126" s="70">
        <v>2</v>
      </c>
      <c r="B126" s="76" t="s">
        <v>518</v>
      </c>
      <c r="C126" s="76" t="s">
        <v>519</v>
      </c>
      <c r="D126" s="93" t="s">
        <v>219</v>
      </c>
      <c r="E126" s="74">
        <v>1</v>
      </c>
      <c r="F126" s="46">
        <v>500</v>
      </c>
      <c r="G126" s="46">
        <f t="shared" si="47"/>
        <v>505</v>
      </c>
      <c r="H126" s="46">
        <v>500</v>
      </c>
      <c r="I126" s="89">
        <v>0.01</v>
      </c>
      <c r="J126" s="46">
        <f t="shared" si="48"/>
        <v>10.05</v>
      </c>
      <c r="K126" s="90">
        <f t="shared" si="21"/>
        <v>91.3545</v>
      </c>
      <c r="L126" s="91">
        <f t="shared" si="49"/>
        <v>99.576405</v>
      </c>
      <c r="M126" s="80">
        <f t="shared" si="50"/>
        <v>1205.980905</v>
      </c>
      <c r="N126" s="80">
        <f t="shared" si="51"/>
        <v>1205.980905</v>
      </c>
      <c r="O126" s="74" t="s">
        <v>120</v>
      </c>
      <c r="P126" s="74" t="s">
        <v>518</v>
      </c>
    </row>
    <row r="127" s="53" customFormat="1" ht="84" outlineLevel="1" spans="1:16">
      <c r="A127" s="70">
        <v>3</v>
      </c>
      <c r="B127" s="71" t="s">
        <v>206</v>
      </c>
      <c r="C127" s="72" t="s">
        <v>207</v>
      </c>
      <c r="D127" s="73" t="s">
        <v>133</v>
      </c>
      <c r="E127" s="74">
        <v>14</v>
      </c>
      <c r="F127" s="46">
        <v>300</v>
      </c>
      <c r="G127" s="46">
        <f t="shared" si="47"/>
        <v>252.5</v>
      </c>
      <c r="H127" s="46">
        <v>250</v>
      </c>
      <c r="I127" s="89">
        <v>0.01</v>
      </c>
      <c r="J127" s="46">
        <f t="shared" si="48"/>
        <v>5.525</v>
      </c>
      <c r="K127" s="90">
        <f t="shared" si="21"/>
        <v>50.22225</v>
      </c>
      <c r="L127" s="91">
        <f t="shared" si="49"/>
        <v>54.7422525</v>
      </c>
      <c r="M127" s="80">
        <f t="shared" si="50"/>
        <v>662.9895025</v>
      </c>
      <c r="N127" s="80">
        <f t="shared" si="51"/>
        <v>9281.853035</v>
      </c>
      <c r="O127" s="74" t="s">
        <v>120</v>
      </c>
      <c r="P127" s="74" t="s">
        <v>206</v>
      </c>
    </row>
    <row r="128" s="53" customFormat="1" ht="60" outlineLevel="1" spans="1:16">
      <c r="A128" s="70">
        <v>4</v>
      </c>
      <c r="B128" s="76" t="s">
        <v>221</v>
      </c>
      <c r="C128" s="76" t="s">
        <v>222</v>
      </c>
      <c r="D128" s="93" t="s">
        <v>114</v>
      </c>
      <c r="E128" s="70">
        <v>710.56</v>
      </c>
      <c r="F128" s="46">
        <v>10</v>
      </c>
      <c r="G128" s="46">
        <f t="shared" si="47"/>
        <v>10.1</v>
      </c>
      <c r="H128" s="46">
        <v>10</v>
      </c>
      <c r="I128" s="89">
        <v>0.01</v>
      </c>
      <c r="J128" s="46">
        <f t="shared" si="48"/>
        <v>0.201</v>
      </c>
      <c r="K128" s="90">
        <f t="shared" si="21"/>
        <v>1.82709</v>
      </c>
      <c r="L128" s="91">
        <f t="shared" si="49"/>
        <v>1.9915281</v>
      </c>
      <c r="M128" s="80">
        <f t="shared" si="50"/>
        <v>24.1196181</v>
      </c>
      <c r="N128" s="80">
        <f t="shared" si="51"/>
        <v>17138.435837136</v>
      </c>
      <c r="O128" s="74" t="s">
        <v>120</v>
      </c>
      <c r="P128" s="70" t="s">
        <v>221</v>
      </c>
    </row>
    <row r="129" s="53" customFormat="1" ht="48" outlineLevel="1" spans="1:16">
      <c r="A129" s="70">
        <v>5</v>
      </c>
      <c r="B129" s="76" t="s">
        <v>520</v>
      </c>
      <c r="C129" s="76" t="s">
        <v>521</v>
      </c>
      <c r="D129" s="93" t="s">
        <v>114</v>
      </c>
      <c r="E129" s="70">
        <v>54</v>
      </c>
      <c r="F129" s="46">
        <v>20</v>
      </c>
      <c r="G129" s="46">
        <f t="shared" si="47"/>
        <v>65.65</v>
      </c>
      <c r="H129" s="46">
        <v>65</v>
      </c>
      <c r="I129" s="89">
        <v>0.01</v>
      </c>
      <c r="J129" s="46">
        <f t="shared" si="48"/>
        <v>0.8565</v>
      </c>
      <c r="K129" s="90">
        <f t="shared" si="21"/>
        <v>7.785585</v>
      </c>
      <c r="L129" s="91">
        <f t="shared" si="49"/>
        <v>8.48628765</v>
      </c>
      <c r="M129" s="80">
        <f t="shared" si="50"/>
        <v>102.77837265</v>
      </c>
      <c r="N129" s="80">
        <f t="shared" si="51"/>
        <v>5550.0321231</v>
      </c>
      <c r="O129" s="74" t="s">
        <v>120</v>
      </c>
      <c r="P129" s="70" t="s">
        <v>520</v>
      </c>
    </row>
    <row r="130" s="53" customFormat="1" ht="60" outlineLevel="1" spans="1:16">
      <c r="A130" s="70">
        <v>6</v>
      </c>
      <c r="B130" s="71" t="s">
        <v>118</v>
      </c>
      <c r="C130" s="72" t="s">
        <v>119</v>
      </c>
      <c r="D130" s="73" t="s">
        <v>114</v>
      </c>
      <c r="E130" s="70">
        <v>1900.98</v>
      </c>
      <c r="F130" s="46">
        <v>3</v>
      </c>
      <c r="G130" s="46">
        <f t="shared" si="47"/>
        <v>0.9393</v>
      </c>
      <c r="H130" s="46">
        <v>0.93</v>
      </c>
      <c r="I130" s="89">
        <v>0.01</v>
      </c>
      <c r="J130" s="46">
        <f t="shared" si="48"/>
        <v>0.039393</v>
      </c>
      <c r="K130" s="90">
        <f t="shared" si="21"/>
        <v>0.35808237</v>
      </c>
      <c r="L130" s="91">
        <f t="shared" si="49"/>
        <v>0.3903097833</v>
      </c>
      <c r="M130" s="80">
        <f t="shared" si="50"/>
        <v>4.7270851533</v>
      </c>
      <c r="N130" s="80">
        <f t="shared" si="51"/>
        <v>8986.09433472023</v>
      </c>
      <c r="O130" s="74" t="s">
        <v>120</v>
      </c>
      <c r="P130" s="70" t="s">
        <v>118</v>
      </c>
    </row>
    <row r="131" s="53" customFormat="1" ht="60" outlineLevel="1" spans="1:16">
      <c r="A131" s="70">
        <v>7</v>
      </c>
      <c r="B131" s="71" t="s">
        <v>224</v>
      </c>
      <c r="C131" s="72" t="s">
        <v>225</v>
      </c>
      <c r="D131" s="73" t="s">
        <v>114</v>
      </c>
      <c r="E131" s="70">
        <v>27.27</v>
      </c>
      <c r="F131" s="46">
        <v>3</v>
      </c>
      <c r="G131" s="46">
        <f t="shared" si="47"/>
        <v>1.56284210526316</v>
      </c>
      <c r="H131" s="46">
        <v>1.54736842105263</v>
      </c>
      <c r="I131" s="89">
        <v>0.01</v>
      </c>
      <c r="J131" s="46">
        <f t="shared" si="48"/>
        <v>0.0456284210526316</v>
      </c>
      <c r="K131" s="90">
        <f t="shared" si="21"/>
        <v>0.414762347368421</v>
      </c>
      <c r="L131" s="91">
        <f t="shared" si="49"/>
        <v>0.452090958631579</v>
      </c>
      <c r="M131" s="80">
        <f t="shared" si="50"/>
        <v>5.47532383231579</v>
      </c>
      <c r="N131" s="80">
        <f t="shared" si="51"/>
        <v>149.312080907252</v>
      </c>
      <c r="O131" s="74" t="s">
        <v>120</v>
      </c>
      <c r="P131" s="70" t="s">
        <v>224</v>
      </c>
    </row>
    <row r="132" s="53" customFormat="1" ht="36" outlineLevel="1" spans="1:16">
      <c r="A132" s="70">
        <v>8</v>
      </c>
      <c r="B132" s="76" t="s">
        <v>121</v>
      </c>
      <c r="C132" s="76" t="s">
        <v>122</v>
      </c>
      <c r="D132" s="93" t="s">
        <v>123</v>
      </c>
      <c r="E132" s="70">
        <v>113.6</v>
      </c>
      <c r="F132" s="46">
        <v>25</v>
      </c>
      <c r="G132" s="46">
        <f t="shared" si="47"/>
        <v>6.06</v>
      </c>
      <c r="H132" s="46">
        <v>6</v>
      </c>
      <c r="I132" s="89">
        <v>0.01</v>
      </c>
      <c r="J132" s="46">
        <f t="shared" si="48"/>
        <v>0.3106</v>
      </c>
      <c r="K132" s="90">
        <f t="shared" si="21"/>
        <v>2.823354</v>
      </c>
      <c r="L132" s="91">
        <f t="shared" si="49"/>
        <v>3.07745586</v>
      </c>
      <c r="M132" s="80">
        <f t="shared" si="50"/>
        <v>37.27140986</v>
      </c>
      <c r="N132" s="80">
        <f t="shared" si="51"/>
        <v>4234.032160096</v>
      </c>
      <c r="O132" s="74"/>
      <c r="P132" s="70" t="s">
        <v>121</v>
      </c>
    </row>
    <row r="133" s="53" customFormat="1" ht="36" outlineLevel="1" spans="1:16">
      <c r="A133" s="70">
        <v>9</v>
      </c>
      <c r="B133" s="76" t="s">
        <v>125</v>
      </c>
      <c r="C133" s="76" t="s">
        <v>126</v>
      </c>
      <c r="D133" s="93" t="s">
        <v>123</v>
      </c>
      <c r="E133" s="70">
        <v>113.6</v>
      </c>
      <c r="F133" s="46">
        <v>10</v>
      </c>
      <c r="G133" s="46">
        <f t="shared" si="47"/>
        <v>0</v>
      </c>
      <c r="H133" s="46">
        <v>0</v>
      </c>
      <c r="I133" s="89">
        <v>0.01</v>
      </c>
      <c r="J133" s="46">
        <f t="shared" si="48"/>
        <v>0.1</v>
      </c>
      <c r="K133" s="90">
        <f t="shared" si="21"/>
        <v>0.909</v>
      </c>
      <c r="L133" s="91">
        <f t="shared" si="49"/>
        <v>0.99081</v>
      </c>
      <c r="M133" s="80">
        <f t="shared" si="50"/>
        <v>11.99981</v>
      </c>
      <c r="N133" s="80">
        <f t="shared" si="51"/>
        <v>1363.178416</v>
      </c>
      <c r="O133" s="74"/>
      <c r="P133" s="70" t="s">
        <v>125</v>
      </c>
    </row>
    <row r="134" s="54" customFormat="1" spans="1:16">
      <c r="A134" s="68">
        <v>10</v>
      </c>
      <c r="B134" s="69" t="s">
        <v>391</v>
      </c>
      <c r="C134" s="69"/>
      <c r="D134" s="77"/>
      <c r="E134" s="68"/>
      <c r="F134" s="67"/>
      <c r="G134" s="46"/>
      <c r="H134" s="67"/>
      <c r="I134" s="89"/>
      <c r="J134" s="46"/>
      <c r="K134" s="90">
        <f t="shared" ref="K134:K141" si="52">(F134+G134+J134)*9%</f>
        <v>0</v>
      </c>
      <c r="L134" s="91"/>
      <c r="M134" s="86"/>
      <c r="N134" s="86">
        <f>SUM(N125:N133)</f>
        <v>55739.9948979595</v>
      </c>
      <c r="O134" s="68"/>
      <c r="P134" s="68"/>
    </row>
    <row r="135" s="53" customFormat="1" spans="1:16">
      <c r="A135" s="83" t="s">
        <v>522</v>
      </c>
      <c r="B135" s="69" t="s">
        <v>523</v>
      </c>
      <c r="C135" s="69"/>
      <c r="D135" s="77"/>
      <c r="E135" s="68"/>
      <c r="F135" s="67"/>
      <c r="G135" s="46"/>
      <c r="H135" s="67"/>
      <c r="I135" s="89"/>
      <c r="J135" s="46"/>
      <c r="K135" s="90">
        <f t="shared" si="52"/>
        <v>0</v>
      </c>
      <c r="L135" s="91"/>
      <c r="M135" s="86"/>
      <c r="N135" s="86"/>
      <c r="O135" s="68"/>
      <c r="P135" s="68"/>
    </row>
    <row r="136" s="53" customFormat="1" ht="72" outlineLevel="1" spans="1:16">
      <c r="A136" s="70">
        <v>1</v>
      </c>
      <c r="B136" s="76" t="s">
        <v>173</v>
      </c>
      <c r="C136" s="76" t="s">
        <v>174</v>
      </c>
      <c r="D136" s="93" t="s">
        <v>138</v>
      </c>
      <c r="E136" s="70">
        <v>3</v>
      </c>
      <c r="F136" s="46">
        <v>20</v>
      </c>
      <c r="G136" s="46">
        <f t="shared" ref="G136:G141" si="53">H136*(1+I136)</f>
        <v>80.8</v>
      </c>
      <c r="H136" s="46">
        <v>80</v>
      </c>
      <c r="I136" s="89">
        <v>0.01</v>
      </c>
      <c r="J136" s="46">
        <f>(F136+G136)*1%</f>
        <v>1.008</v>
      </c>
      <c r="K136" s="90">
        <f t="shared" si="52"/>
        <v>9.16272</v>
      </c>
      <c r="L136" s="91">
        <f t="shared" ref="L136:L141" si="54">(F136+G136+J136+K136)*9%</f>
        <v>9.9873648</v>
      </c>
      <c r="M136" s="80">
        <f t="shared" ref="M136:M141" si="55">F136+G136+J136+K136+L136</f>
        <v>120.9580848</v>
      </c>
      <c r="N136" s="80">
        <f t="shared" ref="N136:N141" si="56">M136*E136</f>
        <v>362.8742544</v>
      </c>
      <c r="O136" s="74" t="s">
        <v>120</v>
      </c>
      <c r="P136" s="70" t="s">
        <v>173</v>
      </c>
    </row>
    <row r="137" s="54" customFormat="1" spans="1:16">
      <c r="A137" s="68">
        <v>2</v>
      </c>
      <c r="B137" s="69" t="s">
        <v>391</v>
      </c>
      <c r="C137" s="69"/>
      <c r="D137" s="77"/>
      <c r="E137" s="68"/>
      <c r="F137" s="67"/>
      <c r="G137" s="46"/>
      <c r="H137" s="67"/>
      <c r="I137" s="89"/>
      <c r="J137" s="46"/>
      <c r="K137" s="90">
        <f t="shared" si="52"/>
        <v>0</v>
      </c>
      <c r="L137" s="91"/>
      <c r="M137" s="86"/>
      <c r="N137" s="86">
        <f>SUM(N136:N136)</f>
        <v>362.8742544</v>
      </c>
      <c r="O137" s="68"/>
      <c r="P137" s="68"/>
    </row>
    <row r="138" s="55" customFormat="1" spans="1:16">
      <c r="A138" s="68" t="s">
        <v>524</v>
      </c>
      <c r="B138" s="69" t="s">
        <v>525</v>
      </c>
      <c r="C138" s="69"/>
      <c r="D138" s="68"/>
      <c r="E138" s="68"/>
      <c r="F138" s="67"/>
      <c r="G138" s="46"/>
      <c r="H138" s="67"/>
      <c r="I138" s="89"/>
      <c r="J138" s="46"/>
      <c r="K138" s="90">
        <f t="shared" si="52"/>
        <v>0</v>
      </c>
      <c r="L138" s="91"/>
      <c r="M138" s="86"/>
      <c r="N138" s="84"/>
      <c r="O138" s="68"/>
      <c r="P138" s="68"/>
    </row>
    <row r="139" s="55" customFormat="1" spans="1:16">
      <c r="A139" s="70">
        <v>1</v>
      </c>
      <c r="B139" s="78" t="s">
        <v>175</v>
      </c>
      <c r="C139" s="70"/>
      <c r="D139" s="93" t="s">
        <v>138</v>
      </c>
      <c r="E139" s="70">
        <v>20</v>
      </c>
      <c r="F139" s="46">
        <v>10</v>
      </c>
      <c r="G139" s="46">
        <f t="shared" si="53"/>
        <v>161.6</v>
      </c>
      <c r="H139" s="46">
        <v>160</v>
      </c>
      <c r="I139" s="89">
        <v>0.01</v>
      </c>
      <c r="J139" s="46">
        <f>(F139+G139)*1%</f>
        <v>1.716</v>
      </c>
      <c r="K139" s="90">
        <f t="shared" si="52"/>
        <v>15.59844</v>
      </c>
      <c r="L139" s="91">
        <f t="shared" si="54"/>
        <v>17.0022996</v>
      </c>
      <c r="M139" s="80">
        <f t="shared" si="55"/>
        <v>205.9167396</v>
      </c>
      <c r="N139" s="80">
        <f t="shared" si="56"/>
        <v>4118.334792</v>
      </c>
      <c r="O139" s="70" t="s">
        <v>120</v>
      </c>
      <c r="P139" s="98" t="s">
        <v>176</v>
      </c>
    </row>
    <row r="140" s="56" customFormat="1" spans="1:16">
      <c r="A140" s="68">
        <v>2</v>
      </c>
      <c r="B140" s="69" t="s">
        <v>391</v>
      </c>
      <c r="C140" s="69"/>
      <c r="D140" s="77"/>
      <c r="E140" s="68"/>
      <c r="F140" s="67"/>
      <c r="G140" s="46"/>
      <c r="H140" s="67"/>
      <c r="I140" s="82"/>
      <c r="J140" s="46"/>
      <c r="K140" s="90">
        <f t="shared" si="52"/>
        <v>0</v>
      </c>
      <c r="L140" s="91"/>
      <c r="M140" s="86"/>
      <c r="N140" s="86">
        <f>SUM(N139:N139)</f>
        <v>4118.334792</v>
      </c>
      <c r="O140" s="87"/>
      <c r="P140" s="99"/>
    </row>
    <row r="141" s="55" customFormat="1" spans="1:16">
      <c r="A141" s="68" t="s">
        <v>526</v>
      </c>
      <c r="B141" s="69" t="s">
        <v>527</v>
      </c>
      <c r="C141" s="68"/>
      <c r="D141" s="77" t="s">
        <v>307</v>
      </c>
      <c r="E141" s="68">
        <v>1</v>
      </c>
      <c r="F141" s="46">
        <v>8000</v>
      </c>
      <c r="G141" s="46">
        <f t="shared" si="53"/>
        <v>7000</v>
      </c>
      <c r="H141" s="46">
        <v>7000</v>
      </c>
      <c r="I141" s="89"/>
      <c r="J141" s="46"/>
      <c r="K141" s="90">
        <f t="shared" si="52"/>
        <v>1350</v>
      </c>
      <c r="L141" s="91">
        <f t="shared" si="54"/>
        <v>1471.5</v>
      </c>
      <c r="M141" s="80">
        <f t="shared" si="55"/>
        <v>17821.5</v>
      </c>
      <c r="N141" s="80">
        <f t="shared" si="56"/>
        <v>17821.5</v>
      </c>
      <c r="O141" s="87"/>
      <c r="P141" s="100"/>
    </row>
    <row r="142" s="53" customFormat="1" spans="1:16">
      <c r="A142" s="68" t="s">
        <v>528</v>
      </c>
      <c r="B142" s="95" t="s">
        <v>36</v>
      </c>
      <c r="C142" s="95"/>
      <c r="D142" s="96"/>
      <c r="E142" s="96"/>
      <c r="F142" s="84"/>
      <c r="G142" s="84"/>
      <c r="H142" s="84"/>
      <c r="I142" s="101"/>
      <c r="J142" s="84"/>
      <c r="K142" s="84"/>
      <c r="L142" s="84"/>
      <c r="M142" s="86"/>
      <c r="N142" s="86">
        <f>N17+N34+N54+N70+N75+N88+N91+N102+N111+N119+N123+N134+N137+N141+N140</f>
        <v>1565489.06766693</v>
      </c>
      <c r="O142" s="87"/>
      <c r="P142" s="88"/>
    </row>
    <row r="143" s="53" customFormat="1" spans="1:16">
      <c r="A143" s="68" t="s">
        <v>529</v>
      </c>
      <c r="B143" s="95" t="s">
        <v>530</v>
      </c>
      <c r="C143" s="95"/>
      <c r="D143" s="96"/>
      <c r="E143" s="96"/>
      <c r="F143" s="84"/>
      <c r="G143" s="84"/>
      <c r="H143" s="84"/>
      <c r="I143" s="101"/>
      <c r="J143" s="84"/>
      <c r="K143" s="84"/>
      <c r="L143" s="84"/>
      <c r="M143" s="86"/>
      <c r="N143" s="86">
        <v>1565000</v>
      </c>
      <c r="O143" s="87"/>
      <c r="P143" s="88"/>
    </row>
    <row r="144" s="53" customFormat="1" spans="1:16">
      <c r="A144" s="78" t="s">
        <v>531</v>
      </c>
      <c r="B144" s="78"/>
      <c r="C144" s="78"/>
      <c r="D144" s="70"/>
      <c r="E144" s="70"/>
      <c r="F144" s="97"/>
      <c r="G144" s="97"/>
      <c r="H144" s="97"/>
      <c r="I144" s="102"/>
      <c r="J144" s="97"/>
      <c r="K144" s="97"/>
      <c r="L144" s="97"/>
      <c r="M144" s="97"/>
      <c r="N144" s="97"/>
      <c r="O144" s="78"/>
      <c r="P144" s="88"/>
    </row>
  </sheetData>
  <autoFilter xmlns:etc="http://www.wps.cn/officeDocument/2017/etCustomData" ref="A3:P144" etc:filterBottomFollowUsedRange="0">
    <extLst/>
  </autoFilter>
  <mergeCells count="43">
    <mergeCell ref="A1:O1"/>
    <mergeCell ref="F2:L2"/>
    <mergeCell ref="B5:C5"/>
    <mergeCell ref="B17:C17"/>
    <mergeCell ref="B18:C18"/>
    <mergeCell ref="B34:C34"/>
    <mergeCell ref="B35:C35"/>
    <mergeCell ref="B54:C54"/>
    <mergeCell ref="B55:C55"/>
    <mergeCell ref="B70:C70"/>
    <mergeCell ref="B71:C71"/>
    <mergeCell ref="B75:C75"/>
    <mergeCell ref="B76:C76"/>
    <mergeCell ref="B88:C88"/>
    <mergeCell ref="B89:C89"/>
    <mergeCell ref="B91:C91"/>
    <mergeCell ref="B92:C92"/>
    <mergeCell ref="B102:C102"/>
    <mergeCell ref="B103:C103"/>
    <mergeCell ref="B111:C111"/>
    <mergeCell ref="B112:C112"/>
    <mergeCell ref="B119:C119"/>
    <mergeCell ref="B120:C120"/>
    <mergeCell ref="B123:C123"/>
    <mergeCell ref="B124:C124"/>
    <mergeCell ref="B134:C134"/>
    <mergeCell ref="B135:C135"/>
    <mergeCell ref="B137:C137"/>
    <mergeCell ref="B138:C138"/>
    <mergeCell ref="B140:C140"/>
    <mergeCell ref="B141:C141"/>
    <mergeCell ref="B142:C142"/>
    <mergeCell ref="A144:O144"/>
    <mergeCell ref="A2:A4"/>
    <mergeCell ref="B2:B4"/>
    <mergeCell ref="C2:C4"/>
    <mergeCell ref="D2:D4"/>
    <mergeCell ref="E2:E4"/>
    <mergeCell ref="F3:F4"/>
    <mergeCell ref="J3:J4"/>
    <mergeCell ref="M2:M4"/>
    <mergeCell ref="N2:N4"/>
    <mergeCell ref="O2:P4"/>
  </mergeCells>
  <pageMargins left="0.314583333333333" right="0.275" top="1" bottom="1" header="0.5" footer="0.5"/>
  <pageSetup paperSize="9" scale="70"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9"/>
  <sheetViews>
    <sheetView workbookViewId="0">
      <selection activeCell="J24" sqref="J24"/>
    </sheetView>
  </sheetViews>
  <sheetFormatPr defaultColWidth="8" defaultRowHeight="13" customHeight="1"/>
  <cols>
    <col min="1" max="1" width="9.03809523809524" style="1" customWidth="1"/>
    <col min="2" max="3" width="15.8666666666667" style="4" customWidth="1"/>
    <col min="4" max="4" width="18.4190476190476" style="4" customWidth="1"/>
    <col min="5" max="5" width="16.6666666666667" style="1" customWidth="1"/>
    <col min="6" max="6" width="5.78095238095238" style="1" customWidth="1"/>
    <col min="7" max="7" width="8.88571428571429" style="5" customWidth="1"/>
    <col min="8" max="8" width="10.7809523809524" style="5" customWidth="1"/>
    <col min="9" max="14" width="12.1142857142857" style="6" customWidth="1"/>
    <col min="15" max="16" width="15.3333333333333" style="6" customWidth="1"/>
    <col min="17" max="19" width="10.7809523809524" style="5" customWidth="1"/>
    <col min="20" max="26" width="8.13333333333333" style="1" customWidth="1"/>
    <col min="27" max="27" width="9.92380952380952" style="1" customWidth="1"/>
    <col min="28" max="16384" width="8" style="1"/>
  </cols>
  <sheetData>
    <row r="1" s="1" customFormat="1" customHeight="1" spans="1:27">
      <c r="A1" s="7" t="s">
        <v>532</v>
      </c>
      <c r="B1" s="7"/>
      <c r="C1" s="7"/>
      <c r="D1" s="7"/>
      <c r="E1" s="7"/>
      <c r="F1" s="7"/>
      <c r="G1" s="8"/>
      <c r="H1" s="8"/>
      <c r="I1" s="37"/>
      <c r="J1" s="37"/>
      <c r="K1" s="37"/>
      <c r="L1" s="37"/>
      <c r="M1" s="37"/>
      <c r="N1" s="37"/>
      <c r="O1" s="37"/>
      <c r="P1" s="37"/>
      <c r="Q1" s="8"/>
      <c r="R1" s="8"/>
      <c r="S1" s="8"/>
      <c r="T1" s="7"/>
      <c r="U1" s="7"/>
      <c r="V1" s="7"/>
      <c r="W1" s="7"/>
      <c r="X1" s="7"/>
      <c r="Y1" s="51"/>
      <c r="Z1" s="51"/>
      <c r="AA1" s="51"/>
    </row>
    <row r="2" s="1" customFormat="1" customHeight="1" spans="1:27">
      <c r="A2" s="9" t="s">
        <v>533</v>
      </c>
      <c r="B2" s="10"/>
      <c r="C2" s="10"/>
      <c r="D2" s="10"/>
      <c r="E2" s="9"/>
      <c r="F2" s="9"/>
      <c r="G2" s="11"/>
      <c r="H2" s="11"/>
      <c r="I2" s="38"/>
      <c r="J2" s="38"/>
      <c r="K2" s="38"/>
      <c r="L2" s="38"/>
      <c r="M2" s="38"/>
      <c r="N2" s="38"/>
      <c r="O2" s="38"/>
      <c r="P2" s="38"/>
      <c r="Q2" s="11"/>
      <c r="R2" s="11"/>
      <c r="S2" s="11"/>
      <c r="T2" s="9"/>
      <c r="U2" s="9"/>
      <c r="V2" s="9"/>
      <c r="W2" s="9"/>
      <c r="X2" s="9"/>
      <c r="Y2" s="52"/>
      <c r="Z2" s="52"/>
      <c r="AA2" s="52"/>
    </row>
    <row r="3" s="1" customFormat="1" customHeight="1" spans="1:27">
      <c r="A3" s="12" t="s">
        <v>32</v>
      </c>
      <c r="B3" s="12" t="s">
        <v>33</v>
      </c>
      <c r="C3" s="13" t="s">
        <v>534</v>
      </c>
      <c r="D3" s="12" t="s">
        <v>535</v>
      </c>
      <c r="E3" s="12" t="s">
        <v>536</v>
      </c>
      <c r="F3" s="12" t="s">
        <v>537</v>
      </c>
      <c r="G3" s="14" t="s">
        <v>538</v>
      </c>
      <c r="H3" s="14"/>
      <c r="I3" s="39"/>
      <c r="J3" s="39"/>
      <c r="K3" s="39"/>
      <c r="L3" s="39"/>
      <c r="M3" s="39"/>
      <c r="N3" s="39"/>
      <c r="O3" s="39"/>
      <c r="P3" s="39"/>
      <c r="Q3" s="14"/>
      <c r="R3" s="14"/>
      <c r="S3" s="14"/>
      <c r="T3" s="12" t="s">
        <v>539</v>
      </c>
      <c r="U3" s="12"/>
      <c r="V3" s="12" t="s">
        <v>540</v>
      </c>
      <c r="W3" s="12"/>
      <c r="X3" s="12"/>
      <c r="Y3" s="12"/>
      <c r="Z3" s="12"/>
      <c r="AA3" s="12" t="s">
        <v>541</v>
      </c>
    </row>
    <row r="4" s="1" customFormat="1" customHeight="1" spans="1:27">
      <c r="A4" s="12"/>
      <c r="B4" s="12"/>
      <c r="C4" s="13"/>
      <c r="D4" s="12"/>
      <c r="E4" s="12"/>
      <c r="F4" s="12"/>
      <c r="G4" s="14"/>
      <c r="H4" s="14"/>
      <c r="I4" s="39"/>
      <c r="J4" s="39"/>
      <c r="K4" s="39"/>
      <c r="L4" s="39"/>
      <c r="M4" s="39"/>
      <c r="N4" s="39"/>
      <c r="O4" s="39"/>
      <c r="P4" s="39"/>
      <c r="Q4" s="14"/>
      <c r="R4" s="14"/>
      <c r="S4" s="14"/>
      <c r="T4" s="12" t="s">
        <v>542</v>
      </c>
      <c r="U4" s="12" t="s">
        <v>543</v>
      </c>
      <c r="V4" s="12" t="s">
        <v>544</v>
      </c>
      <c r="W4" s="12" t="s">
        <v>545</v>
      </c>
      <c r="X4" s="12" t="s">
        <v>546</v>
      </c>
      <c r="Y4" s="12" t="s">
        <v>547</v>
      </c>
      <c r="Z4" s="12" t="s">
        <v>548</v>
      </c>
      <c r="AA4" s="12"/>
    </row>
    <row r="5" s="1" customFormat="1" customHeight="1" spans="1:27">
      <c r="A5" s="12"/>
      <c r="B5" s="12"/>
      <c r="C5" s="13"/>
      <c r="D5" s="12"/>
      <c r="E5" s="12"/>
      <c r="F5" s="12"/>
      <c r="G5" s="14"/>
      <c r="H5" s="14" t="s">
        <v>549</v>
      </c>
      <c r="I5" s="39" t="s">
        <v>550</v>
      </c>
      <c r="J5" s="39"/>
      <c r="K5" s="39" t="s">
        <v>551</v>
      </c>
      <c r="L5" s="39"/>
      <c r="M5" s="39" t="s">
        <v>552</v>
      </c>
      <c r="N5" s="39" t="s">
        <v>539</v>
      </c>
      <c r="O5" s="39" t="s">
        <v>269</v>
      </c>
      <c r="P5" s="39" t="s">
        <v>553</v>
      </c>
      <c r="Q5" s="14" t="s">
        <v>68</v>
      </c>
      <c r="R5" s="14" t="s">
        <v>554</v>
      </c>
      <c r="S5" s="14" t="s">
        <v>555</v>
      </c>
      <c r="T5" s="12" t="s">
        <v>556</v>
      </c>
      <c r="U5" s="48" t="s">
        <v>557</v>
      </c>
      <c r="V5" s="12"/>
      <c r="W5" s="12"/>
      <c r="X5" s="12"/>
      <c r="Y5" s="12" t="s">
        <v>558</v>
      </c>
      <c r="Z5" s="12" t="s">
        <v>558</v>
      </c>
      <c r="AA5" s="12"/>
    </row>
    <row r="6" s="2" customFormat="1" customHeight="1" spans="1:27">
      <c r="A6" s="15" t="s">
        <v>38</v>
      </c>
      <c r="B6" s="16" t="s">
        <v>559</v>
      </c>
      <c r="C6" s="16"/>
      <c r="D6" s="17"/>
      <c r="E6" s="18"/>
      <c r="F6" s="17"/>
      <c r="G6" s="19"/>
      <c r="H6" s="19"/>
      <c r="I6" s="40"/>
      <c r="J6" s="40"/>
      <c r="K6" s="40"/>
      <c r="L6" s="40"/>
      <c r="M6" s="40"/>
      <c r="N6" s="40"/>
      <c r="O6" s="40"/>
      <c r="P6" s="40"/>
      <c r="Q6" s="19"/>
      <c r="R6" s="19"/>
      <c r="S6" s="19"/>
      <c r="T6" s="49"/>
      <c r="U6" s="49"/>
      <c r="V6" s="49"/>
      <c r="W6" s="49"/>
      <c r="X6" s="49"/>
      <c r="Y6" s="49"/>
      <c r="Z6" s="49"/>
      <c r="AA6" s="49"/>
    </row>
    <row r="7" s="2" customFormat="1" customHeight="1" spans="1:27">
      <c r="A7" s="20">
        <v>1</v>
      </c>
      <c r="B7" s="21" t="s">
        <v>560</v>
      </c>
      <c r="C7" s="21"/>
      <c r="D7" s="21" t="s">
        <v>561</v>
      </c>
      <c r="E7" s="22" t="s">
        <v>562</v>
      </c>
      <c r="F7" s="21" t="s">
        <v>130</v>
      </c>
      <c r="G7" s="23">
        <v>19</v>
      </c>
      <c r="H7" s="24">
        <v>5</v>
      </c>
      <c r="I7" s="41">
        <v>1300</v>
      </c>
      <c r="J7" s="41"/>
      <c r="K7" s="42">
        <v>50</v>
      </c>
      <c r="L7" s="42"/>
      <c r="M7" s="43">
        <f t="shared" ref="M7:M46" si="0">(I7+K7)*5%</f>
        <v>67.5</v>
      </c>
      <c r="N7" s="43">
        <f t="shared" ref="N7:N46" si="1">M7+K7+I7</f>
        <v>1417.5</v>
      </c>
      <c r="O7" s="43">
        <f t="shared" ref="O7:O46" si="2">N7*G7</f>
        <v>26932.5</v>
      </c>
      <c r="P7" s="43">
        <f t="shared" ref="P7:P46" si="3">N7*H7</f>
        <v>7087.5</v>
      </c>
      <c r="Q7" s="24" t="s">
        <v>563</v>
      </c>
      <c r="R7" s="24" t="s">
        <v>564</v>
      </c>
      <c r="S7" s="23"/>
      <c r="T7" s="49"/>
      <c r="U7" s="49"/>
      <c r="V7" s="49"/>
      <c r="W7" s="49"/>
      <c r="X7" s="49"/>
      <c r="Y7" s="49"/>
      <c r="Z7" s="49"/>
      <c r="AA7" s="49"/>
    </row>
    <row r="8" s="2" customFormat="1" customHeight="1" spans="1:27">
      <c r="A8" s="20">
        <v>2</v>
      </c>
      <c r="B8" s="21" t="s">
        <v>565</v>
      </c>
      <c r="C8" s="21"/>
      <c r="D8" s="21" t="s">
        <v>566</v>
      </c>
      <c r="E8" s="22" t="s">
        <v>562</v>
      </c>
      <c r="F8" s="21" t="s">
        <v>138</v>
      </c>
      <c r="G8" s="23">
        <v>19</v>
      </c>
      <c r="H8" s="24">
        <v>5</v>
      </c>
      <c r="I8" s="41">
        <v>30</v>
      </c>
      <c r="J8" s="41"/>
      <c r="K8" s="42">
        <v>20</v>
      </c>
      <c r="L8" s="42"/>
      <c r="M8" s="43">
        <f t="shared" si="0"/>
        <v>2.5</v>
      </c>
      <c r="N8" s="43">
        <f t="shared" si="1"/>
        <v>52.5</v>
      </c>
      <c r="O8" s="43">
        <f t="shared" si="2"/>
        <v>997.5</v>
      </c>
      <c r="P8" s="43">
        <f t="shared" si="3"/>
        <v>262.5</v>
      </c>
      <c r="Q8" s="24" t="s">
        <v>563</v>
      </c>
      <c r="R8" s="24" t="s">
        <v>567</v>
      </c>
      <c r="S8" s="23"/>
      <c r="T8" s="49"/>
      <c r="U8" s="49"/>
      <c r="V8" s="49"/>
      <c r="W8" s="49"/>
      <c r="X8" s="49"/>
      <c r="Y8" s="49"/>
      <c r="Z8" s="49"/>
      <c r="AA8" s="49"/>
    </row>
    <row r="9" s="2" customFormat="1" customHeight="1" spans="1:27">
      <c r="A9" s="20">
        <v>3</v>
      </c>
      <c r="B9" s="21" t="s">
        <v>568</v>
      </c>
      <c r="C9" s="21"/>
      <c r="D9" s="21" t="s">
        <v>569</v>
      </c>
      <c r="E9" s="22" t="s">
        <v>562</v>
      </c>
      <c r="F9" s="21" t="s">
        <v>138</v>
      </c>
      <c r="G9" s="23">
        <v>19</v>
      </c>
      <c r="H9" s="24">
        <v>5</v>
      </c>
      <c r="I9" s="41">
        <v>55</v>
      </c>
      <c r="J9" s="41"/>
      <c r="K9" s="42">
        <v>20</v>
      </c>
      <c r="L9" s="42"/>
      <c r="M9" s="43">
        <f t="shared" si="0"/>
        <v>3.75</v>
      </c>
      <c r="N9" s="43">
        <f t="shared" si="1"/>
        <v>78.75</v>
      </c>
      <c r="O9" s="43">
        <f t="shared" si="2"/>
        <v>1496.25</v>
      </c>
      <c r="P9" s="43">
        <f t="shared" si="3"/>
        <v>393.75</v>
      </c>
      <c r="Q9" s="24" t="s">
        <v>563</v>
      </c>
      <c r="R9" s="24" t="s">
        <v>570</v>
      </c>
      <c r="S9" s="23"/>
      <c r="T9" s="49"/>
      <c r="U9" s="49"/>
      <c r="V9" s="49"/>
      <c r="W9" s="49"/>
      <c r="X9" s="49"/>
      <c r="Y9" s="49"/>
      <c r="Z9" s="49"/>
      <c r="AA9" s="49"/>
    </row>
    <row r="10" s="2" customFormat="1" customHeight="1" spans="1:27">
      <c r="A10" s="20">
        <v>4</v>
      </c>
      <c r="B10" s="21" t="s">
        <v>571</v>
      </c>
      <c r="C10" s="21"/>
      <c r="D10" s="21" t="s">
        <v>572</v>
      </c>
      <c r="E10" s="22" t="s">
        <v>562</v>
      </c>
      <c r="F10" s="25" t="s">
        <v>138</v>
      </c>
      <c r="G10" s="23">
        <v>19</v>
      </c>
      <c r="H10" s="24">
        <v>5</v>
      </c>
      <c r="I10" s="41">
        <v>238</v>
      </c>
      <c r="J10" s="41">
        <f t="shared" ref="J8:J32" si="4">G10*I10</f>
        <v>4522</v>
      </c>
      <c r="K10" s="42">
        <v>50</v>
      </c>
      <c r="L10" s="42">
        <f t="shared" ref="L8:L32" si="5">G10*K10</f>
        <v>950</v>
      </c>
      <c r="M10" s="43">
        <f t="shared" si="0"/>
        <v>14.4</v>
      </c>
      <c r="N10" s="43">
        <f t="shared" si="1"/>
        <v>302.4</v>
      </c>
      <c r="O10" s="43">
        <f t="shared" si="2"/>
        <v>5745.6</v>
      </c>
      <c r="P10" s="43">
        <f t="shared" si="3"/>
        <v>1512</v>
      </c>
      <c r="Q10" s="24" t="s">
        <v>563</v>
      </c>
      <c r="R10" s="24" t="s">
        <v>573</v>
      </c>
      <c r="S10" s="23"/>
      <c r="T10" s="49"/>
      <c r="U10" s="49"/>
      <c r="V10" s="49"/>
      <c r="W10" s="49"/>
      <c r="X10" s="49"/>
      <c r="Y10" s="49"/>
      <c r="Z10" s="49"/>
      <c r="AA10" s="49"/>
    </row>
    <row r="11" s="2" customFormat="1" customHeight="1" spans="1:27">
      <c r="A11" s="20">
        <v>5</v>
      </c>
      <c r="B11" s="21" t="s">
        <v>574</v>
      </c>
      <c r="C11" s="21"/>
      <c r="D11" s="21" t="s">
        <v>575</v>
      </c>
      <c r="E11" s="22" t="s">
        <v>562</v>
      </c>
      <c r="F11" s="25" t="s">
        <v>138</v>
      </c>
      <c r="G11" s="23">
        <v>38</v>
      </c>
      <c r="H11" s="24">
        <v>38</v>
      </c>
      <c r="I11" s="41">
        <v>35</v>
      </c>
      <c r="J11" s="41">
        <f t="shared" si="4"/>
        <v>1330</v>
      </c>
      <c r="K11" s="42">
        <v>30</v>
      </c>
      <c r="L11" s="42">
        <f t="shared" si="5"/>
        <v>1140</v>
      </c>
      <c r="M11" s="43">
        <f t="shared" si="0"/>
        <v>3.25</v>
      </c>
      <c r="N11" s="43">
        <f t="shared" si="1"/>
        <v>68.25</v>
      </c>
      <c r="O11" s="43">
        <f t="shared" si="2"/>
        <v>2593.5</v>
      </c>
      <c r="P11" s="43">
        <f t="shared" si="3"/>
        <v>2593.5</v>
      </c>
      <c r="Q11" s="24" t="s">
        <v>563</v>
      </c>
      <c r="R11" s="24" t="s">
        <v>576</v>
      </c>
      <c r="S11" s="23"/>
      <c r="T11" s="49"/>
      <c r="U11" s="49"/>
      <c r="V11" s="49"/>
      <c r="W11" s="49"/>
      <c r="X11" s="49"/>
      <c r="Y11" s="49"/>
      <c r="Z11" s="49"/>
      <c r="AA11" s="49"/>
    </row>
    <row r="12" s="2" customFormat="1" customHeight="1" spans="1:27">
      <c r="A12" s="20">
        <v>6</v>
      </c>
      <c r="B12" s="21" t="s">
        <v>577</v>
      </c>
      <c r="C12" s="21"/>
      <c r="D12" s="21" t="s">
        <v>578</v>
      </c>
      <c r="E12" s="22" t="s">
        <v>562</v>
      </c>
      <c r="F12" s="25" t="s">
        <v>293</v>
      </c>
      <c r="G12" s="23">
        <v>38</v>
      </c>
      <c r="H12" s="24">
        <v>38</v>
      </c>
      <c r="I12" s="41">
        <v>25</v>
      </c>
      <c r="J12" s="41">
        <f t="shared" si="4"/>
        <v>950</v>
      </c>
      <c r="K12" s="42">
        <v>20</v>
      </c>
      <c r="L12" s="42">
        <f t="shared" si="5"/>
        <v>760</v>
      </c>
      <c r="M12" s="43">
        <f t="shared" si="0"/>
        <v>2.25</v>
      </c>
      <c r="N12" s="43">
        <f t="shared" si="1"/>
        <v>47.25</v>
      </c>
      <c r="O12" s="43">
        <f t="shared" si="2"/>
        <v>1795.5</v>
      </c>
      <c r="P12" s="43">
        <f t="shared" si="3"/>
        <v>1795.5</v>
      </c>
      <c r="Q12" s="24" t="s">
        <v>563</v>
      </c>
      <c r="R12" s="24" t="s">
        <v>579</v>
      </c>
      <c r="S12" s="23"/>
      <c r="T12" s="49"/>
      <c r="U12" s="49"/>
      <c r="V12" s="49"/>
      <c r="W12" s="49"/>
      <c r="X12" s="49"/>
      <c r="Y12" s="49"/>
      <c r="Z12" s="49"/>
      <c r="AA12" s="49"/>
    </row>
    <row r="13" s="2" customFormat="1" customHeight="1" spans="1:27">
      <c r="A13" s="20">
        <v>7</v>
      </c>
      <c r="B13" s="21" t="s">
        <v>580</v>
      </c>
      <c r="C13" s="21"/>
      <c r="D13" s="21" t="s">
        <v>578</v>
      </c>
      <c r="E13" s="22" t="s">
        <v>562</v>
      </c>
      <c r="F13" s="25" t="s">
        <v>293</v>
      </c>
      <c r="G13" s="23">
        <v>100</v>
      </c>
      <c r="H13" s="24">
        <v>190</v>
      </c>
      <c r="I13" s="41">
        <v>15</v>
      </c>
      <c r="J13" s="41">
        <f t="shared" si="4"/>
        <v>1500</v>
      </c>
      <c r="K13" s="42">
        <v>15</v>
      </c>
      <c r="L13" s="42">
        <f t="shared" si="5"/>
        <v>1500</v>
      </c>
      <c r="M13" s="43">
        <f t="shared" si="0"/>
        <v>1.5</v>
      </c>
      <c r="N13" s="43">
        <f t="shared" si="1"/>
        <v>31.5</v>
      </c>
      <c r="O13" s="43">
        <f t="shared" si="2"/>
        <v>3150</v>
      </c>
      <c r="P13" s="43">
        <f t="shared" si="3"/>
        <v>5985</v>
      </c>
      <c r="Q13" s="24" t="s">
        <v>563</v>
      </c>
      <c r="R13" s="24" t="s">
        <v>581</v>
      </c>
      <c r="S13" s="23"/>
      <c r="T13" s="49"/>
      <c r="U13" s="49"/>
      <c r="V13" s="49"/>
      <c r="W13" s="49"/>
      <c r="X13" s="49"/>
      <c r="Y13" s="49"/>
      <c r="Z13" s="49"/>
      <c r="AA13" s="49"/>
    </row>
    <row r="14" s="2" customFormat="1" customHeight="1" spans="1:27">
      <c r="A14" s="20">
        <v>8</v>
      </c>
      <c r="B14" s="21" t="s">
        <v>582</v>
      </c>
      <c r="C14" s="21"/>
      <c r="D14" s="21" t="s">
        <v>583</v>
      </c>
      <c r="E14" s="22" t="s">
        <v>562</v>
      </c>
      <c r="F14" s="25" t="s">
        <v>138</v>
      </c>
      <c r="G14" s="23">
        <v>190</v>
      </c>
      <c r="H14" s="24">
        <v>190</v>
      </c>
      <c r="I14" s="41">
        <v>0</v>
      </c>
      <c r="J14" s="41">
        <f t="shared" si="4"/>
        <v>0</v>
      </c>
      <c r="K14" s="42">
        <v>1</v>
      </c>
      <c r="L14" s="42">
        <f t="shared" si="5"/>
        <v>190</v>
      </c>
      <c r="M14" s="43">
        <f t="shared" si="0"/>
        <v>0.05</v>
      </c>
      <c r="N14" s="43">
        <f t="shared" si="1"/>
        <v>1.05</v>
      </c>
      <c r="O14" s="43">
        <f t="shared" si="2"/>
        <v>199.5</v>
      </c>
      <c r="P14" s="43">
        <f t="shared" si="3"/>
        <v>199.5</v>
      </c>
      <c r="Q14" s="24" t="s">
        <v>563</v>
      </c>
      <c r="R14" s="24" t="s">
        <v>584</v>
      </c>
      <c r="S14" s="23"/>
      <c r="T14" s="49"/>
      <c r="U14" s="49"/>
      <c r="V14" s="49"/>
      <c r="W14" s="49"/>
      <c r="X14" s="49"/>
      <c r="Y14" s="49"/>
      <c r="Z14" s="49"/>
      <c r="AA14" s="49"/>
    </row>
    <row r="15" s="2" customFormat="1" customHeight="1" spans="1:27">
      <c r="A15" s="20">
        <v>9</v>
      </c>
      <c r="B15" s="21" t="s">
        <v>585</v>
      </c>
      <c r="C15" s="21"/>
      <c r="D15" s="21" t="s">
        <v>578</v>
      </c>
      <c r="E15" s="22" t="s">
        <v>562</v>
      </c>
      <c r="F15" s="25" t="s">
        <v>293</v>
      </c>
      <c r="G15" s="23">
        <v>190</v>
      </c>
      <c r="H15" s="24"/>
      <c r="I15" s="41">
        <v>3</v>
      </c>
      <c r="J15" s="41">
        <f t="shared" si="4"/>
        <v>570</v>
      </c>
      <c r="K15" s="42">
        <v>15</v>
      </c>
      <c r="L15" s="42">
        <f t="shared" si="5"/>
        <v>2850</v>
      </c>
      <c r="M15" s="43">
        <f t="shared" si="0"/>
        <v>0.9</v>
      </c>
      <c r="N15" s="43">
        <f t="shared" si="1"/>
        <v>18.9</v>
      </c>
      <c r="O15" s="43">
        <f t="shared" si="2"/>
        <v>3591</v>
      </c>
      <c r="P15" s="43">
        <f t="shared" si="3"/>
        <v>0</v>
      </c>
      <c r="Q15" s="24" t="s">
        <v>563</v>
      </c>
      <c r="R15" s="24" t="s">
        <v>586</v>
      </c>
      <c r="S15" s="23"/>
      <c r="T15" s="49"/>
      <c r="U15" s="49"/>
      <c r="V15" s="49"/>
      <c r="W15" s="49"/>
      <c r="X15" s="49"/>
      <c r="Y15" s="49"/>
      <c r="Z15" s="49"/>
      <c r="AA15" s="49"/>
    </row>
    <row r="16" s="2" customFormat="1" customHeight="1" spans="1:27">
      <c r="A16" s="20">
        <v>10</v>
      </c>
      <c r="B16" s="21" t="s">
        <v>587</v>
      </c>
      <c r="C16" s="21"/>
      <c r="D16" s="21" t="s">
        <v>583</v>
      </c>
      <c r="E16" s="22" t="s">
        <v>562</v>
      </c>
      <c r="F16" s="25" t="s">
        <v>138</v>
      </c>
      <c r="G16" s="23">
        <v>500</v>
      </c>
      <c r="H16" s="24">
        <v>190</v>
      </c>
      <c r="I16" s="41">
        <v>0</v>
      </c>
      <c r="J16" s="41">
        <f t="shared" si="4"/>
        <v>0</v>
      </c>
      <c r="K16" s="42">
        <v>1</v>
      </c>
      <c r="L16" s="42">
        <f t="shared" si="5"/>
        <v>500</v>
      </c>
      <c r="M16" s="43">
        <f t="shared" si="0"/>
        <v>0.05</v>
      </c>
      <c r="N16" s="43">
        <f t="shared" si="1"/>
        <v>1.05</v>
      </c>
      <c r="O16" s="43">
        <f t="shared" si="2"/>
        <v>525</v>
      </c>
      <c r="P16" s="43">
        <f t="shared" si="3"/>
        <v>199.5</v>
      </c>
      <c r="Q16" s="24" t="s">
        <v>563</v>
      </c>
      <c r="R16" s="24" t="s">
        <v>588</v>
      </c>
      <c r="S16" s="23"/>
      <c r="T16" s="49"/>
      <c r="U16" s="49"/>
      <c r="V16" s="49"/>
      <c r="W16" s="49"/>
      <c r="X16" s="49"/>
      <c r="Y16" s="49"/>
      <c r="Z16" s="49"/>
      <c r="AA16" s="49"/>
    </row>
    <row r="17" s="2" customFormat="1" customHeight="1" spans="1:27">
      <c r="A17" s="20">
        <v>11</v>
      </c>
      <c r="B17" s="21" t="s">
        <v>589</v>
      </c>
      <c r="C17" s="21"/>
      <c r="D17" s="21" t="s">
        <v>583</v>
      </c>
      <c r="E17" s="22" t="s">
        <v>562</v>
      </c>
      <c r="F17" s="25" t="s">
        <v>138</v>
      </c>
      <c r="G17" s="23">
        <v>100</v>
      </c>
      <c r="H17" s="24">
        <f>H12*4</f>
        <v>152</v>
      </c>
      <c r="I17" s="41">
        <v>6.6</v>
      </c>
      <c r="J17" s="41">
        <f t="shared" si="4"/>
        <v>660</v>
      </c>
      <c r="K17" s="42">
        <v>5</v>
      </c>
      <c r="L17" s="42">
        <f t="shared" si="5"/>
        <v>500</v>
      </c>
      <c r="M17" s="43">
        <f t="shared" si="0"/>
        <v>0.58</v>
      </c>
      <c r="N17" s="43">
        <f t="shared" si="1"/>
        <v>12.18</v>
      </c>
      <c r="O17" s="43">
        <f t="shared" si="2"/>
        <v>1218</v>
      </c>
      <c r="P17" s="43">
        <f t="shared" si="3"/>
        <v>1851.36</v>
      </c>
      <c r="Q17" s="24" t="s">
        <v>563</v>
      </c>
      <c r="R17" s="24" t="s">
        <v>590</v>
      </c>
      <c r="S17" s="23"/>
      <c r="T17" s="49"/>
      <c r="U17" s="49"/>
      <c r="V17" s="49"/>
      <c r="W17" s="49"/>
      <c r="X17" s="49"/>
      <c r="Y17" s="49"/>
      <c r="Z17" s="49"/>
      <c r="AA17" s="49"/>
    </row>
    <row r="18" s="2" customFormat="1" customHeight="1" spans="1:27">
      <c r="A18" s="20">
        <v>12</v>
      </c>
      <c r="B18" s="21" t="s">
        <v>591</v>
      </c>
      <c r="C18" s="21"/>
      <c r="D18" s="21" t="s">
        <v>583</v>
      </c>
      <c r="E18" s="22" t="s">
        <v>562</v>
      </c>
      <c r="F18" s="25" t="s">
        <v>138</v>
      </c>
      <c r="G18" s="23">
        <v>100</v>
      </c>
      <c r="H18" s="24"/>
      <c r="I18" s="41"/>
      <c r="J18" s="41">
        <f t="shared" si="4"/>
        <v>0</v>
      </c>
      <c r="K18" s="42">
        <v>5</v>
      </c>
      <c r="L18" s="42">
        <f t="shared" si="5"/>
        <v>500</v>
      </c>
      <c r="M18" s="43">
        <f t="shared" si="0"/>
        <v>0.25</v>
      </c>
      <c r="N18" s="43">
        <f t="shared" si="1"/>
        <v>5.25</v>
      </c>
      <c r="O18" s="43">
        <f t="shared" si="2"/>
        <v>525</v>
      </c>
      <c r="P18" s="43">
        <f t="shared" si="3"/>
        <v>0</v>
      </c>
      <c r="Q18" s="24" t="s">
        <v>563</v>
      </c>
      <c r="R18" s="24"/>
      <c r="S18" s="23"/>
      <c r="T18" s="49"/>
      <c r="U18" s="49"/>
      <c r="V18" s="49"/>
      <c r="W18" s="49"/>
      <c r="X18" s="49"/>
      <c r="Y18" s="49"/>
      <c r="Z18" s="49"/>
      <c r="AA18" s="49"/>
    </row>
    <row r="19" s="2" customFormat="1" customHeight="1" spans="1:27">
      <c r="A19" s="20">
        <v>13</v>
      </c>
      <c r="B19" s="26" t="s">
        <v>592</v>
      </c>
      <c r="C19" s="26"/>
      <c r="D19" s="21" t="s">
        <v>578</v>
      </c>
      <c r="E19" s="22" t="s">
        <v>562</v>
      </c>
      <c r="F19" s="25" t="s">
        <v>138</v>
      </c>
      <c r="G19" s="23">
        <v>63</v>
      </c>
      <c r="H19" s="24"/>
      <c r="I19" s="41">
        <v>1.1</v>
      </c>
      <c r="J19" s="41">
        <f t="shared" si="4"/>
        <v>69.3</v>
      </c>
      <c r="K19" s="42">
        <v>5</v>
      </c>
      <c r="L19" s="42">
        <f t="shared" si="5"/>
        <v>315</v>
      </c>
      <c r="M19" s="43">
        <f t="shared" si="0"/>
        <v>0.305</v>
      </c>
      <c r="N19" s="43">
        <f t="shared" si="1"/>
        <v>6.405</v>
      </c>
      <c r="O19" s="43">
        <f t="shared" si="2"/>
        <v>403.515</v>
      </c>
      <c r="P19" s="43">
        <f t="shared" si="3"/>
        <v>0</v>
      </c>
      <c r="Q19" s="24" t="s">
        <v>563</v>
      </c>
      <c r="R19" s="24" t="s">
        <v>593</v>
      </c>
      <c r="S19" s="23"/>
      <c r="T19" s="49"/>
      <c r="U19" s="49"/>
      <c r="V19" s="49"/>
      <c r="W19" s="49"/>
      <c r="X19" s="49"/>
      <c r="Y19" s="49"/>
      <c r="Z19" s="49"/>
      <c r="AA19" s="49"/>
    </row>
    <row r="20" s="2" customFormat="1" customHeight="1" spans="1:27">
      <c r="A20" s="20">
        <v>14</v>
      </c>
      <c r="B20" s="26" t="s">
        <v>594</v>
      </c>
      <c r="C20" s="26"/>
      <c r="D20" s="21" t="s">
        <v>583</v>
      </c>
      <c r="E20" s="22" t="s">
        <v>562</v>
      </c>
      <c r="F20" s="25" t="s">
        <v>138</v>
      </c>
      <c r="G20" s="23">
        <v>150</v>
      </c>
      <c r="H20" s="24"/>
      <c r="I20" s="41">
        <v>1.1</v>
      </c>
      <c r="J20" s="41">
        <f t="shared" si="4"/>
        <v>165</v>
      </c>
      <c r="K20" s="42">
        <v>2</v>
      </c>
      <c r="L20" s="42">
        <f t="shared" si="5"/>
        <v>300</v>
      </c>
      <c r="M20" s="43">
        <f t="shared" si="0"/>
        <v>0.155</v>
      </c>
      <c r="N20" s="43">
        <f t="shared" si="1"/>
        <v>3.255</v>
      </c>
      <c r="O20" s="43">
        <f t="shared" si="2"/>
        <v>488.25</v>
      </c>
      <c r="P20" s="43">
        <f t="shared" si="3"/>
        <v>0</v>
      </c>
      <c r="Q20" s="24" t="s">
        <v>563</v>
      </c>
      <c r="R20" s="24" t="s">
        <v>595</v>
      </c>
      <c r="S20" s="23"/>
      <c r="T20" s="49"/>
      <c r="U20" s="49"/>
      <c r="V20" s="49"/>
      <c r="W20" s="49"/>
      <c r="X20" s="49"/>
      <c r="Y20" s="49"/>
      <c r="Z20" s="49"/>
      <c r="AA20" s="49"/>
    </row>
    <row r="21" s="2" customFormat="1" customHeight="1" spans="1:27">
      <c r="A21" s="20">
        <v>15</v>
      </c>
      <c r="B21" s="26" t="s">
        <v>596</v>
      </c>
      <c r="C21" s="26"/>
      <c r="D21" s="21" t="s">
        <v>578</v>
      </c>
      <c r="E21" s="22" t="s">
        <v>562</v>
      </c>
      <c r="F21" s="25" t="s">
        <v>138</v>
      </c>
      <c r="G21" s="23">
        <v>550</v>
      </c>
      <c r="H21" s="24">
        <f>H16*4</f>
        <v>760</v>
      </c>
      <c r="I21" s="41">
        <v>1</v>
      </c>
      <c r="J21" s="41">
        <f t="shared" si="4"/>
        <v>550</v>
      </c>
      <c r="K21" s="42">
        <v>5</v>
      </c>
      <c r="L21" s="42">
        <f t="shared" si="5"/>
        <v>2750</v>
      </c>
      <c r="M21" s="43">
        <f t="shared" si="0"/>
        <v>0.3</v>
      </c>
      <c r="N21" s="43">
        <f t="shared" si="1"/>
        <v>6.3</v>
      </c>
      <c r="O21" s="43">
        <f t="shared" si="2"/>
        <v>3465</v>
      </c>
      <c r="P21" s="43">
        <f t="shared" si="3"/>
        <v>4788</v>
      </c>
      <c r="Q21" s="24" t="s">
        <v>563</v>
      </c>
      <c r="R21" s="24" t="s">
        <v>597</v>
      </c>
      <c r="S21" s="23"/>
      <c r="T21" s="49"/>
      <c r="U21" s="49"/>
      <c r="V21" s="49"/>
      <c r="W21" s="49"/>
      <c r="X21" s="49"/>
      <c r="Y21" s="49"/>
      <c r="Z21" s="49"/>
      <c r="AA21" s="49"/>
    </row>
    <row r="22" s="2" customFormat="1" customHeight="1" spans="1:27">
      <c r="A22" s="20">
        <v>16</v>
      </c>
      <c r="B22" s="26" t="s">
        <v>598</v>
      </c>
      <c r="C22" s="26"/>
      <c r="D22" s="21" t="s">
        <v>583</v>
      </c>
      <c r="E22" s="22" t="s">
        <v>562</v>
      </c>
      <c r="F22" s="25" t="s">
        <v>138</v>
      </c>
      <c r="G22" s="23">
        <v>360</v>
      </c>
      <c r="H22" s="24"/>
      <c r="I22" s="41">
        <v>1</v>
      </c>
      <c r="J22" s="41">
        <f t="shared" si="4"/>
        <v>360</v>
      </c>
      <c r="K22" s="42">
        <v>2</v>
      </c>
      <c r="L22" s="42">
        <f t="shared" si="5"/>
        <v>720</v>
      </c>
      <c r="M22" s="43">
        <f t="shared" si="0"/>
        <v>0.15</v>
      </c>
      <c r="N22" s="43">
        <f t="shared" si="1"/>
        <v>3.15</v>
      </c>
      <c r="O22" s="43">
        <f t="shared" si="2"/>
        <v>1134</v>
      </c>
      <c r="P22" s="43">
        <f t="shared" si="3"/>
        <v>0</v>
      </c>
      <c r="Q22" s="24" t="s">
        <v>563</v>
      </c>
      <c r="R22" s="24" t="s">
        <v>599</v>
      </c>
      <c r="S22" s="23"/>
      <c r="T22" s="49"/>
      <c r="U22" s="49"/>
      <c r="V22" s="49"/>
      <c r="W22" s="49"/>
      <c r="X22" s="49"/>
      <c r="Y22" s="49"/>
      <c r="Z22" s="49"/>
      <c r="AA22" s="49"/>
    </row>
    <row r="23" s="2" customFormat="1" customHeight="1" spans="1:27">
      <c r="A23" s="20">
        <v>17</v>
      </c>
      <c r="B23" s="26" t="s">
        <v>600</v>
      </c>
      <c r="C23" s="26"/>
      <c r="D23" s="21" t="s">
        <v>578</v>
      </c>
      <c r="E23" s="22" t="s">
        <v>562</v>
      </c>
      <c r="F23" s="25" t="s">
        <v>138</v>
      </c>
      <c r="G23" s="23">
        <v>370</v>
      </c>
      <c r="H23" s="24">
        <f>H12*2+H15+H29</f>
        <v>86</v>
      </c>
      <c r="I23" s="41">
        <v>5</v>
      </c>
      <c r="J23" s="41">
        <f t="shared" si="4"/>
        <v>1850</v>
      </c>
      <c r="K23" s="42">
        <v>5</v>
      </c>
      <c r="L23" s="42">
        <f t="shared" si="5"/>
        <v>1850</v>
      </c>
      <c r="M23" s="43">
        <f t="shared" si="0"/>
        <v>0.5</v>
      </c>
      <c r="N23" s="43">
        <f t="shared" si="1"/>
        <v>10.5</v>
      </c>
      <c r="O23" s="43">
        <f t="shared" si="2"/>
        <v>3885</v>
      </c>
      <c r="P23" s="43">
        <f t="shared" si="3"/>
        <v>903</v>
      </c>
      <c r="Q23" s="24" t="s">
        <v>563</v>
      </c>
      <c r="R23" s="24" t="s">
        <v>601</v>
      </c>
      <c r="S23" s="23"/>
      <c r="T23" s="49"/>
      <c r="U23" s="49"/>
      <c r="V23" s="49"/>
      <c r="W23" s="49"/>
      <c r="X23" s="49"/>
      <c r="Y23" s="49"/>
      <c r="Z23" s="49"/>
      <c r="AA23" s="49"/>
    </row>
    <row r="24" s="2" customFormat="1" customHeight="1" spans="1:27">
      <c r="A24" s="20">
        <v>18</v>
      </c>
      <c r="B24" s="26" t="s">
        <v>602</v>
      </c>
      <c r="C24" s="26"/>
      <c r="D24" s="21" t="s">
        <v>603</v>
      </c>
      <c r="E24" s="22" t="s">
        <v>562</v>
      </c>
      <c r="F24" s="25" t="s">
        <v>138</v>
      </c>
      <c r="G24" s="23">
        <v>250</v>
      </c>
      <c r="H24" s="24"/>
      <c r="I24" s="41">
        <v>1</v>
      </c>
      <c r="J24" s="41">
        <f t="shared" si="4"/>
        <v>250</v>
      </c>
      <c r="K24" s="42">
        <v>2</v>
      </c>
      <c r="L24" s="42">
        <f t="shared" si="5"/>
        <v>500</v>
      </c>
      <c r="M24" s="43">
        <f t="shared" si="0"/>
        <v>0.15</v>
      </c>
      <c r="N24" s="43">
        <f t="shared" si="1"/>
        <v>3.15</v>
      </c>
      <c r="O24" s="43">
        <f t="shared" si="2"/>
        <v>787.5</v>
      </c>
      <c r="P24" s="43">
        <f t="shared" si="3"/>
        <v>0</v>
      </c>
      <c r="Q24" s="24" t="s">
        <v>563</v>
      </c>
      <c r="R24" s="24" t="s">
        <v>604</v>
      </c>
      <c r="S24" s="23"/>
      <c r="T24" s="49"/>
      <c r="U24" s="49"/>
      <c r="V24" s="49"/>
      <c r="W24" s="49"/>
      <c r="X24" s="49"/>
      <c r="Y24" s="49"/>
      <c r="Z24" s="49"/>
      <c r="AA24" s="49"/>
    </row>
    <row r="25" s="2" customFormat="1" customHeight="1" spans="1:27">
      <c r="A25" s="20">
        <v>19</v>
      </c>
      <c r="B25" s="21" t="s">
        <v>605</v>
      </c>
      <c r="C25" s="21"/>
      <c r="D25" s="21" t="s">
        <v>583</v>
      </c>
      <c r="E25" s="22" t="s">
        <v>562</v>
      </c>
      <c r="F25" s="21" t="s">
        <v>138</v>
      </c>
      <c r="G25" s="23">
        <v>100</v>
      </c>
      <c r="H25" s="24"/>
      <c r="I25" s="41"/>
      <c r="J25" s="41">
        <f t="shared" si="4"/>
        <v>0</v>
      </c>
      <c r="K25" s="42">
        <v>2</v>
      </c>
      <c r="L25" s="42">
        <f t="shared" si="5"/>
        <v>200</v>
      </c>
      <c r="M25" s="43">
        <f t="shared" si="0"/>
        <v>0.1</v>
      </c>
      <c r="N25" s="43">
        <f t="shared" si="1"/>
        <v>2.1</v>
      </c>
      <c r="O25" s="43">
        <f t="shared" si="2"/>
        <v>210</v>
      </c>
      <c r="P25" s="43">
        <f t="shared" si="3"/>
        <v>0</v>
      </c>
      <c r="Q25" s="24" t="s">
        <v>563</v>
      </c>
      <c r="R25" s="24"/>
      <c r="S25" s="23"/>
      <c r="T25" s="49"/>
      <c r="U25" s="49"/>
      <c r="V25" s="49"/>
      <c r="W25" s="49"/>
      <c r="X25" s="49"/>
      <c r="Y25" s="49"/>
      <c r="Z25" s="49"/>
      <c r="AA25" s="49"/>
    </row>
    <row r="26" s="2" customFormat="1" customHeight="1" spans="1:27">
      <c r="A26" s="20">
        <v>20</v>
      </c>
      <c r="B26" s="21" t="s">
        <v>606</v>
      </c>
      <c r="C26" s="21"/>
      <c r="D26" s="21" t="s">
        <v>607</v>
      </c>
      <c r="E26" s="22" t="s">
        <v>562</v>
      </c>
      <c r="F26" s="21" t="s">
        <v>138</v>
      </c>
      <c r="G26" s="23">
        <v>37</v>
      </c>
      <c r="H26" s="24">
        <f>H27/4/10</f>
        <v>94</v>
      </c>
      <c r="I26" s="41">
        <v>3</v>
      </c>
      <c r="J26" s="41">
        <f t="shared" si="4"/>
        <v>111</v>
      </c>
      <c r="K26" s="42">
        <v>5</v>
      </c>
      <c r="L26" s="42">
        <f t="shared" si="5"/>
        <v>185</v>
      </c>
      <c r="M26" s="43">
        <f t="shared" si="0"/>
        <v>0.4</v>
      </c>
      <c r="N26" s="43">
        <f t="shared" si="1"/>
        <v>8.4</v>
      </c>
      <c r="O26" s="43">
        <f t="shared" si="2"/>
        <v>310.8</v>
      </c>
      <c r="P26" s="43">
        <f t="shared" si="3"/>
        <v>789.6</v>
      </c>
      <c r="Q26" s="24" t="s">
        <v>563</v>
      </c>
      <c r="R26" s="24" t="s">
        <v>608</v>
      </c>
      <c r="S26" s="23"/>
      <c r="T26" s="49"/>
      <c r="U26" s="49"/>
      <c r="V26" s="49"/>
      <c r="W26" s="49"/>
      <c r="X26" s="49"/>
      <c r="Y26" s="49"/>
      <c r="Z26" s="49"/>
      <c r="AA26" s="49"/>
    </row>
    <row r="27" s="2" customFormat="1" customHeight="1" spans="1:27">
      <c r="A27" s="20">
        <v>21</v>
      </c>
      <c r="B27" s="21" t="s">
        <v>609</v>
      </c>
      <c r="C27" s="21"/>
      <c r="D27" s="21" t="s">
        <v>610</v>
      </c>
      <c r="E27" s="22" t="s">
        <v>562</v>
      </c>
      <c r="F27" s="25" t="s">
        <v>114</v>
      </c>
      <c r="G27" s="23">
        <v>3800</v>
      </c>
      <c r="H27" s="24">
        <f>940*4</f>
        <v>3760</v>
      </c>
      <c r="I27" s="41">
        <v>0.5</v>
      </c>
      <c r="J27" s="41">
        <f t="shared" si="4"/>
        <v>1900</v>
      </c>
      <c r="K27" s="42">
        <v>1</v>
      </c>
      <c r="L27" s="42">
        <f t="shared" si="5"/>
        <v>3800</v>
      </c>
      <c r="M27" s="43">
        <f t="shared" si="0"/>
        <v>0.075</v>
      </c>
      <c r="N27" s="43">
        <f t="shared" si="1"/>
        <v>1.575</v>
      </c>
      <c r="O27" s="43">
        <f t="shared" si="2"/>
        <v>5985</v>
      </c>
      <c r="P27" s="43">
        <f t="shared" si="3"/>
        <v>5922</v>
      </c>
      <c r="Q27" s="24" t="s">
        <v>563</v>
      </c>
      <c r="R27" s="24" t="s">
        <v>611</v>
      </c>
      <c r="S27" s="23"/>
      <c r="T27" s="49"/>
      <c r="U27" s="49"/>
      <c r="V27" s="49"/>
      <c r="W27" s="49"/>
      <c r="X27" s="49"/>
      <c r="Y27" s="49"/>
      <c r="Z27" s="49"/>
      <c r="AA27" s="49"/>
    </row>
    <row r="28" s="2" customFormat="1" customHeight="1" spans="1:27">
      <c r="A28" s="20">
        <v>22</v>
      </c>
      <c r="B28" s="21" t="s">
        <v>612</v>
      </c>
      <c r="C28" s="21"/>
      <c r="D28" s="21" t="s">
        <v>610</v>
      </c>
      <c r="E28" s="22" t="s">
        <v>562</v>
      </c>
      <c r="F28" s="25" t="s">
        <v>114</v>
      </c>
      <c r="G28" s="23">
        <v>190</v>
      </c>
      <c r="H28" s="24">
        <v>190</v>
      </c>
      <c r="I28" s="41">
        <v>1.5</v>
      </c>
      <c r="J28" s="41">
        <f t="shared" si="4"/>
        <v>285</v>
      </c>
      <c r="K28" s="42">
        <v>2</v>
      </c>
      <c r="L28" s="42">
        <f t="shared" si="5"/>
        <v>380</v>
      </c>
      <c r="M28" s="43">
        <f t="shared" si="0"/>
        <v>0.175</v>
      </c>
      <c r="N28" s="43">
        <f t="shared" si="1"/>
        <v>3.675</v>
      </c>
      <c r="O28" s="43">
        <f t="shared" si="2"/>
        <v>698.25</v>
      </c>
      <c r="P28" s="43">
        <f t="shared" si="3"/>
        <v>698.25</v>
      </c>
      <c r="Q28" s="24" t="s">
        <v>563</v>
      </c>
      <c r="R28" s="24" t="s">
        <v>613</v>
      </c>
      <c r="S28" s="23"/>
      <c r="T28" s="49"/>
      <c r="U28" s="49"/>
      <c r="V28" s="49"/>
      <c r="W28" s="49"/>
      <c r="X28" s="49"/>
      <c r="Y28" s="49"/>
      <c r="Z28" s="49"/>
      <c r="AA28" s="49"/>
    </row>
    <row r="29" s="2" customFormat="1" customHeight="1" spans="1:27">
      <c r="A29" s="20">
        <v>23</v>
      </c>
      <c r="B29" s="21" t="s">
        <v>614</v>
      </c>
      <c r="C29" s="21"/>
      <c r="D29" s="21" t="s">
        <v>615</v>
      </c>
      <c r="E29" s="22" t="s">
        <v>562</v>
      </c>
      <c r="F29" s="25" t="s">
        <v>138</v>
      </c>
      <c r="G29" s="23">
        <v>30</v>
      </c>
      <c r="H29" s="24">
        <f>H7*2</f>
        <v>10</v>
      </c>
      <c r="I29" s="41">
        <v>55</v>
      </c>
      <c r="J29" s="41">
        <f t="shared" si="4"/>
        <v>1650</v>
      </c>
      <c r="K29" s="42">
        <v>20</v>
      </c>
      <c r="L29" s="42">
        <f t="shared" si="5"/>
        <v>600</v>
      </c>
      <c r="M29" s="43">
        <f t="shared" si="0"/>
        <v>3.75</v>
      </c>
      <c r="N29" s="43">
        <f t="shared" si="1"/>
        <v>78.75</v>
      </c>
      <c r="O29" s="43">
        <f t="shared" si="2"/>
        <v>2362.5</v>
      </c>
      <c r="P29" s="43">
        <f t="shared" si="3"/>
        <v>787.5</v>
      </c>
      <c r="Q29" s="24" t="s">
        <v>563</v>
      </c>
      <c r="R29" s="24" t="s">
        <v>616</v>
      </c>
      <c r="S29" s="23"/>
      <c r="T29" s="49"/>
      <c r="U29" s="49"/>
      <c r="V29" s="49"/>
      <c r="W29" s="49"/>
      <c r="X29" s="49"/>
      <c r="Y29" s="49"/>
      <c r="Z29" s="49"/>
      <c r="AA29" s="49"/>
    </row>
    <row r="30" s="2" customFormat="1" customHeight="1" spans="1:27">
      <c r="A30" s="20">
        <v>24</v>
      </c>
      <c r="B30" s="21" t="s">
        <v>617</v>
      </c>
      <c r="C30" s="21"/>
      <c r="D30" s="21" t="s">
        <v>618</v>
      </c>
      <c r="E30" s="22" t="s">
        <v>562</v>
      </c>
      <c r="F30" s="25" t="s">
        <v>130</v>
      </c>
      <c r="G30" s="23">
        <v>100</v>
      </c>
      <c r="H30" s="24"/>
      <c r="I30" s="42">
        <v>5</v>
      </c>
      <c r="J30" s="41">
        <f t="shared" si="4"/>
        <v>500</v>
      </c>
      <c r="K30" s="42">
        <v>3</v>
      </c>
      <c r="L30" s="42">
        <f t="shared" si="5"/>
        <v>300</v>
      </c>
      <c r="M30" s="43">
        <f t="shared" si="0"/>
        <v>0.4</v>
      </c>
      <c r="N30" s="43">
        <f t="shared" si="1"/>
        <v>8.4</v>
      </c>
      <c r="O30" s="43">
        <f t="shared" si="2"/>
        <v>840</v>
      </c>
      <c r="P30" s="43">
        <f t="shared" si="3"/>
        <v>0</v>
      </c>
      <c r="Q30" s="24" t="s">
        <v>563</v>
      </c>
      <c r="R30" s="24"/>
      <c r="S30" s="23"/>
      <c r="T30" s="49"/>
      <c r="U30" s="49"/>
      <c r="V30" s="49"/>
      <c r="W30" s="49"/>
      <c r="X30" s="49"/>
      <c r="Y30" s="49"/>
      <c r="Z30" s="49"/>
      <c r="AA30" s="49"/>
    </row>
    <row r="31" s="2" customFormat="1" customHeight="1" spans="1:27">
      <c r="A31" s="20">
        <v>25</v>
      </c>
      <c r="B31" s="21" t="s">
        <v>619</v>
      </c>
      <c r="C31" s="21"/>
      <c r="D31" s="21" t="s">
        <v>618</v>
      </c>
      <c r="E31" s="22" t="s">
        <v>562</v>
      </c>
      <c r="F31" s="25" t="s">
        <v>293</v>
      </c>
      <c r="G31" s="23">
        <v>100</v>
      </c>
      <c r="H31" s="24">
        <v>38</v>
      </c>
      <c r="I31" s="42">
        <v>30</v>
      </c>
      <c r="J31" s="41">
        <f t="shared" si="4"/>
        <v>3000</v>
      </c>
      <c r="K31" s="42">
        <v>20</v>
      </c>
      <c r="L31" s="42">
        <f t="shared" si="5"/>
        <v>2000</v>
      </c>
      <c r="M31" s="43">
        <f t="shared" si="0"/>
        <v>2.5</v>
      </c>
      <c r="N31" s="43">
        <f t="shared" si="1"/>
        <v>52.5</v>
      </c>
      <c r="O31" s="43">
        <f t="shared" si="2"/>
        <v>5250</v>
      </c>
      <c r="P31" s="43">
        <f t="shared" si="3"/>
        <v>1995</v>
      </c>
      <c r="Q31" s="24" t="s">
        <v>563</v>
      </c>
      <c r="R31" s="24"/>
      <c r="S31" s="23"/>
      <c r="T31" s="49"/>
      <c r="U31" s="49"/>
      <c r="V31" s="49"/>
      <c r="W31" s="49"/>
      <c r="X31" s="49"/>
      <c r="Y31" s="49"/>
      <c r="Z31" s="49"/>
      <c r="AA31" s="49"/>
    </row>
    <row r="32" s="2" customFormat="1" customHeight="1" spans="1:27">
      <c r="A32" s="20">
        <v>26</v>
      </c>
      <c r="B32" s="21" t="s">
        <v>620</v>
      </c>
      <c r="C32" s="21"/>
      <c r="D32" s="21" t="s">
        <v>618</v>
      </c>
      <c r="E32" s="22" t="s">
        <v>562</v>
      </c>
      <c r="F32" s="25" t="s">
        <v>138</v>
      </c>
      <c r="G32" s="23">
        <v>1190</v>
      </c>
      <c r="H32" s="24">
        <v>1190</v>
      </c>
      <c r="I32" s="42">
        <v>0.5</v>
      </c>
      <c r="J32" s="41">
        <f t="shared" si="4"/>
        <v>595</v>
      </c>
      <c r="K32" s="42">
        <v>0.5</v>
      </c>
      <c r="L32" s="42">
        <f t="shared" si="5"/>
        <v>595</v>
      </c>
      <c r="M32" s="43">
        <f t="shared" si="0"/>
        <v>0.05</v>
      </c>
      <c r="N32" s="43">
        <f t="shared" si="1"/>
        <v>1.05</v>
      </c>
      <c r="O32" s="43">
        <f t="shared" si="2"/>
        <v>1249.5</v>
      </c>
      <c r="P32" s="43">
        <f t="shared" si="3"/>
        <v>1249.5</v>
      </c>
      <c r="Q32" s="24" t="s">
        <v>563</v>
      </c>
      <c r="R32" s="24"/>
      <c r="S32" s="23"/>
      <c r="T32" s="49"/>
      <c r="U32" s="49"/>
      <c r="V32" s="49"/>
      <c r="W32" s="49"/>
      <c r="X32" s="49"/>
      <c r="Y32" s="49"/>
      <c r="Z32" s="49"/>
      <c r="AA32" s="49"/>
    </row>
    <row r="33" s="2" customFormat="1" customHeight="1" spans="1:27">
      <c r="A33" s="20"/>
      <c r="B33" s="21"/>
      <c r="C33" s="21"/>
      <c r="D33" s="21"/>
      <c r="E33" s="22"/>
      <c r="F33" s="25"/>
      <c r="G33" s="23"/>
      <c r="H33" s="24"/>
      <c r="I33" s="42"/>
      <c r="J33" s="41">
        <f>SUM(J10:J32)</f>
        <v>20817.3</v>
      </c>
      <c r="K33" s="42"/>
      <c r="L33" s="41">
        <f>SUM(L10:L32)</f>
        <v>23385</v>
      </c>
      <c r="M33" s="43"/>
      <c r="N33" s="43"/>
      <c r="O33" s="43"/>
      <c r="P33" s="43"/>
      <c r="Q33" s="24"/>
      <c r="R33" s="24"/>
      <c r="S33" s="23"/>
      <c r="T33" s="49"/>
      <c r="U33" s="49"/>
      <c r="V33" s="49"/>
      <c r="W33" s="49"/>
      <c r="X33" s="49"/>
      <c r="Y33" s="49"/>
      <c r="Z33" s="49"/>
      <c r="AA33" s="49"/>
    </row>
    <row r="34" s="2" customFormat="1" customHeight="1" spans="1:27">
      <c r="A34" s="15" t="s">
        <v>44</v>
      </c>
      <c r="B34" s="16" t="s">
        <v>621</v>
      </c>
      <c r="C34" s="16"/>
      <c r="D34" s="27"/>
      <c r="E34" s="18"/>
      <c r="F34" s="28"/>
      <c r="G34" s="29">
        <f>G27/4</f>
        <v>950</v>
      </c>
      <c r="H34" s="30"/>
      <c r="I34" s="44"/>
      <c r="J34" s="44">
        <f>J33/G34</f>
        <v>21.9129473684211</v>
      </c>
      <c r="K34" s="44"/>
      <c r="L34" s="44">
        <f>L33/G34</f>
        <v>24.6157894736842</v>
      </c>
      <c r="M34" s="43">
        <f t="shared" ref="M34:M47" si="6">(I34+K34)*5%</f>
        <v>0</v>
      </c>
      <c r="N34" s="43">
        <f t="shared" ref="N34:N47" si="7">M34+K34+I34</f>
        <v>0</v>
      </c>
      <c r="O34" s="43">
        <f t="shared" ref="O34:O47" si="8">N34*G34</f>
        <v>0</v>
      </c>
      <c r="P34" s="43">
        <f t="shared" ref="P34:P47" si="9">N34*H34</f>
        <v>0</v>
      </c>
      <c r="Q34" s="30"/>
      <c r="R34" s="30"/>
      <c r="S34" s="29"/>
      <c r="T34" s="49"/>
      <c r="U34" s="49"/>
      <c r="V34" s="49"/>
      <c r="W34" s="49"/>
      <c r="X34" s="49"/>
      <c r="Y34" s="49"/>
      <c r="Z34" s="49"/>
      <c r="AA34" s="49"/>
    </row>
    <row r="35" s="2" customFormat="1" customHeight="1" spans="1:27">
      <c r="A35" s="20">
        <v>1</v>
      </c>
      <c r="B35" s="21" t="s">
        <v>622</v>
      </c>
      <c r="C35" s="21"/>
      <c r="D35" s="21" t="s">
        <v>623</v>
      </c>
      <c r="E35" s="18" t="s">
        <v>624</v>
      </c>
      <c r="F35" s="21" t="s">
        <v>130</v>
      </c>
      <c r="G35" s="31">
        <v>1</v>
      </c>
      <c r="H35" s="32">
        <v>1</v>
      </c>
      <c r="I35" s="45">
        <v>1500</v>
      </c>
      <c r="J35" s="45"/>
      <c r="K35" s="46">
        <v>150</v>
      </c>
      <c r="L35" s="46"/>
      <c r="M35" s="43">
        <f t="shared" si="6"/>
        <v>82.5</v>
      </c>
      <c r="N35" s="43">
        <f t="shared" si="7"/>
        <v>1732.5</v>
      </c>
      <c r="O35" s="43">
        <f t="shared" si="8"/>
        <v>1732.5</v>
      </c>
      <c r="P35" s="43">
        <f t="shared" si="9"/>
        <v>1732.5</v>
      </c>
      <c r="Q35" s="32" t="s">
        <v>563</v>
      </c>
      <c r="R35" s="32" t="s">
        <v>625</v>
      </c>
      <c r="S35" s="31"/>
      <c r="T35" s="49"/>
      <c r="U35" s="49"/>
      <c r="V35" s="49"/>
      <c r="W35" s="49"/>
      <c r="X35" s="49"/>
      <c r="Y35" s="49"/>
      <c r="Z35" s="49"/>
      <c r="AA35" s="49"/>
    </row>
    <row r="36" s="2" customFormat="1" customHeight="1" spans="1:27">
      <c r="A36" s="20">
        <v>2</v>
      </c>
      <c r="B36" s="21" t="s">
        <v>626</v>
      </c>
      <c r="C36" s="21"/>
      <c r="D36" s="21" t="s">
        <v>627</v>
      </c>
      <c r="E36" s="22" t="s">
        <v>562</v>
      </c>
      <c r="F36" s="21" t="s">
        <v>138</v>
      </c>
      <c r="G36" s="31">
        <v>1</v>
      </c>
      <c r="H36" s="32">
        <v>1</v>
      </c>
      <c r="I36" s="45">
        <v>620</v>
      </c>
      <c r="J36" s="45"/>
      <c r="K36" s="46">
        <v>50</v>
      </c>
      <c r="L36" s="46"/>
      <c r="M36" s="43">
        <f t="shared" si="6"/>
        <v>33.5</v>
      </c>
      <c r="N36" s="43">
        <f t="shared" si="7"/>
        <v>703.5</v>
      </c>
      <c r="O36" s="43">
        <f t="shared" si="8"/>
        <v>703.5</v>
      </c>
      <c r="P36" s="43">
        <f t="shared" si="9"/>
        <v>703.5</v>
      </c>
      <c r="Q36" s="32" t="s">
        <v>563</v>
      </c>
      <c r="R36" s="32" t="s">
        <v>628</v>
      </c>
      <c r="S36" s="31"/>
      <c r="T36" s="49"/>
      <c r="U36" s="49"/>
      <c r="V36" s="49"/>
      <c r="W36" s="49"/>
      <c r="X36" s="49"/>
      <c r="Y36" s="49"/>
      <c r="Z36" s="49"/>
      <c r="AA36" s="49"/>
    </row>
    <row r="37" s="2" customFormat="1" customHeight="1" spans="1:27">
      <c r="A37" s="20">
        <v>3</v>
      </c>
      <c r="B37" s="21" t="s">
        <v>629</v>
      </c>
      <c r="C37" s="21"/>
      <c r="D37" s="21" t="s">
        <v>630</v>
      </c>
      <c r="E37" s="22" t="s">
        <v>562</v>
      </c>
      <c r="F37" s="21" t="s">
        <v>138</v>
      </c>
      <c r="G37" s="31">
        <v>1</v>
      </c>
      <c r="H37" s="32">
        <v>1</v>
      </c>
      <c r="I37" s="45">
        <v>400</v>
      </c>
      <c r="J37" s="45"/>
      <c r="K37" s="46">
        <v>20</v>
      </c>
      <c r="L37" s="46"/>
      <c r="M37" s="43">
        <f t="shared" si="6"/>
        <v>21</v>
      </c>
      <c r="N37" s="43">
        <f t="shared" si="7"/>
        <v>441</v>
      </c>
      <c r="O37" s="43">
        <f t="shared" si="8"/>
        <v>441</v>
      </c>
      <c r="P37" s="43">
        <f t="shared" si="9"/>
        <v>441</v>
      </c>
      <c r="Q37" s="32" t="s">
        <v>563</v>
      </c>
      <c r="R37" s="32" t="s">
        <v>631</v>
      </c>
      <c r="S37" s="31"/>
      <c r="T37" s="49"/>
      <c r="U37" s="49"/>
      <c r="V37" s="49"/>
      <c r="W37" s="49"/>
      <c r="X37" s="49"/>
      <c r="Y37" s="49"/>
      <c r="Z37" s="49"/>
      <c r="AA37" s="49"/>
    </row>
    <row r="38" s="2" customFormat="1" customHeight="1" spans="1:27">
      <c r="A38" s="20">
        <v>4</v>
      </c>
      <c r="B38" s="21" t="s">
        <v>632</v>
      </c>
      <c r="C38" s="21"/>
      <c r="D38" s="21" t="s">
        <v>615</v>
      </c>
      <c r="E38" s="22" t="s">
        <v>562</v>
      </c>
      <c r="F38" s="21" t="s">
        <v>138</v>
      </c>
      <c r="G38" s="31">
        <v>5</v>
      </c>
      <c r="H38" s="32">
        <v>6</v>
      </c>
      <c r="I38" s="45">
        <v>50</v>
      </c>
      <c r="J38" s="45"/>
      <c r="K38" s="46">
        <v>20</v>
      </c>
      <c r="L38" s="46"/>
      <c r="M38" s="43">
        <f t="shared" si="6"/>
        <v>3.5</v>
      </c>
      <c r="N38" s="43">
        <f t="shared" si="7"/>
        <v>73.5</v>
      </c>
      <c r="O38" s="43">
        <f t="shared" si="8"/>
        <v>367.5</v>
      </c>
      <c r="P38" s="43">
        <f t="shared" si="9"/>
        <v>441</v>
      </c>
      <c r="Q38" s="32" t="s">
        <v>563</v>
      </c>
      <c r="R38" s="32" t="s">
        <v>567</v>
      </c>
      <c r="S38" s="31"/>
      <c r="T38" s="49"/>
      <c r="U38" s="49"/>
      <c r="V38" s="49"/>
      <c r="W38" s="49"/>
      <c r="X38" s="49"/>
      <c r="Y38" s="49"/>
      <c r="Z38" s="49"/>
      <c r="AA38" s="49"/>
    </row>
    <row r="39" s="2" customFormat="1" customHeight="1" spans="1:27">
      <c r="A39" s="20">
        <v>5</v>
      </c>
      <c r="B39" s="21" t="s">
        <v>633</v>
      </c>
      <c r="C39" s="21"/>
      <c r="D39" s="21" t="s">
        <v>634</v>
      </c>
      <c r="E39" s="22" t="s">
        <v>562</v>
      </c>
      <c r="F39" s="21" t="s">
        <v>181</v>
      </c>
      <c r="G39" s="31">
        <v>5</v>
      </c>
      <c r="H39" s="32">
        <v>5</v>
      </c>
      <c r="I39" s="46">
        <v>150</v>
      </c>
      <c r="J39" s="46"/>
      <c r="K39" s="46">
        <v>10</v>
      </c>
      <c r="L39" s="46"/>
      <c r="M39" s="43">
        <f t="shared" si="6"/>
        <v>8</v>
      </c>
      <c r="N39" s="43">
        <f t="shared" si="7"/>
        <v>168</v>
      </c>
      <c r="O39" s="43">
        <f t="shared" si="8"/>
        <v>840</v>
      </c>
      <c r="P39" s="43">
        <f t="shared" si="9"/>
        <v>840</v>
      </c>
      <c r="Q39" s="32"/>
      <c r="R39" s="32"/>
      <c r="S39" s="31"/>
      <c r="T39" s="49"/>
      <c r="U39" s="49"/>
      <c r="V39" s="49"/>
      <c r="W39" s="49"/>
      <c r="X39" s="49"/>
      <c r="Y39" s="49"/>
      <c r="Z39" s="49"/>
      <c r="AA39" s="49"/>
    </row>
    <row r="40" s="2" customFormat="1" customHeight="1" spans="1:27">
      <c r="A40" s="15" t="s">
        <v>47</v>
      </c>
      <c r="B40" s="16" t="s">
        <v>635</v>
      </c>
      <c r="C40" s="16"/>
      <c r="D40" s="27"/>
      <c r="E40" s="18"/>
      <c r="F40" s="28"/>
      <c r="G40" s="29"/>
      <c r="H40" s="30"/>
      <c r="I40" s="44"/>
      <c r="J40" s="44"/>
      <c r="K40" s="44"/>
      <c r="L40" s="44"/>
      <c r="M40" s="43">
        <f t="shared" si="6"/>
        <v>0</v>
      </c>
      <c r="N40" s="43">
        <f t="shared" si="7"/>
        <v>0</v>
      </c>
      <c r="O40" s="43">
        <f t="shared" si="8"/>
        <v>0</v>
      </c>
      <c r="P40" s="43">
        <f t="shared" si="9"/>
        <v>0</v>
      </c>
      <c r="Q40" s="30"/>
      <c r="R40" s="30"/>
      <c r="S40" s="29"/>
      <c r="T40" s="49"/>
      <c r="U40" s="49"/>
      <c r="V40" s="49"/>
      <c r="W40" s="49"/>
      <c r="X40" s="49"/>
      <c r="Y40" s="49"/>
      <c r="Z40" s="49"/>
      <c r="AA40" s="49"/>
    </row>
    <row r="41" s="2" customFormat="1" customHeight="1" spans="1:27">
      <c r="A41" s="20">
        <v>1</v>
      </c>
      <c r="B41" s="26" t="s">
        <v>636</v>
      </c>
      <c r="C41" s="26"/>
      <c r="D41" s="21" t="s">
        <v>637</v>
      </c>
      <c r="E41" s="22" t="s">
        <v>638</v>
      </c>
      <c r="F41" s="25" t="s">
        <v>114</v>
      </c>
      <c r="G41" s="23">
        <v>750</v>
      </c>
      <c r="H41" s="24">
        <v>750</v>
      </c>
      <c r="I41" s="42">
        <v>11</v>
      </c>
      <c r="J41" s="42"/>
      <c r="K41" s="42">
        <v>0.8</v>
      </c>
      <c r="L41" s="42"/>
      <c r="M41" s="43">
        <f t="shared" si="6"/>
        <v>0.59</v>
      </c>
      <c r="N41" s="43">
        <f t="shared" si="7"/>
        <v>12.39</v>
      </c>
      <c r="O41" s="43">
        <f t="shared" si="8"/>
        <v>9292.5</v>
      </c>
      <c r="P41" s="43">
        <f t="shared" si="9"/>
        <v>9292.5</v>
      </c>
      <c r="Q41" s="24"/>
      <c r="R41" s="24"/>
      <c r="S41" s="23"/>
      <c r="T41" s="49"/>
      <c r="U41" s="49"/>
      <c r="V41" s="49"/>
      <c r="W41" s="49"/>
      <c r="X41" s="49"/>
      <c r="Y41" s="49"/>
      <c r="Z41" s="49"/>
      <c r="AA41" s="49"/>
    </row>
    <row r="42" s="2" customFormat="1" customHeight="1" spans="1:27">
      <c r="A42" s="20">
        <v>2</v>
      </c>
      <c r="B42" s="26" t="s">
        <v>636</v>
      </c>
      <c r="C42" s="26"/>
      <c r="D42" s="21" t="s">
        <v>639</v>
      </c>
      <c r="E42" s="22" t="s">
        <v>638</v>
      </c>
      <c r="F42" s="25" t="s">
        <v>114</v>
      </c>
      <c r="G42" s="23">
        <v>1200</v>
      </c>
      <c r="H42" s="24">
        <v>1200</v>
      </c>
      <c r="I42" s="42">
        <v>6</v>
      </c>
      <c r="J42" s="42"/>
      <c r="K42" s="42">
        <v>0.8</v>
      </c>
      <c r="L42" s="42"/>
      <c r="M42" s="43">
        <f t="shared" si="6"/>
        <v>0.34</v>
      </c>
      <c r="N42" s="43">
        <f t="shared" si="7"/>
        <v>7.14</v>
      </c>
      <c r="O42" s="43">
        <f t="shared" si="8"/>
        <v>8568</v>
      </c>
      <c r="P42" s="43">
        <f t="shared" si="9"/>
        <v>8568</v>
      </c>
      <c r="Q42" s="24"/>
      <c r="R42" s="24"/>
      <c r="S42" s="23"/>
      <c r="T42" s="49"/>
      <c r="U42" s="49"/>
      <c r="V42" s="49"/>
      <c r="W42" s="49"/>
      <c r="X42" s="49"/>
      <c r="Y42" s="49"/>
      <c r="Z42" s="49"/>
      <c r="AA42" s="49"/>
    </row>
    <row r="43" s="2" customFormat="1" customHeight="1" spans="1:27">
      <c r="A43" s="20">
        <v>3</v>
      </c>
      <c r="B43" s="26" t="s">
        <v>640</v>
      </c>
      <c r="C43" s="26"/>
      <c r="D43" s="21" t="s">
        <v>641</v>
      </c>
      <c r="E43" s="22" t="s">
        <v>638</v>
      </c>
      <c r="F43" s="25" t="s">
        <v>114</v>
      </c>
      <c r="G43" s="23">
        <v>2500</v>
      </c>
      <c r="H43" s="24"/>
      <c r="I43" s="42">
        <v>2.5</v>
      </c>
      <c r="J43" s="42"/>
      <c r="K43" s="42">
        <v>0.8</v>
      </c>
      <c r="L43" s="42"/>
      <c r="M43" s="43">
        <f t="shared" si="6"/>
        <v>0.165</v>
      </c>
      <c r="N43" s="43">
        <f t="shared" si="7"/>
        <v>3.465</v>
      </c>
      <c r="O43" s="43">
        <f t="shared" si="8"/>
        <v>8662.5</v>
      </c>
      <c r="P43" s="43">
        <f t="shared" si="9"/>
        <v>0</v>
      </c>
      <c r="Q43" s="24"/>
      <c r="R43" s="24"/>
      <c r="S43" s="23"/>
      <c r="T43" s="49"/>
      <c r="U43" s="49"/>
      <c r="V43" s="49"/>
      <c r="W43" s="49"/>
      <c r="X43" s="49"/>
      <c r="Y43" s="49"/>
      <c r="Z43" s="49"/>
      <c r="AA43" s="49"/>
    </row>
    <row r="44" s="2" customFormat="1" customHeight="1" spans="1:27">
      <c r="A44" s="20">
        <v>4</v>
      </c>
      <c r="B44" s="26" t="s">
        <v>642</v>
      </c>
      <c r="C44" s="26"/>
      <c r="D44" s="21" t="s">
        <v>643</v>
      </c>
      <c r="E44" s="22" t="s">
        <v>638</v>
      </c>
      <c r="F44" s="25" t="s">
        <v>114</v>
      </c>
      <c r="G44" s="23">
        <v>750</v>
      </c>
      <c r="H44" s="24">
        <f>5*10</f>
        <v>50</v>
      </c>
      <c r="I44" s="42">
        <v>5</v>
      </c>
      <c r="J44" s="42"/>
      <c r="K44" s="42">
        <v>0.8</v>
      </c>
      <c r="L44" s="42"/>
      <c r="M44" s="43">
        <f t="shared" si="6"/>
        <v>0.29</v>
      </c>
      <c r="N44" s="43">
        <f t="shared" si="7"/>
        <v>6.09</v>
      </c>
      <c r="O44" s="43">
        <f t="shared" si="8"/>
        <v>4567.5</v>
      </c>
      <c r="P44" s="43">
        <f t="shared" si="9"/>
        <v>304.5</v>
      </c>
      <c r="Q44" s="24"/>
      <c r="R44" s="24"/>
      <c r="S44" s="23"/>
      <c r="T44" s="49"/>
      <c r="U44" s="49"/>
      <c r="V44" s="49"/>
      <c r="W44" s="49"/>
      <c r="X44" s="49"/>
      <c r="Y44" s="49"/>
      <c r="Z44" s="49"/>
      <c r="AA44" s="49"/>
    </row>
    <row r="45" s="2" customFormat="1" customHeight="1" spans="1:27">
      <c r="A45" s="20">
        <v>5</v>
      </c>
      <c r="B45" s="26" t="s">
        <v>253</v>
      </c>
      <c r="C45" s="26"/>
      <c r="D45" s="21" t="s">
        <v>644</v>
      </c>
      <c r="E45" s="22" t="s">
        <v>645</v>
      </c>
      <c r="F45" s="25" t="s">
        <v>114</v>
      </c>
      <c r="G45" s="23">
        <v>1500</v>
      </c>
      <c r="H45" s="24">
        <v>1800</v>
      </c>
      <c r="I45" s="42">
        <v>1.8</v>
      </c>
      <c r="J45" s="42"/>
      <c r="K45" s="42">
        <v>1.2</v>
      </c>
      <c r="L45" s="42"/>
      <c r="M45" s="43">
        <f t="shared" si="6"/>
        <v>0.15</v>
      </c>
      <c r="N45" s="43">
        <f t="shared" si="7"/>
        <v>3.15</v>
      </c>
      <c r="O45" s="43">
        <f t="shared" si="8"/>
        <v>4725</v>
      </c>
      <c r="P45" s="43">
        <f t="shared" si="9"/>
        <v>5670</v>
      </c>
      <c r="Q45" s="24"/>
      <c r="R45" s="24"/>
      <c r="S45" s="23"/>
      <c r="T45" s="49"/>
      <c r="U45" s="49"/>
      <c r="V45" s="49"/>
      <c r="W45" s="49"/>
      <c r="X45" s="49"/>
      <c r="Y45" s="49"/>
      <c r="Z45" s="49"/>
      <c r="AA45" s="49"/>
    </row>
    <row r="46" s="2" customFormat="1" customHeight="1" spans="1:27">
      <c r="A46" s="12" t="s">
        <v>646</v>
      </c>
      <c r="B46" s="33" t="s">
        <v>647</v>
      </c>
      <c r="C46" s="26"/>
      <c r="D46" s="21"/>
      <c r="E46" s="22"/>
      <c r="F46" s="25"/>
      <c r="G46" s="23"/>
      <c r="H46" s="24">
        <f>1200+1200/2</f>
        <v>1800</v>
      </c>
      <c r="I46" s="42">
        <v>1.2</v>
      </c>
      <c r="J46" s="42"/>
      <c r="K46" s="42">
        <v>0.8</v>
      </c>
      <c r="L46" s="42"/>
      <c r="M46" s="43">
        <f t="shared" si="6"/>
        <v>0.1</v>
      </c>
      <c r="N46" s="43">
        <f t="shared" si="7"/>
        <v>2.1</v>
      </c>
      <c r="O46" s="43">
        <f t="shared" si="8"/>
        <v>0</v>
      </c>
      <c r="P46" s="43">
        <f t="shared" si="9"/>
        <v>3780</v>
      </c>
      <c r="Q46" s="24"/>
      <c r="R46" s="24"/>
      <c r="S46" s="23"/>
      <c r="T46" s="49"/>
      <c r="U46" s="49"/>
      <c r="V46" s="49"/>
      <c r="W46" s="49"/>
      <c r="X46" s="49"/>
      <c r="Y46" s="49"/>
      <c r="Z46" s="49"/>
      <c r="AA46" s="49"/>
    </row>
    <row r="47" s="2" customFormat="1" customHeight="1" spans="1:27">
      <c r="A47" s="12" t="s">
        <v>646</v>
      </c>
      <c r="B47" s="33" t="s">
        <v>648</v>
      </c>
      <c r="C47" s="26"/>
      <c r="D47" s="21"/>
      <c r="E47" s="22"/>
      <c r="F47" s="25"/>
      <c r="G47" s="23"/>
      <c r="H47" s="24">
        <v>750</v>
      </c>
      <c r="I47" s="42">
        <v>1.8</v>
      </c>
      <c r="J47" s="42"/>
      <c r="K47" s="42">
        <v>0.8</v>
      </c>
      <c r="L47" s="42"/>
      <c r="M47" s="43">
        <f t="shared" si="6"/>
        <v>0.13</v>
      </c>
      <c r="N47" s="43">
        <f t="shared" si="7"/>
        <v>2.73</v>
      </c>
      <c r="O47" s="43">
        <f t="shared" si="8"/>
        <v>0</v>
      </c>
      <c r="P47" s="43">
        <f t="shared" si="9"/>
        <v>2047.5</v>
      </c>
      <c r="Q47" s="24"/>
      <c r="R47" s="24"/>
      <c r="S47" s="23"/>
      <c r="T47" s="49"/>
      <c r="U47" s="49"/>
      <c r="V47" s="49"/>
      <c r="W47" s="49"/>
      <c r="X47" s="49"/>
      <c r="Y47" s="49"/>
      <c r="Z47" s="49"/>
      <c r="AA47" s="49"/>
    </row>
    <row r="48" s="3" customFormat="1" ht="19" customHeight="1" spans="1:27">
      <c r="A48" s="34"/>
      <c r="B48" s="35"/>
      <c r="C48" s="35"/>
      <c r="D48" s="35" t="s">
        <v>649</v>
      </c>
      <c r="E48" s="34"/>
      <c r="F48" s="34"/>
      <c r="G48" s="36"/>
      <c r="H48" s="36"/>
      <c r="I48" s="47"/>
      <c r="J48" s="47"/>
      <c r="K48" s="47"/>
      <c r="L48" s="47"/>
      <c r="M48" s="47"/>
      <c r="N48" s="47"/>
      <c r="O48" s="47">
        <f>SUM(O7:O47)</f>
        <v>115738.665</v>
      </c>
      <c r="P48" s="47">
        <f>SUM(P7:P47)</f>
        <v>72833.46</v>
      </c>
      <c r="Q48" s="36"/>
      <c r="R48" s="36"/>
      <c r="S48" s="36"/>
      <c r="T48" s="35"/>
      <c r="U48" s="35"/>
      <c r="V48" s="35"/>
      <c r="W48" s="50"/>
      <c r="X48" s="50"/>
      <c r="Y48" s="50"/>
      <c r="Z48" s="50"/>
      <c r="AA48" s="50"/>
    </row>
    <row r="49" s="1" customFormat="1" customHeight="1" spans="2:19">
      <c r="B49" s="4"/>
      <c r="C49" s="4"/>
      <c r="D49" s="4"/>
      <c r="G49" s="5"/>
      <c r="H49" s="5"/>
      <c r="I49" s="6"/>
      <c r="J49" s="6"/>
      <c r="K49" s="6"/>
      <c r="L49" s="6"/>
      <c r="M49" s="6"/>
      <c r="N49" s="6"/>
      <c r="O49" s="6"/>
      <c r="P49" s="6">
        <f>P48/H27</f>
        <v>19.3706010638298</v>
      </c>
      <c r="Q49" s="5"/>
      <c r="R49" s="5"/>
      <c r="S49" s="5"/>
    </row>
  </sheetData>
  <mergeCells count="17">
    <mergeCell ref="A1:AA1"/>
    <mergeCell ref="A2:U2"/>
    <mergeCell ref="V2:X2"/>
    <mergeCell ref="Y2:AA2"/>
    <mergeCell ref="T3:U3"/>
    <mergeCell ref="V3:Z3"/>
    <mergeCell ref="A3:A5"/>
    <mergeCell ref="B3:B5"/>
    <mergeCell ref="C3:C5"/>
    <mergeCell ref="D3:D5"/>
    <mergeCell ref="E3:E5"/>
    <mergeCell ref="F3:F5"/>
    <mergeCell ref="G3:G5"/>
    <mergeCell ref="V4:V5"/>
    <mergeCell ref="W4:W5"/>
    <mergeCell ref="X4:X5"/>
    <mergeCell ref="AA3:AA5"/>
  </mergeCells>
  <pageMargins left="0.75" right="0.75" top="1" bottom="1" header="0.5" footer="0.5"/>
  <pageSetup paperSize="9" orientation="portrait"/>
  <headerFooter/>
  <drawing r:id="rId2"/>
  <legacyDrawing r:id="rId3"/>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7</vt:i4>
      </vt:variant>
    </vt:vector>
  </HeadingPairs>
  <TitlesOfParts>
    <vt:vector size="7" baseType="lpstr">
      <vt:lpstr>报价说明</vt:lpstr>
      <vt:lpstr>结算汇总表</vt:lpstr>
      <vt:lpstr>签证变更汇总表</vt:lpstr>
      <vt:lpstr>变更明细</vt:lpstr>
      <vt:lpstr>签证明细</vt:lpstr>
      <vt:lpstr>合同清单</vt:lpstr>
      <vt:lpstr>电子围栏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微信用户</cp:lastModifiedBy>
  <dcterms:created xsi:type="dcterms:W3CDTF">2020-11-19T09:45:00Z</dcterms:created>
  <dcterms:modified xsi:type="dcterms:W3CDTF">2025-09-19T08:46:37Z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269012B43E7D41A0B52097EF6A9D9D14</vt:lpwstr>
  </property>
  <property fmtid="{D5CDD505-2E9C-101B-9397-08002B2CF9AE}" pid="4" name="KSOReadingLayout">
    <vt:bool>true</vt:bool>
  </property>
</Properties>
</file>